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C356042E-4C8E-432F-AD42-8B9D4CD405C5}"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66" i="2" l="1"/>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<sst xmlns="http://schemas.openxmlformats.org/spreadsheetml/2006/main" count="51621" uniqueCount="14458">
  <si>
    <t>Índice onomástico anual · Gacetas oficiales de 1815</t>
  </si>
  <si>
    <t>Del 1 de enero al 31 de diciembre de 1815 · Gaceta de Madrid</t>
  </si>
  <si>
    <t>Aviso: índice generado a partir del OCR de facsímiles históricos. Las grafías y lecturas dudosas deben cotejarse con la página enlazada.</t>
  </si>
  <si>
    <t>5695 menciones · 162 archivos oficiales · 1410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</si>
  <si>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</si>
  <si>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</si>
  <si>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</si>
  <si>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</si>
  <si>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</si>
  <si>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</si>
  <si>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</si>
  <si>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</si>
  <si>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</si>
  <si>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</si>
  <si>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</si>
  <si>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Andrés</t>
  </si>
  <si>
    <t>Andrés A</t>
  </si>
  <si>
    <t>Nombramiento o servicio público</t>
  </si>
  <si>
    <t>España</t>
  </si>
  <si>
    <t>Gaceta de Madrid n.º 127</t>
  </si>
  <si>
    <t>PDF p. 4</t>
  </si>
  <si>
    <t>Lectura automática dudosa; cotejar el facsímil</t>
  </si>
  <si>
    <t>…o el venerable deán y cabildo de Calahorra, y en su nombre D. Pedro Vengoa y D. Josef Ignacio de Ansótegui; y del se gundo el venerable deán y cabildo de Plasencia, y en su nombre D. Andrés A ransay y Sancho y D Francisco de Sales Andrés* La concurrencia estraordínaria de toda clase de personas contribuyó á solemnizar mas esta auguqa ceremonia, que escitó en el ánimo de los circunstantes los mas tiernos y pia dosos afectos. ARTICULO DE OFICIO. Cir…</t>
  </si>
  <si>
    <t>Revisar OCR</t>
  </si>
  <si>
    <t>A, Antonio Entrecanales</t>
  </si>
  <si>
    <t>Antonio Entrecanales A</t>
  </si>
  <si>
    <t>Gaceta de Madrid n.º 109</t>
  </si>
  <si>
    <t>PDF p. 6</t>
  </si>
  <si>
    <t>…aula Per eirá: para la de Torregimeno en propiedad á jD. Juan Antonio de la Plaza, que la servia interina mente; y para la de :S. debrian de Castrotorafé, vacante por promoción de D. Antonio Entrecanales A la de Villatobas, á D. Ju-an Josef Moro de Elejaveitiá. En consideración á los méritos y servicios de D. Pablo Grándona, abad de Tioira, en Galicia, se ha servido el Rey nombrarle para una canongía vacante en la iglesia catedral de Orense.</t>
  </si>
  <si>
    <t>A, Duque de</t>
  </si>
  <si>
    <t>Duque de A</t>
  </si>
  <si>
    <t>Operaciones o servicios militares</t>
  </si>
  <si>
    <t>Noticias militares</t>
  </si>
  <si>
    <t>Gaceta de Madrid n.º 95</t>
  </si>
  <si>
    <t>…eron á besar su Real mano, con el coronel, varios oficiales; S. M. se dirigió á la sala de los granaderos, y tomando un pan de los solda dor comió de él, dando un pedazo al Escmo. Sr. Duque de A lagon , capi tán de guardias á su Real Persona: examinó el Rey con prolijidad aquella* y pasó en seguida á las&lt; demas, mostrando su dulzura y afabilidad con los soldados, que había en ellas , preguntándoles si el pan y rancho eran buenos: usté muáo á S. M. el…</t>
  </si>
  <si>
    <t>A, Francisco</t>
  </si>
  <si>
    <t>Francisco A</t>
  </si>
  <si>
    <t>Gaceta de Madrid n.º 29</t>
  </si>
  <si>
    <t>PDF p. 8</t>
  </si>
  <si>
    <t>…interesantes que comunicar á D. Josef Villa, cirujano que fue del regimiento de Zamora; i D. Josef Campo, natural de Andalucía, capitán que fue de dicho regimiento de Zamora, y á D. Francisco A maya de los Cameros, de Medtnasidonia; y en defecto de estos á sus herederos. Los interesados podrán dirigir sus soli citudes á la posible brevedad á dicho presbítero D. Salvador Somoza. Guia de la Real Hacienda de España para este año de 1815 : comprehende l…</t>
  </si>
  <si>
    <t>A, Francisco de Sales Hernández de</t>
  </si>
  <si>
    <t>Francisco de Sales Hernández de A</t>
  </si>
  <si>
    <t>Gaceta de Madrid n.º 4</t>
  </si>
  <si>
    <t>…ersidad; el Dr. D. Josef Saiz de Rozas, presbítero, y del de la universidad de Osma; el Dr. D. Mauricio Baradat, del de la de Salamanca, y abogado de los Rea les Consejos; el Lie. D. Francisco de Sales Hernández de A riza, abogado, y teniente del Real cuerpo de Zapadores; el Lie. D. Juan García de Olias, abogado de los Reales Consejos, y D. Joaquín del Castillo, obtuvo el per miso de felicitar á S. M. y besar su Real mano; y el primero de dichos se ñores pronuncio el sigu…</t>
  </si>
  <si>
    <t>A, Joaquín</t>
  </si>
  <si>
    <t>Joaquín A</t>
  </si>
  <si>
    <t>Gaceta de Madrid n.º 25</t>
  </si>
  <si>
    <t>219</t>
  </si>
  <si>
    <t>…los comisionados y contadores de! Crédito público en las provincias, á quienes se lé&amp; comunica por la junta las instrucciones necesarias para su cumplimiento. Por la audiencia del Sr. D. Joaquín A1 mazan , del consejo de S. M. teniente corregidor de esta villa, y por la escribanía del número de D. Josef Antonio Ca nosa, están pendientes las autps 4e quiebra hecha-por D* Patricio de Ribera, del comercio de esta corte, que tuvieron principio en 14 de Dic…</t>
  </si>
  <si>
    <t>Mención en noticia o disposición</t>
  </si>
  <si>
    <t>Noticias y disposiciones</t>
  </si>
  <si>
    <t>Gaceta de Madrid n.º 50</t>
  </si>
  <si>
    <t>PDF p. 11</t>
  </si>
  <si>
    <t>…ta corte y su calle de Buena vista, señalada con el. aánú 6 de la manzana gg, que comprehetide »3ia pies, y está tasada en 29234 rs* vn. Quien quisiere hacer postura acuda ante el Sr. D. Joaquín A. 1 mazan, teniente corregidor de esta villa, y por la escribana de su. número que cxctcc D. Juan Raya.-.... - u</t>
  </si>
  <si>
    <t>A, Juan</t>
  </si>
  <si>
    <t>Juan A</t>
  </si>
  <si>
    <t>Gaceta de Madrid n.º 28</t>
  </si>
  <si>
    <t>PDF p. 5</t>
  </si>
  <si>
    <t>…id 13 de Fébrero de 1815. ' &gt; El Rey nuestro Señor se ha servido promover a subtenientes delReal Tuerpó de Artillería á los caballeros cadetes D. Filiberto Mahy , D. Migue! Araózq D. Juan A riña da, Di. Manuel Ortega, D. Rafael, Cor réa, D. -P ed ro Ortega:, Di Josef Vázquez, D. Josef Estrada; D. Ramo» Romero, D. Joaquini Edhevarría; Dv Casimiro Cañedo, D. Josef Cebrian ,;D. Salvador Pa nlagua, D. Josef Saenz dé Viniegra, p. Narciso Gómez.Quinta…</t>
  </si>
  <si>
    <t>A, L.</t>
  </si>
  <si>
    <t>L. A</t>
  </si>
  <si>
    <t>Publicación o actividad intelectual</t>
  </si>
  <si>
    <t>Gaceta de Madrid n.º 159</t>
  </si>
  <si>
    <t>…mas sé vendé el Centinela contra francmasones, traducido por el-P. Torrubja. ' ' Juego de m- tes- nuevos para damas y galanes en las vísperas de año nuevo y Reyes, compuestos, por D. L. A., y. añadidos otros de regalos para sortearse des pués de loi primeros* como, finezas que hacen los galanes á las damas agradecidos á su suerte. Se hallarán en.la..librería.de Pcr.cz . callc de las Garretes* r ( ........ EN- LA IMPRENTA REAL. .,</t>
  </si>
  <si>
    <t>A, Pedro</t>
  </si>
  <si>
    <t>Pedro A</t>
  </si>
  <si>
    <t>Gaceta de Madrid n.º 22</t>
  </si>
  <si>
    <t>…dp. El día 6. dé Octubre último tuvo la honra de prerentarse á cump’imen— lar á -S.&gt; M. una comisión de las 64 diputaciones de los Barrios de Madrid, compuesta de los Sres. el Dr. D. Pedro A¿nar,, cura propio de la parrp, :quiai de &amp; fPedro el-Real de esta corte, diputado nato del mismo Bárrirí; IX Saturnino Peal, teniente may or de cura de tá de S. Justo y; Ptstoi:, di putado eclesiástico del Barrio del mbmo nombre ;, D. Miguel de Náxera, agente…</t>
  </si>
  <si>
    <t>Abad, Benito</t>
  </si>
  <si>
    <t>Benito Abad</t>
  </si>
  <si>
    <t>Gaceta de Madrid n.º 19</t>
  </si>
  <si>
    <t>PDF p. 7</t>
  </si>
  <si>
    <t>Nombre detectado automáticamente; cotejar si se va a citar</t>
  </si>
  <si>
    <t>te de D. Benito Abad; y para el de Qaintanallabon, que lo está por la de D. Josef-Esterliz, ambos en el arzobispado de Burgos, á D. Bernardo Andrés Perez, racionero mas antiguo de la iglesia catedral de Osma: para otro benególo simple de Sta. María de las Reliquias del castillo d…</t>
  </si>
  <si>
    <t>Lectura OCR</t>
  </si>
  <si>
    <t>Abadía, Ambrosio</t>
  </si>
  <si>
    <t>Ambrosio Abadía</t>
  </si>
  <si>
    <t>Gaceta de Madrid n.º 144</t>
  </si>
  <si>
    <t>…sus falanges esparci das en toda España; y hoy reuniclos á los pies del trono imploran los: auxi lios divinos para que Dios le conceda á V. M.. el acierto que necesita.” Asimismo D. Ambrosio Abadía ,cura de la parroquial de la villa de Miar glanilla, y apoderado del ayuntamiento y clero de la misma, tuvo la honra de felicitar el 13 á S. M., á quien dirigió el discurso siguiente: „Señor: El cura párroco de la villa de Minglanilia, provincia de Cuen ca, á…</t>
  </si>
  <si>
    <t>Abadía, Francisco Javier</t>
  </si>
  <si>
    <t>Francisco Javier Abadía</t>
  </si>
  <si>
    <t>Actividad económica o mercantil</t>
  </si>
  <si>
    <t>Gaceta de Madrid n.º 104</t>
  </si>
  <si>
    <t>…para la referida: empresa» Por el Ministerio universal de Indias se han comunicado con fecha dé xg de Julio último, las Reales órdenes siguientes al Inspector genera i dé América D. Francisco Javier Abadía, como-encargado de organizar y habilitar las espediciojies destinadas á la pacificación de aquellos dominios. i.a Habiendo informado al Rey nuestro Señor de cuanto V. E. me ha manifestado en el tiempo que ha subsistido en esta corte a con respecto á lía urgen…</t>
  </si>
  <si>
    <t>$9* producto se perciba por VV. SS. con cuenta y razón, y lo retengan á dis-í posición del Inspector general.de América D. Francisco Javier Abadía,quien lo inyertirá^en los es.presados objetos, con arreglo á las órdenes que se le co muniquen..—Por lo que respecta al primer arbitrio, participé lo conveniente en 13 del actual al Sr. Secretario dé Estado y del Despacho de Gracia y Jus ticia. En cuanto al s…</t>
  </si>
  <si>
    <t>Abadía, Francisco Xavier</t>
  </si>
  <si>
    <t>Francisco Xavier Abadía</t>
  </si>
  <si>
    <t>Gaceta de Madrid n.º 41</t>
  </si>
  <si>
    <t>PDF p. 10</t>
  </si>
  <si>
    <t>…Reales éxércitos, y virey que fue' de Nueva-España: D. Gaspar Vigodet, teniente general de los Reales exércitos, y capitán general que fue de las provincias del Rio de la Plata : Don Francisco Xavier Abadía, mariscal de campo de los Reales éxércitos &gt; é ins pector' geri^ráJ de las tropas de América : D.,Nemesio Salcedo, mariscal de campo de los Réale.5 éxércitos i y comandante general que fue de las pro vincias íntérnásdeÑiíévá-España: D. Juan Manuel Goyeneche,…</t>
  </si>
  <si>
    <t>Abadía, Javier</t>
  </si>
  <si>
    <t>Javier Abadía</t>
  </si>
  <si>
    <t>Gaceta de Madrid n.º 84</t>
  </si>
  <si>
    <t>…o próximo pasado. De orden de S. M. lo comunico á V. E. para su inteligencia, gobierno y satisfacción. Dios guarde á V. E. mu chos años. Madrid 12 de Junio de 1815.=Vallesteros. = Sr. D. Javier Abadía. 3. a Haciendo el Rey nuestro Señor particular aprecio denlos militares que han muerto en campaña en defensa de sus Reales derechos y de la libertad de la patria, es su soberana voluntad que si murieron con derecho á alguna cruz ó cruces de distinción de las…</t>
  </si>
  <si>
    <t>Abarca, Alejandro</t>
  </si>
  <si>
    <t>Alejandro Abarca</t>
  </si>
  <si>
    <t>Gaceta de Madrid n.º 114</t>
  </si>
  <si>
    <t>PDF p. 3</t>
  </si>
  <si>
    <t>…gos de a ocho ^ fundidos eníAbancan para lo; cual cpntlbán cofi 40 bargaside Municiones, ademas de las armas y pertrechos que tenían en; estas itíffiediacionés.’, lo que .confirma D. Alejandro Abarca.¿ yecino de Patfuatochas, que salid *ie_ Andahuailas* y presencio ias dlsposieio'ngs.G :-;h veo v-JuitO oí. aseo o; vw.-v-i ne 7 t -y . ... .i ...; A tres ]egu;as:detesta: ciudad.,; y almando de JosefManuel Romano j- co nocido por el Pucatoso,, habia como ind…</t>
  </si>
  <si>
    <t>Abargues, Joaquín</t>
  </si>
  <si>
    <t>Joaquín Abargues</t>
  </si>
  <si>
    <t>Gaceta de Madrid n.º 9</t>
  </si>
  <si>
    <t>…Señor que en el Rey no de Valencia circulaba un papé! impreso en 1813, titulado a4 la Nación Española ■: manifiesto qué hace de su conducta el Abogado de los Tribunales Nacionales D. Joaquín Abargues, en que se habla sin miramien to ni consideración alguna á la sagrada Persona de S. M. y Familia reynan** te, pintándola baxo los colores mas negros y odiosos, y ultrajando grave mente á los Ministros que han merecido su Real confianza; ha resuelto S. M. que…</t>
  </si>
  <si>
    <t>Abarrátegui, Juan Agustín de</t>
  </si>
  <si>
    <t>Juan Agustín de Abarrátegui</t>
  </si>
  <si>
    <t>Gaceta de Madrid n.º 6</t>
  </si>
  <si>
    <t>47</t>
  </si>
  <si>
    <t>47 En consideración al mérito y distinguido concepto con qne desempeñó el honor de la toga en la plaza de alcalde del crimen de la chancillería de Grajuda D. Juan Agustín de Abarrátegui antes de la invasión de la pe nínsula en el año de 1808; y teniendo presente los servicios que ha hecho ;en favor de las trepas y de los fíeles españoles con riesgo dé su vida y ñor table dispendio de sus intereses durante la domin¿cion del gobierno intruso,…</t>
  </si>
  <si>
    <t>Abella, Manuel</t>
  </si>
  <si>
    <t>Manuel Abella</t>
  </si>
  <si>
    <t>Gaceta de Madrid n.º 79</t>
  </si>
  <si>
    <t>…ano 4 S.,M. y al Sr. In fante D. Cárlqs D. Ignacio Martínez Villela, del consejo Real; D. Tomas Arias, auditor del tribunal de la Rota; D. Josef Duaso, capellán-de honor de S. M.; D. Manuel Abella y el barón de Castiel, oficiales de la primera secretaría de Estado y del Despacho^ comisionados por la universidad de Za ragoza para dar gracias á S. M. y A. por haberse dignado acceder á la so licitud par?. que el Sr. Infante fuese protector de aquella univ…</t>
  </si>
  <si>
    <t>Abentosa, Jósef</t>
  </si>
  <si>
    <t>Jósef Abentosa</t>
  </si>
  <si>
    <t>Gaceta de Madrid n.º 89</t>
  </si>
  <si>
    <t>…® rs. en efectivo: D. Juan Recalde 111549 rs. por intereses de 206 vales Reales de 150 pesos : D. Francisco García 4® rs. que se le deben por suministros que ha hecho al egército: D. Jósef Abentosa 3 rs. diarios para mantener un soldado durante la guerra: una persona, que h» pedido se le oculte su nombre, 116722 rs. y 9 mrs. por los réditos de una imposición sobre la renta del tabaco, y sueldos vencíaos de su retiro : Don Juan Antón 5® rs. que ha entreg…</t>
  </si>
  <si>
    <t>Abnazan, Joaquín</t>
  </si>
  <si>
    <t>Joaquín Abnazan</t>
  </si>
  <si>
    <t>Gaceta de Madrid n.º 119</t>
  </si>
  <si>
    <t>…iarán y deter minarán los .antes en su ausencia .y.-rebeldía en los estrados de dicho juzgado pri vilegiado, y les parará el perjuicio que haya lugar. En virtud de providencia del Sr. D. Joaquín Abnazan,del consejode S.M.‘. Te niente corregidor de esta villa, refrendada de IX Josef Antonio Canosa ,.escribano derhúmero de eíla , su fecha 1.8 del corriente, y para hacer pago á sus acreedores y censualista se ha mandado sacar segunda vei á pública subasta una c…</t>
  </si>
  <si>
    <t>Abneig, Luis</t>
  </si>
  <si>
    <t>Luis Abneig</t>
  </si>
  <si>
    <t>Gaceta de Madrid n.º 76</t>
  </si>
  <si>
    <t>…ayores 0.* Juan Ramírez Piéarro i, D. Cristóbal dé Reina, D. Vicente González Moro, D. &gt; Jman Loriga, D. Fernando Gocho, D. Mateo Hernández, 0. Pedro del Barco ; Jrá los capitanes D. Luis Abneig^ D. Josef Luna, D. Antonio Loriga, D. RamónCucalón., D.RamonTavaiy D, Pedro Argaiz, D:¡ Pabío Venéwies .y jDi jFramasco Sara víaDv Antonio Es parza , D. Andrés ArtiatyD. Josef Dalpy D. Josef Navarro, 0; Baltasar Co&gt; mellas, 0. Juan Brayo, D. Josef González Me…</t>
  </si>
  <si>
    <t>Abois, Ramón</t>
  </si>
  <si>
    <t>Ramón Abois</t>
  </si>
  <si>
    <t>Gaceta de Madrid n.º 90</t>
  </si>
  <si>
    <t>…ará por esto de llenar su objeto. Lá gallardía con que se han conducido todos en general , pero en espe cial el coronel de Estremadura Di Mariano* Rieafbrt, el alférez de la Union D. Ramón Abois, el teniente de navio D. Fernando Lizárza, el de fragata D. Francisco Javier Güira!, el alférez de navio D. Vicente Sánchez, y los de fragata D. Rafael Díaz y D. Angel de Santa María, que falleció, el sar gento primero de la Unión Francisco Giménez f el conde…</t>
  </si>
  <si>
    <t>…Guirál,, del alférez de navio D. Vicente Sán chez , y de los dé fragata D. Rafael Díaz y D. Angel Santa María, cuyo pa radera se ignora, del subteniente de granaderos de la Union D. Ramón Abois, del sargento primero de la misma Francisco Qimenéé^ .del condestable del navio D. Tomas de Lara , y en general'de todos los oficiales y guardias ma rinas, contramaestres y patrones. Mí segundo .comandante con una lancha particular, atracándose á la proa dél…</t>
  </si>
  <si>
    <t>Abreu, Jayme'Alvarez de</t>
  </si>
  <si>
    <t>Jayme'Alvarez de Abreu</t>
  </si>
  <si>
    <t>Actuación administrativa o judicial</t>
  </si>
  <si>
    <t>Gaceta de Madrid n.º 66</t>
  </si>
  <si>
    <t>…de toda justicia y órígeh de loá deberes del .hónibre*' que es Dios mismo: obra tfaducidadel francés af castellano para instrucción y pr¿-’ servativo dé los jóvenes españoles, por D. Jayme'Alvarez de Abreu, marques de la Regalía: un'tomo en 8. márquilia de büen papel y letra á. 12 rs. á la rústica y 15 en pastai'Se hallará en la librería de Báyjo, calle de las Carretas. - 1 1 Cartilla rústica compuesta para la instrucción de los labradores, zz Paráfrasis “dél o…</t>
  </si>
  <si>
    <t>Ábreu, Marcos Nuñez y</t>
  </si>
  <si>
    <t>Marcos Nuñez y Ábreu</t>
  </si>
  <si>
    <t>Gaceta de Madrid n.º 70</t>
  </si>
  <si>
    <t>…io. Él dia i.° de Diciembre último tuvieron la honra de presentarse á besar la mano á S. M., y cumplimentarle pór su feliz restitución al tFÓno en nomr bré de la ciudad cíe Tavira D. Marcos Nuñez y Ábreu, gobernador militar y político del partido- dé Infantes , en la provincia de lá Mahcha ; yén ribm-2 bre de la villa de Tarazona, en la misma provincia, el Dr.D. Mariano Rufi no González, corregidor que fue de la misma, y electo alcalde de corte eri el. consej…</t>
  </si>
  <si>
    <t>Acedo, Ignacio</t>
  </si>
  <si>
    <t>Ignacio Acedo</t>
  </si>
  <si>
    <t>Gaceta de Madrid n.º 69</t>
  </si>
  <si>
    <t>…ñez, Dv Miguel Palacios Ruiz, D^ Ramón Aguí lar, D. • Josef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Doh Andrés Fernandez…</t>
  </si>
  <si>
    <t>Acevedo, Felipe Perez</t>
  </si>
  <si>
    <t>Felipe Perez Acevedo</t>
  </si>
  <si>
    <t>…ro Acevedo, D. Juan de Vargas Lana, D. Jacinto Rotnarate,: ¡ DJ Eduardo Briant, D. Ramón Ortiz Otañez, Dv Miguel Palacios Ruiz, D^ Ramón Aguí lar, D. • Josef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t>
  </si>
  <si>
    <t>Acevedo, Félix Alvarez</t>
  </si>
  <si>
    <t>Félix Alvarez Acevedo</t>
  </si>
  <si>
    <t>Gaceta de Madrid n.º 56</t>
  </si>
  <si>
    <t>483</t>
  </si>
  <si>
    <t>…Infantería á D. Pedro Guerrero, Coronel del Regimiento Provincial de Tuy: grado de Coronel de Infantería á D. Francisco Iraola, Comandante agregado en el de Infan tería de Málaga; D. Félix Alvarez Acevedo, Comandante agregado en el de Tuy; D. Josef Feijoo, en el de Lugo; D. Facundo Ibañez, en el de Voluntarios de León, y D. Josef Llórente, en el Provincial de Santiago: de Teniente Coronel á D. Pedro Verea y D. Josef Cólmelo, del mismo Regimiento Provincial de…</t>
  </si>
  <si>
    <t>Acevedo, Pedro</t>
  </si>
  <si>
    <t>Pedro Acevedo</t>
  </si>
  <si>
    <t>…, D. Josef Mollinedo, D. Fermín Esterripa y D. Francisco de Paula Osorio. -Ascenso á capitanes de navio áTos de fragata D. Francisco Man¡on, Don Faustino Gnimii,: D. Rafael• Lobo, D. Pedro Acevedo, D. Juan de Vargas Lana, D. Jacinto Rotnarate,: ¡ DJ Eduardo Briant, D. Ramón Ortiz Otañez, Dv Miguel Palacios Ruiz, D^ Ramón Aguí lar, D. • Josef del:Camino y Cami no, D. Felipe Perez Acevedo, D. Ramón de la Sierra , D. Alejo Gutiérrez de Rübalcava, D. Luís…</t>
  </si>
  <si>
    <t>Acha, Ignacio</t>
  </si>
  <si>
    <t>Ignacio Acha</t>
  </si>
  <si>
    <t>594</t>
  </si>
  <si>
    <t>…co Saavedra, conde de Ezpeleta , D. Pedro^Gó mez Labrador y D. Antonio Vargas y Laguna. 1 De número, pequeña á D. Francisco Ortiz de Taranco. &gt; Supernumerarias á D. Gaspar Zurita, D. Ignacio Acha,D. Vicente Alzaybár., D. Josef Vareta y Montero, Barón de Gastellnou de Momech , Don Burges Camac, D. Josef Montenegro , D. Ventura Malibran, D. Pedro Juan de Olazagarre, D. Diego Henares y Tienda, D. Diego Miguel Bravo, Don Antonio vidaurreta, D. Juan Zarate…</t>
  </si>
  <si>
    <t>Acos, Miguel Sabino de</t>
  </si>
  <si>
    <t>Miguel Sabino de Acos</t>
  </si>
  <si>
    <t>Gaceta de Madrid n.º 43</t>
  </si>
  <si>
    <t>…del gobierno intru so hasta nueva orden de S. M., ni los que ademas de tener endoso á infi dentes esten reclamados por otra persona. En consideración á les méritos contraídos por D. Miguel Sabino de Acos ta, contador de la provincia de Toledo, le ha concedido S. M. los honores de intendente de provincia. _ ’ ' &gt; &lt;\ . _ En virtud de providencia del señor alcalde de casa j corte D. Josef Manuel</t>
  </si>
  <si>
    <t>Acosta, Antonio</t>
  </si>
  <si>
    <t>Antonio Acosta</t>
  </si>
  <si>
    <t>Gaceta de Madrid n.º 78</t>
  </si>
  <si>
    <t>sales, D. Diego.Carbonell,D. Antonio Bórdon$,D. Ignacio Velazquez,Don Andrés Ramos, D. . Josef Velez, D. Francisco Contreras, D. Manuel Auñon, Dt' Josef Palillos, D. Antonio Acosta, D» Francheo Menduiña, D. Julián Senessens^iD* Josef AraüjoyD. Antonio Rute, D. Manuel Santander, D. Josef Domínguez , D. Josef!Montero y D. Pedro .Trasierra , D. Frandsco Olmo:,* Don Fermí n Meneos^ «Dv VénturaiRiesco ,D. Josef Muñoz § D. Luis Gorrichátegui,…</t>
  </si>
  <si>
    <t>Acosta, Nicolás</t>
  </si>
  <si>
    <t>Nicolás Acosta</t>
  </si>
  <si>
    <t>Gaceta de Madrid n.º 75</t>
  </si>
  <si>
    <t>…iento del pais5 y porque atacó con decidido valor al enemigo en la dirección de la casa de Ra yón, apoderándose de las piezas, en lo que se distinguió el ayudante mayor de S. Luis D. Nicolás Acosta y el subteniente Rodríguez, de Tampico, lo mismo que el capitán Bustamanté, cuyo arrojo es bien conocido: el teniente de fragata D. Joaquin Santaolaya llegó igualmente de los primeros. El capi tán D. Josef María Mendoza, de fieles del Potosí, y los capitanes…</t>
  </si>
  <si>
    <t>…a á V. S., para que se sirva ihacerlo. á la superioridad,del Escmo. Sr. virey, y muy en particular á los tenientes de ¡ fragata D&gt; JoaquínSantaolay a, y el de dragones de. S. Luis D. Nicolás Acosta, al subteniente deTampico D. Francisco Rodríguez, y á los alféreces de fragata í&gt;- Juan Montenegro y D. Rafael Cortés, destacados por mí estos últimos con su infantería á ponerse en la barranca y acábar con los rebeldes que se habían guarecido en ella, como e…</t>
  </si>
  <si>
    <t>Acuña, Manuel González de</t>
  </si>
  <si>
    <t>Manuel González de Acuña</t>
  </si>
  <si>
    <t>Gaceta de Madrid n.º 111</t>
  </si>
  <si>
    <t>;: Para el obispado de Panamá ,r vacante' por faíiédhiíento de:D. Manuel González de Acuña, se ha servido S. ’M. nombrar al P. Fr. Higinio -Duran, mercenario calzado ; y para la ración vacante én la catedral de Durango en Nueva-España por fallecimiento de D. Nicolás de Villanueva ai Dr. D. Juan Francisco de Balda, cura propio de la villa del Nombre…</t>
  </si>
  <si>
    <t>Acuña, Pedro</t>
  </si>
  <si>
    <t>Pedro Acuña</t>
  </si>
  <si>
    <t>Gaceta de Madrid n.º 65</t>
  </si>
  <si>
    <t>…servido S. M. concedería^20© reales de pensión-sobre el obispado de Lugo, y el goce dé las rentas cor respondientes á los beneficios simples vacantes, uno en Yecla por muer te de D. Pedro Acuña, y otro en la parroquial de S. Miguel de la villa de Muía, ambos en el obispado de Cartagena,entendiéndose la pensión por solo siete años ; y el goce de los dos beneficios simples espresadox por el de 14 años , y sin perjuicio de lo que S.M. resolviere á cons…</t>
  </si>
  <si>
    <t>Adam</t>
  </si>
  <si>
    <t>Edición extraordinaria</t>
  </si>
  <si>
    <t>Gaceta de Madrid n.º 82 (extraordinaria)</t>
  </si>
  <si>
    <t>…ninguna clase de tropa que no se haya conducido bien. „Debo no obstante, hacer mención particularmente para la aprobación de $. A. R. del teniente general S. H. Clinton, del mayor general Adam , del teniente general Carlos, barón Alten, gravemente herido, del mayor general S. Colín Halket, ídem, del coronel Ompteda* del dé la misma graduación Mitchell, comandante de una brigada de la cuarta división, de los mayores generales S. J. Kempt , S. D. Pac…</t>
  </si>
  <si>
    <t>Adami, Antonio</t>
  </si>
  <si>
    <t>Antonio Adami</t>
  </si>
  <si>
    <t>Gaceta de Madrid n.º 81</t>
  </si>
  <si>
    <t>…, . ' En el Real cuerpo de Artillería.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t>
  </si>
  <si>
    <t>Adorno, Josef de Óvando y</t>
  </si>
  <si>
    <t>Josef de Óvando y Adorno</t>
  </si>
  <si>
    <t>…ices, al marques del Aguila y al conde de Qolomera. " » . : Idem con-entrada á D. Juan Pablo de Priego, ai conde de Santiago Ca11 maya, á DV Antonio Manuel Montenegro y Correa , á D. Josef de Óvando y Adorno , al marques de la Vega de Armijo y á D. Francisco Mallo BoneüiJ iPiazas de mayordomos de semana á D. Miguel Desmaisieres, al conde der Cumbrehermosa, á D. Josef Losada, al marques de la Regalía y á D. Anto nio Francisco de Lecumberri y Azcué. (Se continuará.…</t>
  </si>
  <si>
    <t>Adrián, Serafín</t>
  </si>
  <si>
    <t>Serafín Adrián</t>
  </si>
  <si>
    <t>Gaceta de Madrid n.º 54</t>
  </si>
  <si>
    <t>…D. Juan Tomas de la Torre y D. Josef Rivas: á subtenientes de ban dera ¿ los cadetes D. Josef María Arroyo, D. Pedro Safazar, D. Diego Li atón, y kl sargento primero de granaderos D. Serafín Adrián. En consideración al mérito contraído en la Florida Oriental en las últi mas ocurrencias por los milicianos urbanos , se ha dignado S. M. conceder grados de provinciales á los individuos de la citada milicia que ¿ continua ción se expresan: de Capitanes á D.…</t>
  </si>
  <si>
    <t>Aedo, Lorenzo Gómez de</t>
  </si>
  <si>
    <t>Lorenzo Gómez de Aedo</t>
  </si>
  <si>
    <t>Fallecimiento, herencia o memoria</t>
  </si>
  <si>
    <t>Gaceta de Madrid n.º 153</t>
  </si>
  <si>
    <t>…; la del eonvento.de religiosas agustinas descalzas, y .la del hospital. Los facultativos que quisieren hacer pretensión ¿ ella dirigirán sus memoriales con la brevedad posible á D. Lorenzo Gómez de Aedo, oficial de la secretaría de la cámara por loperteneciente al Real patronato-, que vive calle dePreciados, núm. 6. í Sedesea saber de Doña María Bautista , viuda de D. Joaquín Martínez que'mu rió en la plaza de S. Sebastian, ó su hija Doña Rosa Martínez, cuya…</t>
  </si>
  <si>
    <t>Agnado, Anselmo</t>
  </si>
  <si>
    <t>Anselmo Agnado</t>
  </si>
  <si>
    <t>Gaceta de Madrid n.º 16</t>
  </si>
  <si>
    <t>142</t>
  </si>
  <si>
    <t>…obispado dex Cuenca , á D. Valentín de Hortigiiela: pára otra prestamera de la Fuente dé Pedro Narro en dicho obispa do, vacante ;por fallecí mientó de p. Jósef González Grande, á D. Anselmo Agnado, cura' párroco dé'los Baños de Sacudón» Asimismo én ateooion á los</t>
  </si>
  <si>
    <t>Aguado, Joaquín</t>
  </si>
  <si>
    <t>Joaquín Aguado</t>
  </si>
  <si>
    <t>…:¡ Pabío Venéwies .y jDi jFramasco Sara víaDv Antonio Es parza , D. Andrés ArtiatyD. Josef Dalpy D. Josef Navarro, 0; Baltasar Co&gt; mellas, 0. Juan Brayo, D. Josef González Merino, D. Joaquín Aguado , Bou Ramón Palacio, D. Josef Meneses , D. Antonio Riosoto , 0. Manuel Monde* toro, D. Manuel Crespa, D. Luis María Sarasti, D. Tomas Orive, 0. Ma« jnuel Cayaleri , D. Agustín del Barco, D. Francisco Andrada, D. Juan Ltí« »ás,D. Joaquín ALvarez Maldbnado, 0.…</t>
  </si>
  <si>
    <t>Aguayo, Manuel</t>
  </si>
  <si>
    <t>Manuel Aguayo</t>
  </si>
  <si>
    <t>Gaceta de Madrid n.º 74</t>
  </si>
  <si>
    <t>…la ciudad de Cazorla, que vacó por muerte de D. Alejandro Ufano, á D. Juan Gómez de la Torre: otro beneficio servide ro vacante en la parroquia de S. Pablo de Ubeda por muerte de D. Manuel Aguayo á D. Gaspar Montejano.=El beneficio simple servidero de S. Pedro de la villa de Moya, diócesis de Cuenca, vacante por promoción de D. An selmo Aguado al de la villa de Sacedon, á D. Benito Josef Moyano y Vallejo..^ La ración, vacante en la catedral de Ciudad-…</t>
  </si>
  <si>
    <t>Agudelo, Julián</t>
  </si>
  <si>
    <t>Julián Agudelo</t>
  </si>
  <si>
    <t>Gaceta de Madrid n.º 64</t>
  </si>
  <si>
    <t>Í7f arcediano de Cornados, en la iglesia metropolitana de Santiago , ¿ D. Julián Agudelo. &gt; "" 'Articulo comunicado por la primera secretaria de Estado. .. . ' * . • - &gt; -1 ? El arte de1 construir punzones en acero, tan necesario para abrir matri ces donde fundir letras con «qué proveer á las imprentas del rey no,había ve nido íá ser tan raro ent…</t>
  </si>
  <si>
    <t>Agudo, Antonio</t>
  </si>
  <si>
    <t>Antonio Agudo</t>
  </si>
  <si>
    <t>Gaceta de Madrid n.º 123</t>
  </si>
  <si>
    <t>…cino, que fue de esta corte &gt; sobre denuncia propuesta por J). Éerna^dp Diego jMor^no Sauca de una casa, sita én ella, calle del Angel, num. 4 , marizana i 18, que,posee el citado D. Antonio Agudo: y por proyideíicia de 4 de este me$, dictada por el Sr. D. Nicolás Lamiel y Benages, ídel Consejo de S. M. enj¡el de Hacienda, Subdelegado general de los citados -bienes mostrencos , y Asesor general deGorreos, se ha mandado que rerpecito -haber tallecido el…</t>
  </si>
  <si>
    <t>Agudo, Tomas</t>
  </si>
  <si>
    <t>Tomas Agudo</t>
  </si>
  <si>
    <t>Gaceta de Madrid n.º 27</t>
  </si>
  <si>
    <t>…Valdés; Teniente de granaderos á D. Melchor Duran; idem de ca zadores á D. Ramón Lorente; idem de fusileros á D, Josef Salazar, D. Ra fael Galdia, D. Jo.ef Tucar, D. Juan Mijares, D. Tomas Agudo, Don Francisco Manuel Alvarez, D. Gregorio Baeza, D. Francisco La-Reguera y D. Vicente Aneses ; subtenientes de cazadores á D. Domingo Miranda y D. Juan Manuel Piedra, y subtenientes de fusileros á D. Juan de la Rosa, D. Julián Conde , D. Josef García, D. Ant…</t>
  </si>
  <si>
    <t>Aguila, Cristóbal del</t>
  </si>
  <si>
    <t>Cristóbal del Aguila</t>
  </si>
  <si>
    <t>PDF p. 9</t>
  </si>
  <si>
    <t>…anes , D Joaquín Aguijar, D. Santiago López Gascón, D. Ambrosio Mar tínez, ÉX C^ayemnp Ojezalde,; D.-Antonio Delgado, D. Gaspar Jover, Don NJarciso,Felipe, IX Josef Vilíavieencio, D. Cristóbal del Aguila, D. Berna-? Fe Chinchilla,, D. Manye! Carrasco, D. Tomas López, D. Miguel Bueno, JX Juliani Lop£z dq Ansó ¿'Di* Antonio Martínez, D. Eleuterio Munida, Don Á^anueí Andrada , !)» Domingo Blanco, D. Lorenzo Martínez, D. Isidro QJi* vares , D. Tomas Zamora, L&gt;. B…</t>
  </si>
  <si>
    <t>Aguila, Francisco del</t>
  </si>
  <si>
    <t>Francisco del Aguila</t>
  </si>
  <si>
    <t>Gaceta de Madrid n.º 125</t>
  </si>
  <si>
    <t>…regimien tos provinciales de Jerez, Ciudad-Rodrigo, Laredo, Santiago, Tuy, Bu jalance , Cuenca y Monterey, á los de infantería D. Antonio Jesús de Chin chilla, D. Pedro de Prado, D. Francisco del Aguila, D. Felipe Muñoz, D. Andrés Arroyo, D. Angel Alvarez Sotomayor, D. Pedro Angel Marcó del Pont y D. Heradio Alaiz. Y para igual empleo del regimiento provincial de Betanzos al Teniente coronel agregado al mismo cuerpo D. Pedro Váz quez Pimentel. Asimismo se ha…</t>
  </si>
  <si>
    <t>Aguila, Luis del</t>
  </si>
  <si>
    <t>Luis del Aguila</t>
  </si>
  <si>
    <t>…e ser ahora el teatro de una nueva derrota qué han sufrido estos, co mo manifiestan los siguientes partes que ha recibido el Escmo. Sr. capitán ge neral de este reino, i Parte del coronel D. Luis del Aguila , comandante general de los llanos de Apan. ’ „ Escmo. Sr.: Encargado por V. E. del mando general de las tropas y territorio de Apan con el objeto principal de atacar y destruir la reunión enemiga de Zacatlan, luego que recibí la aprobación ae V E. al proyect…</t>
  </si>
  <si>
    <t>Aguila.’, Luis del</t>
  </si>
  <si>
    <t>Luis del Aguila.’</t>
  </si>
  <si>
    <t>…guida con las ventajas que V. S. presencio. *■ - „Dios guarde á V. S. muchos anos. Santiago Chicnahuapa 27 de setiem bre de 1814. = Anastasio Bustamaiite; = Sr. comandante general coronel Don Luis del Aguila.’* &lt; „ Consecuente á la orden de V. S. del 24, que recibí por el sargento ma yor D. Josef María Travesí, me puse en marcha á las nueve dé la noche des de, la hacienda de Mazaquiahua. Unida que me fue la división del sargentp mayor D. Josef Barradas, marché desd…</t>
  </si>
  <si>
    <t>Aguilar, Josef</t>
  </si>
  <si>
    <t>Josef Aguilar</t>
  </si>
  <si>
    <t>…D. Jldefonso Nieto, D. Cristóbal Giménez, D. Miguel de Torres, D. R.afael Sánchez Sáravia, D. Ramón Polo, D. Miguel Linares, D. Juan Larrua , D. .Tomas Montero ,'D. Antonio Enfy, D. Josef Aguilar, D.” Juan de DiosVaidivia,D. Lázaro Caballero ,D. Antonio Floran, D.'Manuel García SegóVia,D. AntonioCarly , D. Mariano Baeza, D. Josef Liaño, D. Gonzalo Sóusá ,D. Bartolomé Leal ,D. Maniiel Rodríguez ,D. Simón AquaVera, D. Diego Ramón Mercader, D. Francisco…</t>
  </si>
  <si>
    <t>…nzo Martínez, D. Isidro QJi* vares , D. Tomas Zamora, L&gt;. Benito Reehel, D. Gaspar Nogueruela, Don Luis Medinilla , D. Pedro Medinilia, D, Joaquín García., D. Gregorio Arta-r cho, D. Josef Aguilar, D. Antonio Quadra, D. Felipe Doria, D. Vicente Ruiz)jD. ^Ramón-Quinan^ &amp; Geróriimq»dé G.éus, IX Josef Carrasco , Don josef Rae^a f ,D. Miguel Sánchez,,¡ D. Litis Vidarte, D. Tiburcio Martínez, IX Rufino; Andinql IX Antonio la Rosa i D. Pedro Albo, D. Nicolás…</t>
  </si>
  <si>
    <t>Aguilar, Josef Mariano Márquez de</t>
  </si>
  <si>
    <t>Josef Mariano Márquez de Aguilar</t>
  </si>
  <si>
    <t>…ad de D. Gabriel de la Vega Castillo, agente general de espediciones de Roma, se ha dignado S. M. concederle los honores de su secretario. Igualmente se ha servido S. M. nombrar á D. Josef Mariano Márquez de Aguilar para la vara de alcalde mayor de la ciudad de Mataré; para la de Cinco Villas en Aragón á D. León González del Camino; para la de la vi lla de Monoyar á D. Andrés Soler; para lá de Rivaroja á D. Vicente María López ; para lá de Turis á D. Cándido Francisco Ce…</t>
  </si>
  <si>
    <t>Aguilera, Benito Gabriel</t>
  </si>
  <si>
    <t>Benito Gabriel Aguilera</t>
  </si>
  <si>
    <t>…Se— arra; para la.de Concentaina á D« Gregorio Amorrich; para la de Elda á ). Francisco Pomares y Seller; para la de Chiva á D. Hilario Josef de Menf doza; para la de Bellinova á D. Benito Gabriel Aguilera; para la de Relleo I D. Francisco Cornago ; para la de las villas de Onil, Castalia y Tibi á D. Benito Dieguez. Igualmente se ha servido S. M. reponer en la vara de alcalde mayor segundo de la ciudad de Zaragoza á D. Antonio Caro y Cini. Nota de las ofertas q…</t>
  </si>
  <si>
    <t>Aguilera, Francisco Javier de</t>
  </si>
  <si>
    <t>Francisco Javier de Aguilera</t>
  </si>
  <si>
    <t>Gaceta de Madrid n.º 110</t>
  </si>
  <si>
    <t>1033</t>
  </si>
  <si>
    <t>…despechada guerra, y dár lagarta la vuelta tanto de la división del general JD. Juan Ramírez, como de otra de 300 hombres del segundo regimiento, que al mando de su sargento mayor D. Francisco Javier de Aguilera tuve queenviár en auxilio de la.-Piata ibmmentemente amenazadasegún los apuradps oficios-deisa Presidente y audrenday por los muchos cabecillas' de los partidos de1 ella:; me propase mantener ¡la. vanguardia enemiga en sobrésalro continuo , y paralizar por es…</t>
  </si>
  <si>
    <t>Aguilera, Juan Antonio Ruano y</t>
  </si>
  <si>
    <t>Juan Antonio Ruano y Aguilera</t>
  </si>
  <si>
    <t>IIJ2 te á D, Honorio María de Muro y Cote; y para el corregimiento político de Eciia á D. Juan Antonio Ruano y Aguilera. Para la vara de Alcalde mayor de ]as Poblaciones de Sierramorena, su capital la Carolina, á D. Domingo Crespo de León: para la de Campana á D. Josef Domingo Casaux: para la de Fuentidueña á D. Mariano Vergara Perez: para la de Almázan á D. Agus tín Medina y…</t>
  </si>
  <si>
    <t>Gaceta de Madrid n.º 137</t>
  </si>
  <si>
    <t>…á las tropas. D. Fernando Monto) a y Solio , mayordomo de semana de S. M., y brigadier de los Reales egércitos, todos los alcances que resulten en su favor por sueldos devengados. D. Juan Antonio Ruano y Aguilera, comisario ordenador honorario, caballero maestrante de Ronda, y regidor decano de la villa de Cabra , 52701 rs. y los,de nativos que hizo hasta 31 de Diciembre de 1809. D. Pedro del Rio, vecino y labrador de esta corte, 491923 rs. en créditos. S. M. se^ha se…</t>
  </si>
  <si>
    <t>Aguiriano, Josef</t>
  </si>
  <si>
    <t>Josef Aguiriano</t>
  </si>
  <si>
    <t>74</t>
  </si>
  <si>
    <t>…n*i zalez, catedrático de latiniJad en el seminario conciliar de Ja misma ciudad de Cuenca: para la media ración que resulta vacante en, la catedral de Ca lahorra por promoción de D. Josef Aguiriano á una canongía de la propia iglesia á D. Leandro Antonio de Alcázar, cura párroco de los Liárnosos y de Izana en el obispado de Osma: para el beneficio préstamo de la parroqiyia.de S Juan del lugar de Malva, el de la misma clase denominado de Santo Tomé, y ag…</t>
  </si>
  <si>
    <t>Aguirrc, Vicente Gascón y</t>
  </si>
  <si>
    <t>Vicente Gascón y Aguirrc</t>
  </si>
  <si>
    <t>Gaceta de Madrid n.º 142</t>
  </si>
  <si>
    <t>…y del comercio de lá Coruñá/ quien tiene asuntos interesantes que comuni carles. . • ■ ;' !1 La persona que supiere del paradero de D. Ciríaco de Eito, natural de Zarago za, y de D. Vicente Gascón y Aguirrc, oficial que fue de la contaduría de egército de aquella ciudad , ó de sus herederos, se servirá avisarlo á D. Felipe Rubio, vecino de la villa de Cáceres, D. Josef de Prada López, en Madrid, calle dé las Infantas, núm, 14, cuarto principal, los cuales tienen…</t>
  </si>
  <si>
    <t>Aguirre, Carlos de</t>
  </si>
  <si>
    <t>Carlos de Aguirre</t>
  </si>
  <si>
    <t>Gaceta de Madrid n.º 94</t>
  </si>
  <si>
    <t>…¡hdA vb JET»* Salamanca..... D. Francisco de fZúñiga y ¿Barbosa** En Santander • M*** Señores Vial é hijo. En Cartagena..... D. Francisco Giivilles menor. E¡n Z+enta............. D. Carlos de Aguirre. r, i dar él debido cumplimiento á las Reales órdenes de $.. M. acerca ¡de la Iqtéiríá de ^ales, ha tohiádo la‘dirección genera! de las Reales loterías, que está á nuestro cargo , las disposiciones necesarias á fin de que el sorteo rimero de 31 de Mayo de est…</t>
  </si>
  <si>
    <t>Aguírre, Francisco</t>
  </si>
  <si>
    <t>Francisco Aguírre</t>
  </si>
  <si>
    <t>…lacampa y D. Manuel Ubi ría : grado de tenientes á los guardias Dori Juan Nepbmuceno Roldan, D. Laureano Melena, D. Josef Sandoval, t). An&gt; • tonio Megía, É). • Eugenio Ábergoza , D. Francisco Aguírre , D. Braulio Ro-í drigo, D. Manuel Medina , D: Josef Ria ño y D. Benito Coca. (Se continuará.) t , Artículo de, .oficio del ministerio de la Guerra. &gt; , ;[ En el despacho de hoy he hecho presente al Rey nuestro Señor lo qué ■ : 1'• - ‘■:r' ,r •sigue: "v , „ S…</t>
  </si>
  <si>
    <t>Aguirre, Josef Domingo de</t>
  </si>
  <si>
    <t>Josef Domingo de Aguirre</t>
  </si>
  <si>
    <t>…os Sres. Uhagon hermanos, Manzarraga y Usarte, Bayo é hijo y compañía, Jane, Orbegozo y Castañares, D. Josef de Irunciaga, D. Francisco de Lemonauría, D. Benito Felipe de Gainmde, D. Josef Domingo de Aguirre, D, Mariano Perez 4e;Nemn,, D. Pascual Jo^efde Ardanáz, D. Diego Macmahon, Goossens e mjo, D. ManuelMa* Íía de Aldecóa , D. Antonio Juap de Viidosola, D. Cirilo Perez de Necio* D. Francisco de Lemonauría hijo y D. Juan Laurencio. A fin de que este establecimi…</t>
  </si>
  <si>
    <t>Aguirre, Josef Eustaquio de</t>
  </si>
  <si>
    <t>Josef Eustaquio de Aguirre</t>
  </si>
  <si>
    <t>PDF p. 12</t>
  </si>
  <si>
    <t>del año pasado de i813, que son respectivos £ la quiebra y concurso de acreedores £ D. Josef Eustaquio de Aguirre, de este comercio , sc manda citar y emplazar a cuantos se estimen con derecho á dicha dependencia y masa, para que en el preciso término, de un año. acudan á formalizarlo con los documentos que le* comprueben»; prevenidos que de no hacerlo, los pagos sucesiv…</t>
  </si>
  <si>
    <t>Aguirre, Lorenzo</t>
  </si>
  <si>
    <t>Lorenzo Aguirre</t>
  </si>
  <si>
    <t>…sión á María Duprit, que disfrutaba su madre , por haber muerto en la acción de Bailen s.u. padre el sargento Francisco Duprit •. et empleo de alférez d cadete de1 dicho, batallón D. Lorenzo Aguirre, por ser 1 el mas antiguo de $u ciase; eL grado de teniente coronel al alférez D. Vicente Martínez, ayu dante dragón: el empleo de capitanes supernumerarios, sin antigüedad, á los primeros tenientes D. Josef Cortes y D. Manuel Liaño: el grado de coronel al pr…</t>
  </si>
  <si>
    <t>Agus</t>
  </si>
  <si>
    <t>…. M. comunico á V. para su inteligencia y efectos correspondientes. Dios guarde á V. muchos años. Madrid 4 de Jíumo de El Rey nuestro Señor en atención ádos méritos y servicios de D. Agus~tín Ramón Valdés, vecino de la ciudad de la Havana, se ha servido conce derle , á consulta de la cámara de Indias de 4 de Enero de este año , merced de título de Castilla con la denominación de conde de S. Estéban de Cañongo , vizconde de Casa-Valdés. El Rey…</t>
  </si>
  <si>
    <t>…amorena, su capital la Carolina, á D. Domingo Crespo de León: para la de Campana á D. Josef Domingo Casaux: para la de Fuentidueña á D. Mariano Vergara Perez: para la de Almázan á D. Agus tín Medina y Lavalle: para la de Zafra á D. Juan Crisóstomo de la Peña: para la de Cazorla á D. Manuel María de Peralta: para la de Benamegí á D. Cristóbal María Auton: para la de Cervera del Rio-Pisuergá á D. Roque Naranjo: para la de Astudillo á D. Eustaqui…</t>
  </si>
  <si>
    <t>Águsfiñ</t>
  </si>
  <si>
    <t>Gaceta de Madrid n.º 113</t>
  </si>
  <si>
    <t>…á V¿ muchos años. Madrid? íe de Agosto de 1815 ¿ssFrancisco Va’ •fiesteros. '■ v ::¡ Habiendo sido hecho prisionero en la plaza de1 Jacá e! Capitán del Rea! cuerpo de; Tngenjéros D. Águsfiñ:Gáftu&amp;p&amp;V", &amp; fcrlíó'idé Coman-» dan te de su ármáai' tiémpóde :suv réhdici^h, sé'jbféséhto dii ésta Córte des pués de concluida, la auerra * y fústifi^'ctrál 'dó^és^hdiá diié su conducta militar y política-durante. el tiempo, de prisionero hapia sido como de…</t>
  </si>
  <si>
    <t>Agustín, Lorenzo</t>
  </si>
  <si>
    <t>Lorenzo Agustín</t>
  </si>
  <si>
    <t>Gaceta de Madrid n.º 21</t>
  </si>
  <si>
    <t>…agrado concilio tridentinó paré lós pát¿ roeos de toda la Iglesia, y publicadopor Si Pió vY ^radúcido del latín al castilla* so , según el decreto del mismo sagrédó concilio ; por D. Lorenzo Agustín dé Man* tiróla: corregido y entnéndadoen éstaquártahnpresionr-dos1 tomos ea ^ ss El Viagero Universal; ó noticia dél mundo antiguo y nuevo: obra recopilada de loi tneiores ¡autores d e má vr»r vr ocimítmn sé darán tomos Suél- viaírÍR*Y‘8 o ano ^perpetuo eucan…</t>
  </si>
  <si>
    <t>Ahdrade, Jacinta</t>
  </si>
  <si>
    <t>Jacinta Ahdrade</t>
  </si>
  <si>
    <t>Gaceta de Madrid n.º 103</t>
  </si>
  <si>
    <t>…nes á una de las huérfanas de los militares ó patriotas que hubieren muerto en defensa de la justa causa de la nación , ha cabido en suerte del primer estracto de la de este día á Doña Jacinta Ahdrade, hija del patriota, muerto en acción de guerra. Xa estraceíon siguiente se egecutará el 18 de Setiembre próximo. ARTICULO DE OFICIO. Con motivo del fallecimiento de S. A. S. el Sr. Duque de Brunswick, ha resuelto el Rey que se vista la corte de luto por ocho…</t>
  </si>
  <si>
    <t>Aíárcon, Josef</t>
  </si>
  <si>
    <t>Josef Aíárcon</t>
  </si>
  <si>
    <t>Gaceta de Madrid n.º 37</t>
  </si>
  <si>
    <t>Llórente, D. Celestino Rodrigue* y D. Joaquín Collado: al de volunta* ríos de Avila D. Josef Aíárcon: á los del regimiento provincial de Segovia 1). Nicolás de Torres, D. Bernardo Miravalles , D. Gerónimo Rodrigo, D. Domingo Chaves y D&lt; Fernando Mateos Mettdez : á los de los batalló-» nes de Ciudad-Rodrigo D. Ramón ViMate, D. Marcelo Sicilia , D. Ju?ndé Saht…</t>
  </si>
  <si>
    <t>Aiberola, Juan Bautista</t>
  </si>
  <si>
    <t>Juan Bautista Aiberola</t>
  </si>
  <si>
    <t>Gaceta de Madrid n.º 60</t>
  </si>
  <si>
    <t>…D. Agustín Guaxardo y Faxardo; y para el de Murcia á D. Manuel Deñamayor y Echavarri. Para el corregimiento de letras de Linares á D. Josef Julián de Ortega: para el de Anduxar á D. Juan Bautista Aiberola: para el de Olmedo á Don Gil de S. Juan Benito: para la vara de alcalde mayor de Málaga á D. Vicen te de Tormo y Pont: para la de la Isla de León , de tercera ó superior clase, á D. Ignacio Yañez Rivadeneyra; y para la de Badajoz á D. Antonio Jo sef Galindo:…</t>
  </si>
  <si>
    <t>AIbert, Vicente Gil</t>
  </si>
  <si>
    <t>Vicente Gil AIbert</t>
  </si>
  <si>
    <t>Gaceta de Madrid n.º 98</t>
  </si>
  <si>
    <t>933</t>
  </si>
  <si>
    <t>…s del concejo D. Fermín Fernandez de la Cuesta, D. Joaquín Perez , D. Balta sar Carrillo, D. Pedro Marcelino Blanco, D. Gregorio Moreno, D. Manuel Frutos , D. Cristóbal Hernández, D. Vicente Gil AIbert,L&gt;. Josef Ramírez y D.,Bernardo González Alvarez, su procurador general. Igualmente el 30 del mismo mes se presentaron también á S. M., y le fe licitaron con igual motivo en nombre del partido de Castropol y de sus 14 concejos en el principado de, Asturias ,&gt;…</t>
  </si>
  <si>
    <t>Aicayde, Manuel de</t>
  </si>
  <si>
    <t>Manuel de Aicayde</t>
  </si>
  <si>
    <t>…o Castejon Hernández ; y para el corregimien to de Chiclana á D. Bartolomé Luis Lobaton y Sánchez. El Rey nuestro Señor se ha servido conceder les honores de su predica dor al Dr. D. Manuel de Aicayde, teniente vicario general de Cartagena y su obispado, en consideración á su carrera literaria, y particulares servi cios contraídos en las pasadas circunstancias. ' Un Vecino de la villa de Priego , en el reyno de Córdoba, cuya modes tia no ha permitido se ma…</t>
  </si>
  <si>
    <t>Aimazan, Joaquín</t>
  </si>
  <si>
    <t>Joaquín Aimazan</t>
  </si>
  <si>
    <t>…emios mayores en, 15 de Junio de 1803 , ,y es tá* hecha postura en la cantidad que representa á metálico, con descuento del 8g por 1091. Quien quisiere hace rme jora acuda ante el Sr. D. Joaquín Aimazan, .teniente, corregidor de esta villa, por ía escribanía de su número que egerce D. Juan Raya, dentro de 15. dias, y está señalado para su remate.el aS de,este mesNá,las 12 en la_ audiencia del mismo señor. Se halla vacante el partido de cirujano de la villa d…</t>
  </si>
  <si>
    <t>Gaceta de Madrid n.º 150</t>
  </si>
  <si>
    <t>…Real y supremo Consejo.de cámara de las Indias , en nom brarle regente de la mencionada audiencia por fallecimiento del que lo eüa D. Tomas González Calderón. Por providencia del Sr. D. Joaquín Aimazan y 0108600, del consejo de S. M.; teniente-corregidor de esta villa, dada por la-escribanía propietaria de D.;Gristóbal Vicuña en 11 del pasado, se ha mandado sacar á pública subasta la parte que</t>
  </si>
  <si>
    <t>Aizaa, Vicente</t>
  </si>
  <si>
    <t>Vicente Aizaa</t>
  </si>
  <si>
    <t>Gaceta de Madrid n.º 23</t>
  </si>
  <si>
    <t>198</t>
  </si>
  <si>
    <t>…lena de la expresada ciudad de Jaén: para el beneficio préstamo de Castro, obispado de Jaén, que vacó por muerte de D. Juan de Entrena, para el de Escañuela, que lo está por la de D. Vicente Aizaa, el de Garciez por la de Don Francisco Izquierdo, el priorato rural de Castro por la de D. Alfonso Mu ñoz Palomares, y el beneficio servidero de Villanueva del Arzobispo, va cante también por fallecimiento de D. Francisco Félix Cameros, todos en la expresada…</t>
  </si>
  <si>
    <t>AJexandro</t>
  </si>
  <si>
    <t>Gaceta de Madrid n.º 47</t>
  </si>
  <si>
    <t>…ientos que en vano intentan turbar la paz de la Europa*” En otra gaceta también de Viena se dice que luego que se recibió allt la noticia del desembarco de Napoleón en Francia, el emperador AJexandro había despachado 21 correos á diferentes puntos de sus estados, dando órdenes executivas para que pusiesen- en marcha inmediatamente y con la mayor celeridad posible sus exércitos, y que las tropas prusianas estaban ya caminando hacia Francia. Por el mismo co…</t>
  </si>
  <si>
    <t>Ajo, José Buepavenmra</t>
  </si>
  <si>
    <t>José Buepavenmra Ajo</t>
  </si>
  <si>
    <t>Gaceta de Madrid n.º 2</t>
  </si>
  <si>
    <t>…sco.Ar«c'r. é hijea,del comerció de Barcelona, señalados con'los liúimeroS siguientes: 58981.4, 1S97KÍ, 5 $Lijgo3.w 19S£44:» 16 5940,* 154170, endosados en 27 de Agosto último por D. José Buepavenmra Ajo^ i fi#r iit dtéhos; Sres. Arxejr é hijos2 0 5 2222 09060 y a163,09, endosados en 25.</t>
  </si>
  <si>
    <t>Al, Miguel</t>
  </si>
  <si>
    <t>Miguel Al</t>
  </si>
  <si>
    <t>Gaceta de Madrid n.º 51</t>
  </si>
  <si>
    <t>…Dada en Palacio á 18 de Marzo de 1815.= YO EL REY.= Yo D. Juan Ignacio de Ayestarán, Secretario del Rey nuestro Señor, lo hice escribir por su mandado. = El Duque dei Infantado. = D. Miguel Al fonso Vilagómez. = D. Manuel de Torre$.= D Juan Antonio González Car rillo. = D. Tadeo Gómez. =r Registrada, Aquilino Escudero. =s Teniente de Canciller mayor, Aquilino Escudero. El Rey nuestro Señor se ha servido expedir con fecha de 25 del cor riente el dec…</t>
  </si>
  <si>
    <t>Al, Rntqnio de</t>
  </si>
  <si>
    <t>Rntqnio de Al</t>
  </si>
  <si>
    <t>Gaceta de Madrid n.º 100</t>
  </si>
  <si>
    <t>…ario de ctrugta de esté célebre profesor, aumentada y publicada él ano 7? de Ja república fraheesa por Francisco iBichat, Su discípulo, y traducido al castéanocon notas por el pr. D. Rntqnio de Al faro, ayudante de embarco de la Real armada : un tomó en 4. Se pillará en Madrid en la librería dé Villareaiv'calle de s ^ arre as, y en Cádiz en la de Pajares. El autor dé esta obra, cuyos vastos conócimienos y genio emprendedor le hicieron egecutar cosas nu…</t>
  </si>
  <si>
    <t>Al, Tiburéto</t>
  </si>
  <si>
    <t>Tiburéto Al</t>
  </si>
  <si>
    <t>Gaceta de Madrid n.º 57</t>
  </si>
  <si>
    <t>…os autos de su inventario, 4 fin de acredi tar sus derechos; en la inteligencia que pasado este término les parará todo perjuicio. Habiéndose celebrado junta pór los acreedores de D. Tiburéto Al faro 4 la pre sencia del Sr, D. León de la Cámara Cano, juez que conoce de los autos de- con curso del nmmo , en 23 de Abril próximo pasado se acordó entre otras cosas que dichos acreedores acudan á legitimar sus créditos ante el comisionado nombrado al efect…</t>
  </si>
  <si>
    <t>Al-, Josef Miguel</t>
  </si>
  <si>
    <t>Josef Miguel Al-</t>
  </si>
  <si>
    <t>704</t>
  </si>
  <si>
    <t>…ás de la Rosa y Chacón á D. Fernando Alba, cura del Sagrario de la misma iglesia. = La canongía de la catedral de Cuenca, vacan te por muerte de D. Antonio de Rojas y Galabardo, á D. Josef Miguel Al-</t>
  </si>
  <si>
    <t>Al-, Mariano</t>
  </si>
  <si>
    <t>Mariano Al-</t>
  </si>
  <si>
    <t>…os tenientes D. Josef Marín, D. Josef Alcázar, Dr Josef de Castro,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Rafael Solano, Di Josef; Majríaí Prieto , Q¿ Fráncisco…</t>
  </si>
  <si>
    <t>Al.varez'y, Baltasar</t>
  </si>
  <si>
    <t>Baltasar Al.varez'y</t>
  </si>
  <si>
    <t>Gaceta de Madrid n.º 128</t>
  </si>
  <si>
    <t>…: Por él juzgado del gobierno militar de 14 plaza de Sevilla se están siguiendo au tos de inventario de los bienes JqúédadosÍpbr fa ttíuerte abiritvestató!del' teniente co-’ ronel D. Baltasar Al.varez'y aunque eti ellos sé han personado diferentes parientes del difunto pretendiendo, se les declare por únicos* herederos á instancia del abo gado fiscal , evacuando el.traslado que se le comunicó de la referida solicitud, se ha mandado publicar en la gaceta de e…</t>
  </si>
  <si>
    <t>Alaasoro, Ramón</t>
  </si>
  <si>
    <t>Ramón Alaasoro</t>
  </si>
  <si>
    <t>…de Mendoza, alcalde mayor de Murcia* y á D. Julián Ruia Marín , alcalde mayor de Ubriquei , En atención á los méritos y particulares; servicios de D, Manuel Antonio de Echevarría, D. Ramón Alaasoro, D. Andrés Ibañez y D. Ramón Queraltó j ha tenido i bien S. M. nombrarles al primero para la intendencia del egército de operaciones de Navarra y provincias vascongadas, al segundo para la del de campaña de.Cataluña, al tercero para la de la misma.clase de Ar…</t>
  </si>
  <si>
    <t>Alaja, Francisco</t>
  </si>
  <si>
    <t>Francisco Alaja</t>
  </si>
  <si>
    <t>…a deS. Hipólito de la ciudad de Córdoba, vacante por no haber toma do posesión de ella D. Celestino Sánchez, nombrado posteriormente para una canongía de la catedral de Sevilla, á D. Francisco Alaja, cura de la parroquial de Sta. Bárbara de Ecija: en la expresada iglesia colegiata de S. Hipólito una canongía,vacante por muerte de D. Antonio de la Iglesia, á D. Juan Rósete: otra canongía vacante por muerte de D. Joaquin Calero y Pedrajas á Don Manuel de l…</t>
  </si>
  <si>
    <t>Alambra, Lorenzo</t>
  </si>
  <si>
    <t>Lorenzo Alambra</t>
  </si>
  <si>
    <t>…chátegui,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t>
  </si>
  <si>
    <t>Alameda, Francisco</t>
  </si>
  <si>
    <t>Francisco Alameda</t>
  </si>
  <si>
    <t>…. Josef Olaeta■, Don Andrés Pitadaveyga, D. Ramón Bañuelos, -D. ♦ Juan Duran, D. Simón Poncé pjeLeón, D. Jóséf de Roca, D. Francisco de la Rosa, D. Alonso Tiscar* P. Manuel Tosta, D. Francisco Alameda, D.. Tomas Gómez Qui janó, Don Joaquín Vial ,’D. Francisco Sirera, D. Antonio dé la Rosa y D. Juan Bermuy.' ^ Ascenso á alféreces de navio á los dé fragata D. Manuel Arechevala, Don Agustín Bocal a n, D. Matías Aldao, D, Diego Gadea, D. Antonio Mella, Don Jos…</t>
  </si>
  <si>
    <t>Alaminos, Francisco Jouy D- Juan</t>
  </si>
  <si>
    <t>Francisco Jouy D- Juan Alaminos</t>
  </si>
  <si>
    <t>…Navas, Don Manuel Rodríguez, 0. Fernando López, 0. Juan Sénovilla, 0. Santiago Pereira, D. Sabas Marín, D.1 Manuel dét Castillo * 0 Juiuin Benita,' 0. Jñari González deL Castfllo, D. Francisco Jouy D- Juan Alaminos#, D* Pedro Gar cía ,JX Juan" Sánchez Illescas-, D. Antonio González.* 0.' ManueL de las Ríos, D. Juan López , 0. Luis Rodríguez , 0« Manuel Ravanera., D. Antonio Ar de rius, D. Juan Molina, D. Manuel Pedtet: de tenientes á los. subtenientes D. Luis Carrillo,…</t>
  </si>
  <si>
    <t>Alarcon, Bernar do</t>
  </si>
  <si>
    <t>Bernar do Alarcon</t>
  </si>
  <si>
    <t>Gaceta de Madrid n.º 68</t>
  </si>
  <si>
    <t>611</t>
  </si>
  <si>
    <t>…de Estado y del despacho de Gracia y Justicia. La dignidad de abad de santa Leocadia en la iglesia primada de To ledo , vacante por fallecimiento de D. Francisco Perez Sedaño , á D. Bernar do Alarcon, capellán de la Real capilla denominada de Reyes nuevos de To* ledo ; la canongía que vacó en la misma iglesia por muerte de D. Pablo Re cio y Tello á D. Bonifacio Tosantos, lectoral cíe la de Sto. Domingo de la Calzada; la capellanía Real que resulta vacante…</t>
  </si>
  <si>
    <t>Alarcon, Juan Lorenzo</t>
  </si>
  <si>
    <t>Juan Lorenzo Alarcon</t>
  </si>
  <si>
    <t>Gaceta de Madrid n.º 145</t>
  </si>
  <si>
    <t>…fincas cuya venta propone la Dirección del Crédito público. Fincas secularizadas que pertenecen d Consolidación y administra e¿te establecimiento. GRANÁDA.___fincas. Capellanía de D. Juan Lorenzo Alarcon. Üna casa núm. 18 en el Maúron, en Granada: otra núm. 19 en id. id.: otra nu mero 17 en id. id.: otra núm. 14, calle Sta. Isabel, id. Capellanía de Juan San Martin y Palma. Una casa num. 11, calle S. An tón junto á la nueva, id.: otra con su huerto, en Arbole…</t>
  </si>
  <si>
    <t>Alava</t>
  </si>
  <si>
    <t>Gaceta de Madrid n.º 139</t>
  </si>
  <si>
    <t>PDF p. 2</t>
  </si>
  <si>
    <t>…tino ha salido para Varsovia &gt; como tam bién, el Príncipe Barclay de Tolly con su cuartel general. GRAN BRETAÑA. Londres 1$ de Octubre. S. A. R. el Príncipe Regente ha nombrado al Sr. Alava, teniente general de los egércitos de S. M. Catódica, comendador honorario de la orden militar del Baño, en consideración á los importantes servicios que hizo este oficial español mientras estuvo unido al egército ingles mandado por el Duque de Wellington en…</t>
  </si>
  <si>
    <t>Alava, Ignacio de</t>
  </si>
  <si>
    <t>Ignacio de Alava</t>
  </si>
  <si>
    <t>Gaceta de Madrid n.º 155</t>
  </si>
  <si>
    <t>…la que pasó en gran ceremonia desde la pieza que le estaba destinada para vestirse el manto, é hicieron su profesión en la forma estable cida los Excmos. Sres. D. Pedro Cevallos, D. Ignacio de Alava, inquisidor ¿eneral, Duque de Alagon , Conde de Torre jon \ y Marques de Sta. Cruz* caballeros novicios Grandes Cruces de la Orden. .Sucesivamente se cantó upa</t>
  </si>
  <si>
    <t>Alba, Fernando</t>
  </si>
  <si>
    <t>Fernando Alba</t>
  </si>
  <si>
    <t>…ga, á D. Tomas Ugarte , canónigo de la catedral de Teruel, ss La dignidad cíe chantre que ha vacado en la catedral de. Cádiz por falleci miento de D. Nicolás de la Rosa y Chacón á D. Fernando Alba, cura del Sagrario de la misma iglesia. = La canongía de la catedral de Cuenca, vacan te por muerte de D. Antonio de Rojas y Galabardo, á D. Josef Miguel Al-</t>
  </si>
  <si>
    <t>Albarran, Sebastian Pineros</t>
  </si>
  <si>
    <t>Sebastian Pineros Albarran</t>
  </si>
  <si>
    <t>…s de Aragón á otra de la de Orihuela, á O. Manuel Carro, diácono, subteniente del regimiento infantería de Guadalajara. = La canongía vacante en la catedral de Coria por muerte de D. Sebastian Pineros Albarran á Don Ildefonso Gómez Calama, cura rector del lugar de Valdefuentes. = La cauongía que ha resultado vacante en la catedral de Tuy por promoción de D. Juan Cárlos Vales Baamonde á la metropolitana de Santiago á D. Joa quín de Arévalo.= La canongía que ha vacad…</t>
  </si>
  <si>
    <t>Álbear, Miguel de</t>
  </si>
  <si>
    <t>Miguel de Álbear</t>
  </si>
  <si>
    <t>Gaceta de Madrid n.º 135</t>
  </si>
  <si>
    <t>…en este dovocionarió, com puesto por D. Josef Ventura Pastor. Se hallará en la librería de la vjuda de Quiroga, calle de las Carretas. Memoria sobre las ecuaciones superiores, por D. Miguel de Álbear. Se vende en Madrid en el despacho de obras de Ja dirección de hidrografía, cálle de Alcalá, y en Cádiz en el depósito de hidrografía, casa titulada de la Camorra: su precio 2 § rs. vn. Estampa nueva de S. Juan Nepomuceno en cuartilla de marca mayor, dibujada…</t>
  </si>
  <si>
    <t>Albelda, Juan</t>
  </si>
  <si>
    <t>Juan Albelda</t>
  </si>
  <si>
    <t>Gaceta de Madrid n.º 3</t>
  </si>
  <si>
    <t>21</t>
  </si>
  <si>
    <t>…rta, Ayudante de la Plaza de Ciudad Rodrigo: al grado de Capitán á los Tenientes D. Pablo Baza, del Real Cuerpo de Artillería, 0. Tomas Yarto, D. Santiago Otero, D. Andrés Floren, D. Juan Albelda, 0'. Manuel Michel, D. Francisco Arahgo, y D. Estéban López, del Regi miento de Mallorca; á D. Félix Llano, D. Gregorio Martin, D. Gabriel Olgado, D. Josef Mela, D. Felipe San Alberto, D. Pedro García de Várgas ,y D. Agustín Reviila, del de Voluntarios de Avi…</t>
  </si>
  <si>
    <t>Albergoti, Uiises</t>
  </si>
  <si>
    <t>Uiises Albergoti</t>
  </si>
  <si>
    <t>…nzajez Peraveles, .4 consecuencia de un parte dado por este á la Junta de Lugo sobre lo ocurrido.en la noche dei 22 al 23 de Julio, de 1810 en la divi sión que mandaba el. General D. Uiises Albergoti; mandó S. M. que pasasen dichas, representaciopes al Consejo supremo de la Guerra, juntamente con la referida causa original, y demas antecedentes que hubiese en la materia, pa ra que con presencia de todo consultase lo que le pareciese arreglado á justi*c&amp;;r…</t>
  </si>
  <si>
    <t>Albert, Mauricio</t>
  </si>
  <si>
    <t>Mauricio Albert</t>
  </si>
  <si>
    <t>…ejo, D.^joaguin Vargas Machuca, D. Josef de la Sendéja, D. Andrés Tacón, P. Joaquín Ro dríguez de Ribera , D. Pedro Germán D. Josef de Torre Llobregat, D. An tonio Villavicencio , D. Mauricio Albert, D. Manuel Villavicencio, D. Fran cisco Fernandez dejos Senderos , D. Josef Saravia ,* D. Manuel Vigo, Don Gaspar Pineda, D. Josef Mozo, D. Juan de* la Cueva, D. Juan Delgado,: D. josef Febrer , D; Mariano Henarejos, D; Ciríaco Mella , D. Juan Sanjurjo, D. Ig…</t>
  </si>
  <si>
    <t>Albertini</t>
  </si>
  <si>
    <t>Gaceta de Madrid n.º 18</t>
  </si>
  <si>
    <t>…r lo qual se resolvieron á abandonar aquel ter ritorio , y en .número de 800, entre ellos 5,9 religiosos, se trasladaron á la isla de Chipre, llevando por gefe y superior al limo. Sr. Albertini. De de luego fueron acogidos con humanidad por el gobernador de la isla, hombre de carácter dulce y pacífico» el qual les facilitó que se domiciliasen en las inmediaciones de la ciudad de Nicosia. Allí fue donde, por no chocar con las prácticas religiosas del…</t>
  </si>
  <si>
    <t>Alberto</t>
  </si>
  <si>
    <t>…ia , ni se conforma con la política de las otras potencias. • ; Hace algunos dias que ic sostiene la voz de que vendrá aquí el -rey de Saxonia , y que se alojará en el palacio del duque Alberto. » Los acontecimien tos de la Serfia, que no dexan de distraer at congreso^ V que podrán hacerse mas serios, se cuentan^ de ésta: manera. Los turcos* dórame los años de 1813 y 1814, violaron» en la Servia las promesas del Gran Señor, tocantes á !a amnistía y…</t>
  </si>
  <si>
    <t>Gaceta de Madrid n.º 39</t>
  </si>
  <si>
    <t>PDF p. 1</t>
  </si>
  <si>
    <t>…Marzo. Los publicistas alemanes han publicado en distintos tiempos varias noti cias sobre los aumentos sucesivos de la casa de Austria, que son los siguientes*. Quando falleció el rey Alberto 1, primer duque de Austria,en 1308 te man ya los estados de Austria .4706 leguas quadradas. En 1518, quando fa llecióMaximiliano 1, contenían 13780 leguas quadradas, y 24413 quando falleció Fernando 1, que reunió á sus posesiones gran parte de la Hungría, Boh…</t>
  </si>
  <si>
    <t>Gaceta de Madrid n.º 44</t>
  </si>
  <si>
    <t>374</t>
  </si>
  <si>
    <t>374 ravij, y ha llegado bueno á Brunn. S. A. Jt. el duque Alberto, y el prín cipe Antonio, hermano del Rey, recibieron á S. M. al salir del coche. Des de Brunn debe ir al palacio llamado de Schlosthoff en Presburgo. El príncipe de Metternich ha retirado el plan de organización de Alema nia. La discusión debe abrirse sobre l…</t>
  </si>
  <si>
    <t>Alberto, Felipe San</t>
  </si>
  <si>
    <t>Felipe San Alberto</t>
  </si>
  <si>
    <t>…, D. Juan Albelda, 0'. Manuel Michel, D. Francisco Arahgo, y D. Estéban López, del Regi miento de Mallorca; á D. Félix Llano, D. Gregorio Martin, D. Gabriel Olgado, D. Josef Mela, D. Felipe San Alberto, D. Pedro García de Várgas ,y D. Agustín Reviila, del de Voluntarios de Avila; á D. Pedro Doz, D. Ignacio Fuerte , D. Josef Gacet, D. Guillermo Dot, y D. José f Villar de Francos, del Provincial de Segovia; á D. Santiago Muriedas, D, Isi doro Moreno, D. Anton…</t>
  </si>
  <si>
    <t>Albiilos, Vicente Ruiz de</t>
  </si>
  <si>
    <t>Vicente Ruiz de Albiilos</t>
  </si>
  <si>
    <t>Gaceta de Madrid n.º 42</t>
  </si>
  <si>
    <t>…colegial de Junquera de Ambia en aquella diócesis: para el arcedianato titular y canongía de la iglesia catedral de Salamanca, vacante por muerte de D. Vicente Cáceres y Godoy, á D. Vicente Ruiz de Albiilos, juez auditor de la Rota de la Nun ciatura en esta corte, con dimisión de la canongía doctoral que obtiene -en la de Ciudad-Rodrigo: para una canongía cardenalicia , que resultará va cante por promoción del citadb D. Josef Uraga al arcedianato de Baronceli, á…</t>
  </si>
  <si>
    <t>Albini</t>
  </si>
  <si>
    <t>Gaceta de Madrid n.º 116</t>
  </si>
  <si>
    <t>…. j 1 ia* 7 Se han principiado ya á hacer los preparativos para la sesión de la Dieta del imperiovque debe abrirse el i.° de, Noviembre próximo,; Parece que dz~ berá presidirla el barón Albini en nombre del Emperador de Austria , como gefe oé la Confederación. i : ■ SU1Z.A. ' l i 1 BasHta 2j de Agosto. CaViTULACTOM DE RÜHÍKGA. '• ■ gn A I. et archiduque Ju*n. comandante engefc dei.&gt;i^</t>
  </si>
  <si>
    <t>Albo, Mariano</t>
  </si>
  <si>
    <t>Mariano Albo</t>
  </si>
  <si>
    <t>…Rodríguez , D. Tomas Spl&lt;Sevilla y Don Féliy Arbizu; y .á los yapítanes prlmeros iS. josef Giraldo,D. Juan Carmqna, p. Josef Montes y Flores,;!). Pedro Bringas, D^ Bartolomé Amat, Don Mariano Albo, J). Salvador Mamullares , D. Antonio Lasauca, D. Pablo ipacdgalupi , D. Domingo Ranee! y D. Manuel Toro: grados de capitanes á los tenientes D. Josef Fernandez de Apero, D. Vicente Herrera y D. Lufs Garcíay. grados de tenientes; á los subtenientes D. Pedro*…</t>
  </si>
  <si>
    <t>Albo, Pedro</t>
  </si>
  <si>
    <t>Pedro Albo</t>
  </si>
  <si>
    <t>…D. ^Ramón-Quinan^ &amp; Geróriimq»dé G.éus, IX Josef Carrasco , Don josef Rae^a f ,D. Miguel Sánchez,,¡ D. Litis Vidarte, D. Tiburcio Martínez, IX Rufino; Andinql IX Antonio la Rosa i D. Pedro Albo, D. Nicolás Giezar, DvJuanVicente , D. Eduardo Paules , ,D. Francisco Sánchez, D. Josef de Castro, D. Venancio, Garnez , D. Nicolás Laborda, D. Manuel 1 aborda*, D. Nicolao Ribera, D. Gregorio Dalmao ; D. Francisco Navas., D. Filiberto Malus, D.;/Josef •¡Blan…</t>
  </si>
  <si>
    <t>Albornoz, Pedro</t>
  </si>
  <si>
    <t>Pedro Albornoz</t>
  </si>
  <si>
    <t>…Arbizu, D. Francisco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t>
  </si>
  <si>
    <t>Albuerne, Manuel</t>
  </si>
  <si>
    <t>Manuel Albuerne</t>
  </si>
  <si>
    <t>Gaceta de Madrid n.º 32</t>
  </si>
  <si>
    <t>…muy amado Monarca D. Fernando vn, Rey de España y de las Indias, pintado por su pintor de cámara D. Vicente López 5 copiado por D. Antonio Guerrero, y grabado en medio pliego por D. Manuel Albuerne. Se vende en el almacén de estampas, calle Mayor, frente á la casa del conde deOñate, á 8 rs. en negro y á 16 iluminado. EN LA IMPRENTA REAL.</t>
  </si>
  <si>
    <t>Gaceta de Madrid n.º 149</t>
  </si>
  <si>
    <t>…e estampas de la calle Mayor, frente á la casa dél conde de Óñá- te, se venden las dos estampas del patriarca S. Josef y S. Ramón Nonato en étiaftí11a de marca mayor, grabadas por D. Manuel Albuerne , á 3 rs. cada una.rr En el ..mismo almacenase hallarán las dos'estampas nuevas del’ Divino Pastor y Divina Fastora, dibujadas -por D. Vicente López, primer;piptoe de cámara de S. M., y gzibadas por D. Francisco Jordán en medio pliego de. marca mayor én figur…</t>
  </si>
  <si>
    <t>Albuerne, Manuel de</t>
  </si>
  <si>
    <t>Manuel de Albuerne</t>
  </si>
  <si>
    <t>Gaceta de Madrid n.º 86</t>
  </si>
  <si>
    <t>…secuencia se ha servido S. M. resolver que D. Jpsef Manuel de Aparici, que era contador general, lo sea del de la América sep tentrional ; y ha nombrado para ejLde la meridional á D. Manuel de Albuerne, oficial mayor que fu.e¡de la secretaría del despacho de Hacienda de In dias : siendo su Real voluntad que ambos sean ministros de la tabla del su premo consejo de las Indias. Un capitán efectivo de infantería, que ha servido con distinción en su carrera, y s…</t>
  </si>
  <si>
    <t>Alcaide, Agustín</t>
  </si>
  <si>
    <t>Agustín Alcaide</t>
  </si>
  <si>
    <t>Gaceta de Madrid n.º 71</t>
  </si>
  <si>
    <t>…lidad y precio con los estrangeros que en el dia! je; consumen, b te ••©ti !••• ' :*.• ; ti ti. 1 ' ■' sb ILos discursos-y documentos, justificativósi deberán . dirigirse al - Dr. Don Agustín Alcaide, secretario:priiicipakde.la. sociedadvpor todo ©limes de tiEné^' ró del año próximo viniente de 1816.- los discursos' ó memorias deberán di* rigirse sin lá firma de sus: autores ; y para que eix eL caso de ser premiados sé •sepa de quienes son, cuidarán estos…</t>
  </si>
  <si>
    <t>Alcalde, Mariano de</t>
  </si>
  <si>
    <t>Mariano de Alcalde</t>
  </si>
  <si>
    <t>…vn. en cinco recibos $ie réditos de la renta del tabaco.__ D. Mafiuel Henriquez, intendente jubilado , nueve acciones Jdel Real empréstito de 160 millones de á 4® rs. cada una.-i-Don Mariano de Alcalde, tesorero principal dé rentas dé Zamora, un vale Real de 150 pesos. "" Se desea saber él paradero ó existencia de Josefa García, hija de Antonio,.aho ra difunto, alcaide carcelero que fue en Santiago de Galicia; se ausentó .en.809 cuando la retirada.del egérc…</t>
  </si>
  <si>
    <t>Alcalde, Rafael</t>
  </si>
  <si>
    <t>Rafael Alcalde</t>
  </si>
  <si>
    <t>….'Rafael Amandi,D. Matías Cirer , D. Andrés Ramos, D. Jo sef Ibardó, H; Gabriel Calabaza Casimiro Quesada^D.** Josef Arcos, Don Fermín Moza, DPAnjgel Villa, JL Florentino García., D. Rafael Alcalde, D, Ambrosio Doz, D. Vicente Guisber, D. Mariano Rodríguez, D. Eusebio Gavilanes, D. Juan Polo, D. Josef Baeza, D; Josef Dávila , D. Francis co Frades., D* Josef Urbiña, D. Antoiiio Valdivieso, D. Juan Sánchez , Don Manuel Laso, D. Domingo Cepeda, D. Mariano…</t>
  </si>
  <si>
    <t>Alcayde, Agustín</t>
  </si>
  <si>
    <t>Agustín Alcayde</t>
  </si>
  <si>
    <t>Gaceta de Madrid n.º 12</t>
  </si>
  <si>
    <t>…es y sublimes sentimientos de.que se hallaba poseído; y después de felicitarle con las expresiones mas respetuosas, el secretario principal, catedrático de economía, y abogado Dr. D. Agustín Alcayde, leyó un discurso, en ^1 que con motivo de no ha ber la sociedad dado noticia, como lo executaba por sus actas, de todas sus operaciones, desde el año de 1804 * manifestó el origen, progresos,, decaden cia y estado actual del establecimiento; extendiéndose i…</t>
  </si>
  <si>
    <t>Alcázar, Ignacio</t>
  </si>
  <si>
    <t>Ignacio Alcázar</t>
  </si>
  <si>
    <t>…añas, D. Ignacio de Castro y Neg reyros y D. Francisco Cañas; subteniente de granaderos á D. Juan Valdivíeiso, y subtenientes de bandera á D, Manuel Gil, D. Josef Nicolás Esre’Ia, D. Ignacio Alcázar y D. Jacinto del Rico: con la de 30 de Enero último capitán de granaderos en el propio cuerpo á D. Josef Lanao ; ídem de fusi leros á D. Josef Bello y D. Ignacio Saenz; ayudante maj'or del primer batallón á D. Josef Moreno; teniente de granaderos á D. Josef Agustín Zavala ; idem d…</t>
  </si>
  <si>
    <t>Alcázar, Josef</t>
  </si>
  <si>
    <t>Josef Alcázar</t>
  </si>
  <si>
    <t>…. Rafael Martínez, D. Josef Caballero, D. Josef Góózalez^B. Manuel Aguí rre , B. Josef Muñoz ,D* Juan Paredes y D. Andrés Leqnor. Grado Je capitanes ádos tenientes D. Josef Marín, D. Josef Alcázar, Dr Josef de Castro, D. Pascual,Atiza , Dv Víctor Conegero, D. Cristóbal Dávtk:, D. Ladislao Luco , D. Juan Enébuisen, D. Juan Piich, D. Mariano Al-* dama, D. Pablo Estogui, D. Policarpo Aldama, D. Josef Guerrero , D. Jo^.ef Torrubiai, Di Gabriel del Rio, D.…</t>
  </si>
  <si>
    <t>Alcázar, Leandro Antonio de</t>
  </si>
  <si>
    <t>Leandro Antonio de Alcázar</t>
  </si>
  <si>
    <t>…liar de Ja misma ciudad de Cuenca: para la media ración que resulta vacante en, la catedral de Ca lahorra por promoción de D. Josef Aguiriano á una canongía de la propia iglesia á D. Leandro Antonio de Alcázar, cura párroco de los Liárnosos y de Izana en el obispado de Osma: para el beneficio préstamo de la parroqiyia.de S Juan del lugar de Malva, el de la misma clase denominado de Santo Tomé, y agregado-al de §. Martin, del lugar de Pinilla ,-y el, beneficio rural…</t>
  </si>
  <si>
    <t>Aldama, Policarpo</t>
  </si>
  <si>
    <t>Policarpo Aldama</t>
  </si>
  <si>
    <t>…cázar, Dr Josef de Castro,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Rafael Solano, Di Josef; Majríaí Prieto , Q¿ Fráncisco Cervera &gt; D. Francisco , Cascos, D. Juan Teja…</t>
  </si>
  <si>
    <t>Aldama, Sebastian de</t>
  </si>
  <si>
    <t>Sebastian de Aldama</t>
  </si>
  <si>
    <t>766</t>
  </si>
  <si>
    <t>…ayor parte de los acreedores, faltando únicamente que pagar D. Antonio Perez, D. Pedro Delgado, D. Antonio1 Blascuaga, D. Vicente Domínguez , Denvórat hermanos, D. Antonio Bringas,D. Sebastian de Aldama, Di Domingo Nava, Don Manuel Gerónimo dé Bringas con los cinCo gremios mayores, Enrior y Corrier, Bretón, Landay Viguri, y D. Bartolomé Cornejo, á quienes por no haberse pre sentado no se les ha satisfecho su haber respectivo ¿ que ascenderá de 9 á ioQrs.vn.;…</t>
  </si>
  <si>
    <t>Aldana, Josef</t>
  </si>
  <si>
    <t>Josef Aldana</t>
  </si>
  <si>
    <t>…Eligió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Riquélme- ; ^ Ascenso á tenientes de fragata A los…</t>
  </si>
  <si>
    <t>Aldao, Matías</t>
  </si>
  <si>
    <t>Matías Aldao</t>
  </si>
  <si>
    <t>…janó, Don Joaquín Vial ,’D. Francisco Sirera, D. Antonio dé la Rosa y D. Juan Bermuy.' ^ Ascenso á alféreces de navio á los dé fragata D. Manuel Arechevala, Don Agustín Bocal a n, D. Matías Aldao, D, Diego Gadea, D. Antonio Mella, Don Josef Barros, D., Alonso Butrón, D.•Felipe Saavedra, D. justo Pasalagua; p. Vicente de Mesa,D. Fulgencio Anríen, D. Josef Carreño, D Manuel. Ümendia, D. Julio Ponce de León, D. Josef Marco y.Espejo, D.^joaguin Vargas Mac…</t>
  </si>
  <si>
    <t>Aldbbrandi</t>
  </si>
  <si>
    <t>Gaceta de Madrid n.º 10</t>
  </si>
  <si>
    <t>…fanini; del caballero Salina', hijo del prefecto; del consejo dé .(prefectura; def cpnde Grassi, podeítá deuBóloma % delcaballeroGuglielmini, ,regente de ljí.línijj veríidád ; del conde Aldbbrandi, presidente jderda acadetnia.de nqbles .ar tes .&amp;c. ;&amp;c.,JLosindividuos debinstituto naeiónalf :l6s;cate^rátivO§ de. la .-uni/r; versidad y los de la academia de las nobles artes formaban círculo. .El abate Gerónimo Prandi, uno de los catedráticos, leyó un el…</t>
  </si>
  <si>
    <t>Alderéte, Gabriel VallejoDi Pedro Lüengó</t>
  </si>
  <si>
    <t>Gabriel VallejoDi Pedro Lüengó Alderéte</t>
  </si>
  <si>
    <t>…os á los guardias DV Ráfaél de Córdo ba y D. Josef Ponce de León i á tenientes vivos y efectivos de caballería ; eo¿ sueldo y antigüedad de tales, á los guardias D. Diego Vallejo, D. Gabriel VallejoDi Pedro Lüengó Alderéte^ y D. Dámaso Ghamoohln: á alféreces vivos y efectivos de caballería, Cón süéldó de talesjy grado de tenientes, á los guardias D. Jiian Soto , D/Vicente Hore , D. Estéban Sarrie, D. Siiñpií Bañuelos , D. Juan de la Cruz González , D. Antonio Gárcía Prado, D/ J…</t>
  </si>
  <si>
    <t>Aldunate, Rafael Muzquíz y</t>
  </si>
  <si>
    <t>Rafael Muzquíz y Aldunate</t>
  </si>
  <si>
    <t>…o Señor y de los Sermos. Sres. In fantes; siendo el prelado consagrante el Excmo. Sr. D. Francisco Antonio Cebrian y Vaida, patriarca de las Indias, y asistentes los Excmos. Sres. Don Rafael Muzquíz y Aldunate, arzobispo de Santiago, y D. Francisco Mier y Campillo, inquisidor general. S. M. asistió á tan augusta función en so tribuna, y el Sermo. Sr. Infante D. Antonio en la suya. El Sermo Sr. In fante D. Carlos se dignó honrar á su maestro siendo su padrino secula…</t>
  </si>
  <si>
    <t>Alegría, Pedro Ñuñez</t>
  </si>
  <si>
    <t>Pedro Ñuñez Alegría</t>
  </si>
  <si>
    <t>…bis pado de Cotia , que tuvo á.bieii S. M. conferirle por Real decreta de 5 do Abril último: pata otra capellanía de coro de la iglesia catedral de Cuenca,; vacante por: muerte de D. Pedro Ñuñez Alegría , á D. Josef Raymundo Si-&gt; velo: para una canongía dt la iglesia catedral de Orense, vacante por pro-, moción de D. Bernardo Martínez al arcedianatb de Huete, dignidad de la iglesia catedral de Cuenca rá D. Pedro Telmo. Hernández , racionero de laiglesia metr…</t>
  </si>
  <si>
    <t>Alejandro</t>
  </si>
  <si>
    <t>Gaceta de Madrid n.º 5</t>
  </si>
  <si>
    <t>…ójv. ! iFiladelfia *«'de Oetubne de 1814. •* ,:i t J^n^ás^s^^^ldiEieHjf qie hablá dacfo'el^pr^sídeqte á Jos.^í^isarips "paqífiióadorés se echaba de Ver que’ manifestaban afecto al emperador Alejandro; lo qüai ño se sabe como conciliario con la declaración de guerra, contra la Gran-Bretaña , en un momento en que por la diversión de estas fuerzas in glesas impedía todo lo posible que socorriese al emperador de Rusia , para contener el . ataque que Bonapárte…</t>
  </si>
  <si>
    <t>Gaceta de Madrid n.º 38</t>
  </si>
  <si>
    <t>…a zar qqn ellas las tentativas de Napoleón. Por este conducto se ha sabido, también que los Soberanos reunidos allí habían declarado á Napoleón fuera de la ley de las naciones. El emperador Alejandro ha declarado que para Ktrat^i° dC PaiÍS ?ondrá’ s¡ necesario, sobre las armas 6po© hombres. El emperador de Austria hizo marchar el xi del corriente haoia Erancia entalla todas sus tropas. Se ha mandado poner sobre bernia* ql i.and\Y^rhr. El 16 tuvieron orden…</t>
  </si>
  <si>
    <t>…ables garios que?acarréará la guerra que va á principiarse, y cor» éf óbfeto de no gravar á sus amados vasallos, ha pedido un empréstito de 50 millones de florines. . Proclama del emperador Alejandro d sus tropas. * *\ ► ► . . * n ^Valientes ghérréfos¿ honor y gloria del grande imperio ¡qué -lá Provi dencia me ha confiado ; vuestro Emperador, que vuelve de nuevo á colocar se á vuestro fren té pós llama por segunda vezá lá defensa de lahumanidad, y del der…</t>
  </si>
  <si>
    <t>Gaceta de Madrid n.º 67</t>
  </si>
  <si>
    <t>…uela actual general, en gefe del exéreito del alto Perú. ¡ Mariscales de ¿ampo á los brigadieres ,D. Miguel Josef de Emparan, coro* nel dél regimiento de dragones de Nueva-España; D. Alejandro ae Hore, co ronel del ae infantería,de; Ordenes Militares, nombrándole al propio tiempo comandante general del istmo .de Panamá, y subinspector general de aquellas tropas; IX Pascual Enríle, segundo comandante general de la * espedicion de las provincias de V…</t>
  </si>
  <si>
    <t>Alereyelf</t>
  </si>
  <si>
    <t>Gaceta de Madrid n.º 87</t>
  </si>
  <si>
    <t>…ón de infantería, teniente general Kapzeuiteh___ 24.a división id., teniente general Radls__ -27.a división id., el teniente general Berosdin____3.a divi sión, de dragones , mayor general Alereyelf. Este cuerpo compone la derecha, y marcha sobre Francfort y Maguncia. Las .cabezas de estas columnas están llegando en este momento á Cobourg___Gefe del estado mayor de este, cuer = ¡po el general Pountt. ——. Ciento veinte piezas de cañón; - *-’.r Cuarto cuer…</t>
  </si>
  <si>
    <t>Aleson, Juan</t>
  </si>
  <si>
    <t>Juan Aleson</t>
  </si>
  <si>
    <t>…Vigo, Don Gaspar Pineda, D. Josef Mozo, D. Juan de* la Cueva, D. Juan Delgado,: D. josef Febrer , D; Mariano Henarejos, D; Ciríaco Mella , D. Juan Sanjurjo, D. Ignacio Cuadrado,: D. Juan Aleson, D. Honorio Siréra ; D. Pedro Vizcarrondo, D. Josef Guimbarda, D. Juan Sotélo, D¿ Tiburdo Basanta, p. Rodrigo Tavira , D. Manuel de Lis , D/Felipe Herreros , el marques del Moral, D. Sebastian Iglesias, D. Salvador de Cárdenas, D..Andrés Maymo, D&lt; Clemente Gu…</t>
  </si>
  <si>
    <t>Aleu, María Jesusa</t>
  </si>
  <si>
    <t>María Jesusa Aleu</t>
  </si>
  <si>
    <t>Gaceta de Madrid n.º 157</t>
  </si>
  <si>
    <t>1420</t>
  </si>
  <si>
    <t>…de las7;huérfaííás ’dé! los militares o patriotas que Hubieren muerto en defensa de la justíf' catisa de la nacidri ,ha cabido en suerte del primer extracto dé la dé esté&gt;dia..!j!Doña María Jesusa Aleu, hija del sargento Francisco, muerto Én eKcampo del honor. - V7 . ■ t 7 - -a . ...i. ;v iií-i -.¿i .i . ji.' :: V’i; i. j * jr * ARTICULO« .1 , DE OFICIO.„ , JE V‘REir :‘niiéstro' Señor sé ha hervido expedir 'el déóreto siguiente •* ,,Mis continuos desvelos p…</t>
  </si>
  <si>
    <t>Alexandro</t>
  </si>
  <si>
    <t>Gaceta de Madrid n.º 1</t>
  </si>
  <si>
    <t>…aco arlasfórdeties del générál HilIó¥. ;Pór otra parte no se cree que la 3?n¿*ia evacué la Saxonia antes de recibir indemnizaciones que sean un equi valente dé lo que pierde; y el emperador Alexandro parece fuera de duda que quiere para sí á Varsovia, cápital de la Polonia. La obra de que se traduxo un exemplar én lengua turca, y que envia do. á Constantinbpla prodbxoí'Una reüniotú^def divan., y-'$e pidieron explica ciones al enviado austríaco, es del doc…</t>
  </si>
  <si>
    <t>Aléxandro</t>
  </si>
  <si>
    <t>…e res tituya el reyno de Saxonia sin ninguna restricción. Se habla mas que nunca de la restauración de este trono: sin embargo na se sabe nada de positivo sobredas intenciones del emperador Aléxandro y del Rey de Prusia; peto at mismo tiempo scve que en Saxonia se recluta á nombre de la Prusia, y que esta potencia no ha hecho* caso de las represehtáciones que le han entregado sobre el patticular. Se dice que los preparativos que se hacen § dan logar á cre…</t>
  </si>
  <si>
    <t>…lexandro Newsky. Asistieron á la función los dos Emperadores: opa les insignias de la orden, y también fijtron la empe ratriz de Rusia, las grandes duquesas y otros personages. El emperador Alexandro dio después en su habitación un espléndido banquete, á que no pudo asistir el rey de Prusia por estar indispuesto. Desde él mes de Octubre rey na aquí constantemente un tiempo tan des agradable, “que apenas se ha visto un dia serenol Lluvia, niebla ó nublados…</t>
  </si>
  <si>
    <t>Gaceta de Madrid n.º 7</t>
  </si>
  <si>
    <t>…l 24 de octubre á Georgijewsk, en donde fue recibido con todos los honores debidos á su cla se. Al dia siguiente comió en casa del gobernador civil, donde se brindó á la salud del emperador Alexandro y del rey de Persia. Este embaxador ha residido ya en Inglaterra, y aun habla un poco el ingles; conoce muy bien la situación de la Europa, asi como nuestras costumbres, y no ostenta un fausto asiático. Su comitiva sin embargo es numerosa, y ha tenido necesid…</t>
  </si>
  <si>
    <t>Gaceta de Madrid n.º 48</t>
  </si>
  <si>
    <t>1</t>
  </si>
  <si>
    <t>…s de trepas están en marcha para las orillas del R hin, en donde debe formarse un exército de observación hasta que los acón tecimientos de Francia esten enteramente sofocados. El emperador Alexandro, que había resuelto marchar á fines d^l mes á Munich, en donde le esperaba su augusta esposa para dirigirse de allí á Carisruhe, ha suspendido su viage, y lo mismo ha hecho el rey de Baviera, que debía partir el 23 para recibir en su capital á S. M. I. Se hab…</t>
  </si>
  <si>
    <t>…prusiano están en marcha hacia las fronteras de Francia, y que 300© rusos en siete divisiones, que caminan muy inmediatas entre sí, se dirigen al mismo destino. Ademas de esto el emperador Alexandro ha declarado solemnemente que en caso necesario pon drá sobre las armas un exército de 600® hombres* Las tropas saxonas que han estado aqui dos meses de guarnición han sa lido hoy para Aquisgran, y mañana esperamos dos' batallones de infantería de la misma na…</t>
  </si>
  <si>
    <t>…spirado el término peren torio que se ha dado á la nación francesa para que entregue al usurpador en poder de los aliados, es de 950® hombres; pero no tenemos su nota exácta. „ El emperador Alexandro ha declarado que si estos esfuerzos no son suficientes , aprontará otros 300© hombres. ,, La plaza de Dunkerque es la que mas se ha distinguido en el norte de la Francia: sus habitantes acometieron la guarnición declarada por Bo naparte ; arrastraron la bande…</t>
  </si>
  <si>
    <t>Gaceta de Madrid n.º 53</t>
  </si>
  <si>
    <t>…l mayor general Wood,.iban empleados en aquella expedición. El embaxador persa cerca de la corte de Rusia ha suspendido hacer su entrada pública en Peterfbnrgo hasta la vuelta del emperador Alexandro: tiene preparados dos elefantes blancos, que le llevarán en una magnífica li tera el dia de su entradaj ya ha alquilado en aquella capital una casa de 60 habitaciones. FRANCIA. París i$ de Abril, Continuación de la 'Exposición del ministro dé Relaciones exter…</t>
  </si>
  <si>
    <t>Alexandrr</t>
  </si>
  <si>
    <t>…momento en que por la diversión de estas fuerzas in glesas impedía todo lo posible que socorriese al emperador de Rusia , para contener el . ataque que Bonapárte dirigía contra el emperador Alexandrr¿ ñ! tampocp el regocijo' que mostraron qn Jos periódicas los amigos d,el presi dente quandp se extendió la voz ^de estar prísioríeró en París el emperador de Rusia. Baltimore 28 de Octubre. El enemigo ha desembarcado un gran número de tropas en la isla de Til…</t>
  </si>
  <si>
    <t>Ale’chor</t>
  </si>
  <si>
    <t>Gaceta de Madrid n.º 14</t>
  </si>
  <si>
    <t>118</t>
  </si>
  <si>
    <t>118 Higuera, que vacó? por ascenso de D. Martin Martínez, y el de Santiago dé Andúxar, que lo está por fallecimiento de D. Ale’chor de la Cuesta y Jara, todos'tres en el; obispado de&gt;Jaeqi té- Josef (pavilan; para otro be neficio simple de la: Alameda,;^ efaf?id&gt;ispjdp de/Tpledo, vacante por/a*» llectmiento de p. Juan Anjtonio Gundin ^ i X). Francisco Josef Blanco.::epa ta la presta mera-…</t>
  </si>
  <si>
    <t>Alfaro, Domingo Pogío y</t>
  </si>
  <si>
    <t>Domingo Pogío y Alfaro</t>
  </si>
  <si>
    <t>…á P.MatíasBrieva, contadordel hpn*-; irado concejo de la Méstá Vy á,D. Alfonso, Carrero, contador de la Real H-r ........v ..... ......XX' v.:,:?HpB|P|cs de tesorero de egército á D. Domingo Pogío y Alfaro, tesonero principal dé renté? de- Canarias &gt; y á D. Cristóbal .Garrido, tesorero p^inet^ paJ:dé.rcntas^de,Alicané?. ;■ ...,y:;X. •* . Cruces supernumerarias, de Carlos nr. * * \ j 'XX' • * W' ,v ^ ’■ * ^ XX- "T^“‘ '•* &gt;' &lt; ÍX¿ ■’ £¡L¿ A Dv pamiago Di^gp Calon…</t>
  </si>
  <si>
    <t>Alfaro, Tiburcio</t>
  </si>
  <si>
    <t>Tiburcio Alfaro</t>
  </si>
  <si>
    <t>…niente de corregidor de esta villa, se ha señalado el domingo 23 del cor riente I las nueve de su mañana para celebrar junta en la posada de dicho señor juez por los acreedores de D. Tiburcio Alfaro, á fin de que concurran todos lo* que crean serlo; prevenidos de que les parará el perjuicio que haya lugar si no com pareciesen por sí ó persona que al efecto nombren, acreditándolo debidamente por la escribanía del número de D. Cristóbal de Vicuña. D. Juan…</t>
  </si>
  <si>
    <t>Alfonso</t>
  </si>
  <si>
    <t>Gaceta de Madrid n.º 20</t>
  </si>
  <si>
    <t>…vecinos: en ella quando se llamaba Titulcia padecieron martirio S. Fabricio y Filibertoen 22 de Febrero del año 308: fue arruinada en la invasión de los moros, y re edificada por D. Alfonso el vt con el nombre de Bayona; y ahora los fran ceses la hicieron punto de apoyo para emprender ios ataques de Almonacid y de Ocaña, y quando su retirada á Valencia colocaron allí su retaguar*dta: en estas ocasiones han sufrido aquéllos vecinos grandes ruinas…</t>
  </si>
  <si>
    <t>…rde nador con el sueldo de tal á. í). Manuel Fidaígo , comisario dé guerra. ^ Honqres, de pontadpr ,dé égérqito á P.MatíasBrieva, contadordel hpn*-; irado concejo de la Méstá Vy á,D. Alfonso, Carrero, contador de la Real H-r ........v ..... ......XX' v.:,:?HpB|P|cs de tesorero de egército á D. Domingo Pogío y Alfaro, tesonero principal dé renté? de- Canarias &gt; y á D. Cristóbal .Garrido, tesorero p^inet^ paJ:dé.rcntas^de,Alicané?. ;■ ...,y:;X. •*…</t>
  </si>
  <si>
    <t>Alguacil, Felipe</t>
  </si>
  <si>
    <t>Felipe Alguacil</t>
  </si>
  <si>
    <t>Gaceta de Madrid n.º 93</t>
  </si>
  <si>
    <t>…e D. Jbsef Tagle Bustatnante, asesor-por SyM/del Real sitio de Aranjuez, se llama, cita ly emplaza á los qüese hallasen cbñderecho á losbienes que han quedado por fallecimiento'de D. Felipe Alguacil&gt; administrad dor de correos del citado Real sitio, para que en el término de 30 dias contados desde este anuncio, se presenten á legitimar sus créditos; con apercibimiento que pasado les"* parará eñtero perjuicio ks providencias que se dictaren el parriEn vir…</t>
  </si>
  <si>
    <t>Alien, Ricardo</t>
  </si>
  <si>
    <t>Ricardo Alien</t>
  </si>
  <si>
    <t>Gaceta de Madrid n.º 73</t>
  </si>
  <si>
    <t>…los ni. 1 ”■ ' ............................................................ ■ 11 ■' 1 - ——^------------------------= - ______ _________ , El cónsul de Si M. Británica en la Coruña D. Ricardo Alien ha hecho saber con fecha del 2 del corriente al comercio de España, que por orden dé los Escmos. Sres. de la dirección general de correos de Londres está de terminado que de hoy en adelante salgan los paquetes en la forma siguiente: Hallándose un paquete en e…</t>
  </si>
  <si>
    <t>Alienes, Ranjona</t>
  </si>
  <si>
    <t>Ranjona Alienes</t>
  </si>
  <si>
    <t>…cés de esta provincia. La persona que lo-sepa so servirá avisarlo á su madre Antonia Sotelo en la misma ciudad, que tiene que co municarle asuntos de su ínteres. Se desea saber de Doña Ranjona Alienes, natural de Toledo, que residía en Cartagena en el año de 1808, desde donde escribió la última vez en 27 de Enero de 1810. Quien supiese de ella se servirá avisarlo á su marido D. Diego Guitart en Madrid, calle de D. Pedro, rulen. 2. Entre los papeles derroca…</t>
  </si>
  <si>
    <t>Alix</t>
  </si>
  <si>
    <t>Gaceta de Madrid n.º 140</t>
  </si>
  <si>
    <t>…l usurpador fueron arranca dos del seno de sus familias en Mayo anterior para llevarlos á perecer en la guerra mas inhumana é injusta. ¡Cosa bien extraña! Se asegura que el famoso general Alix ha sido arrestado en el departa mento del Douve. También se dice en un periódico de esta capital que ha llegado á la casa</t>
  </si>
  <si>
    <t>Állué, Pedro Satué y</t>
  </si>
  <si>
    <t>Pedro Satué y Állué</t>
  </si>
  <si>
    <t>Gaceta de Madrid n.º 115</t>
  </si>
  <si>
    <t>…e hasta la última paz: obra sacada de la¡ historia y de memorias particulares por Carlet de la Roziere, oficial de ingenieros en Jas islas deFrancia y Borbon: traducida por el Dr. D. Pedro Satué y Állué, abad mitrado de la colegid insigne de Zafra, y canónigo electo de la santa metropolitana iglesia de Zaragoza: añadida con algunas memorias y estratagemas de los generales mas ilustres de Europa;/un tomo en 8.° Se hallará en Madrid en las librerías de Dávila,…</t>
  </si>
  <si>
    <t>Almagro, Miguel</t>
  </si>
  <si>
    <t>Miguel Almagro</t>
  </si>
  <si>
    <t>…r, D. Francisco Reguera , D. Antonio García, D. Pedro Pineda , D. Josef Co nejo, D^Ramon Agón', D. Manuel -Gá'stambide , D. Juan Palomero , D. Ra^ mon Oleína, D. Fernando Belarde,;D. Miguel Almagro, D. Manuel Ovan do , Ds. Bartolomé González , D. Antonio María; Mvuñoz , , Dr Miguel María Muñoz V D. Josef Sancliez, D. Mánüel Áranda ^A?tóiiiqfCpuxYlU^»inl^l</t>
  </si>
  <si>
    <t>Almansa, Josef Fernandez</t>
  </si>
  <si>
    <t>Josef Fernandez Almansa</t>
  </si>
  <si>
    <t>…a la de Astudillo á D. Eustaquio Manuel de Irala y Zavala: para la de Lora del Rio á D. Manuel Josef Rodríguez: para la de Colmenar de Oreja á D. Pedro Carbonero: para la de Roa á D. Josef Fernandez Almansa: para la de Ronda, á D. Fernando López de Sagredo: para la de Alcañiz á D. Manuel Valonga Zaidin: para la de Casares y su ruebla de Manilva á D. Justo Rodríguez Hurtado de Bruna: para la de Sanlúcar la Ma yor á D. Juan Ribera: para la de Calasparra á D. Josef…</t>
  </si>
  <si>
    <t>Álmansa, Josef María Fernandez y</t>
  </si>
  <si>
    <t>Josef María Fernandez y Álmansa</t>
  </si>
  <si>
    <t>…se han dirigido, y se le ha reservado también su derecho para que le repita contra quién, cómo y cuando le convenga. El Rey nuestro Señor, atendiendo á los méritos y servicios de D. Josef María Fernandez y Álmansa, abogado de la Real audiencia de Mégico, y de su ilustre colegio en Nueva-España, se ha servido nombrarle alcalde mayor de la villa de Roa en Castilla la Vieja , y auditor de Guerra honorario de sus Reales egércitos. El Rey se ha dignado conceder á D.Bruno Fr…</t>
  </si>
  <si>
    <t>Almazan, IX Joaquín</t>
  </si>
  <si>
    <t>IX Joaquín Almazan</t>
  </si>
  <si>
    <t>…rs. vn*, y rema» tadaenp® rs. vn. en metálico, quedado de cuenta; del comprador el .censo perpe-. tuo y demas cargas á que está afecta. Quien quisiere hacer mejora acuda: ante el Sr. IX Joaquín Almazan,; del consejo de S. M., teniente corregidor de esta villa, por la escribanía-de su'numero que exerce D. Juan Raya, dentro de 15 dias contados desde el 31 del pasado.Está vacante la plaza de maestro de primeras letras de la villa de Penal ver, pro vincia de Gu…</t>
  </si>
  <si>
    <t>Almazan, Joaquín</t>
  </si>
  <si>
    <t>Joaquín Almazan</t>
  </si>
  <si>
    <t>…dichas judicaturas, para qoe en conformidad de las reglas prescritas en aquel, exerzan sus funciones, vengo en nbmbrar para las citadas dos plazas á D. León de la Cantara Cano y á D. Joaquín Almazan , con la dotación anual de 36® rs. á cada uno, la qual será señalada en lo sucesivo á todos los tenientes que obtengan las mtndo'nadas plazas,.Interin no recayga otra resolución ; y es mi Real voluntad que los tres que dexan de ocupar dichas plazas sean coloc…</t>
  </si>
  <si>
    <t>…50 en fin de Mayo de este año, é igual cantidad ea fin de Diciembre dél mismo, para cuyo remate está señalado el dia 24 del presen te mes i las 12 de la mañana en la audiencia del Sr. D. Joaquín Almazan, tenien te corregidor de esta villa, ante el escribano de su número D. Juan Raya. Respuesta de D. Pedro CebaUo$ y Guerra i la carta y papel que desde París le escribió el marques de Almenara en 27 de Setiembre último. Véndese á 5 rs. en el despacho de la impr…</t>
  </si>
  <si>
    <t>Gaceta de Madrid n.º 17</t>
  </si>
  <si>
    <t>…ada en 21600 rs.: se ha hecho postura á ambas fin-i jás^Bri la, cantidad de 1,2 2# rs. vn. j y para su remate se ha señalado el día ,10 del corriente á las 1 2 en la audiencia del Sr. D. Joaquín Almazan, del consejo de S. M.f teniente corregidor de esta villa, ante el escribano de su número D. Juan Raya. ' Se vende una escribanía del número de esta corte, tasada en 165® rs. vn. en moneda metálica', de que han de baxarse 880 rs. de un censo, y ademas otras ca…</t>
  </si>
  <si>
    <t>44o A virtud de despacho de uno de los juzgados de provincia de la ciudad de Va lencia * que ha sido cuniplimentado por el Sr.. D. Joaquín Almazan, det'cdnséjo do S. M., teniente corregidor de esta villa, por la escribanía del número que exerco D. Antonio Villa y Fernandez, se ha mandado sacar á pública subasta para pago £ cierto acreedor una casa sita en esta corte, calle del Carmen, con accesorias á l…</t>
  </si>
  <si>
    <t>Gaceta de Madrid n.º 58</t>
  </si>
  <si>
    <t>…contrato. A virtud de despacho requisitorio librado por D. Francisco Mariano López de Bustamante, alcalde mayor, teniente corregidor de la ciudad de Málaga, cumpli mentada por el Sr. D. Joaquín Almazan, ael consejo de S. M., teniente corregi dor de esta villa, y escribanía del número que exerce D. Alfonso de Yévenes, se manda convocar, como se hace por el presente aviso, á los legítimos herederos y representantes de D, Josef G-andulla é hijos, de Doña Magda…</t>
  </si>
  <si>
    <t>Gaceta de Madrid n.º 59</t>
  </si>
  <si>
    <t>…n metílico y 5 $»í en: vafes Rea* les ba*ode diversas condiciones, que i se manifestarán i para, cuyo- remate está seña lado el día 17 del corrí en te á lasiaen la audienciadefSr. D. Joaquín Almazan^ teniente corregidor de esta villa , ante D. Juan Raya, escribano de su número. En el año de t8;iq por el ines de Marzo Antonio Clemente, que servia en el batallón de estudiantes de Toledo,: se hallaba en 1a, Isla de León, en cuyo tíem|&gt;ó se deshizo este cuer…</t>
  </si>
  <si>
    <t>$7* tuero i, comptehen&amp;tvi &lt;fe 489|&gt;ies:dff.sitio; tasada en 10350r£ de vn., que se vende para hacer pago á un acreedor, acuda ante el Sr. D. Joaquín Almazan, dél consejo de S. M., teniente corregidor de esta, villa, por la escribanía ^de su número que exerce D. Claudio Sanz, dentro del término de 36* días. • Anatomía general aplicada á la fisiología y á la medicina: porFranciscdXa vier Bichat, medico del hospital…</t>
  </si>
  <si>
    <t>…vn., y dan por ella 9$ en metálico, quedando de cuenta del comprador el censo perpetuo,y demás cargas que tenga, está señalado el día 20 de este mes á las 1 2 en la audiencia del Sr. D. Joaquín Almazan, teniente corregidor de ella, ante el escribano de su nú mero D. Juan Raya. En virtud de Real facultad se vende una casa solar sita en esta corte y su calle de la Puebla, señalada con los números 21 y 23 de la manzana 554, tasada en ¡ipo^d rs. vn. Quien quisi…</t>
  </si>
  <si>
    <t>…u jo;....... ............... .......................... .............. ......... -o-'.uK *_____ i.______ ....... __________________ _ __—......;v,;___ En virtud de providencia del Sr. D. Joaquín Almazan, del consejo de S. M., y teniente corregidor de .esta villa,», sus fechas 29 de-Mayo y 10 del corriente, y para hacer pago. á un acreedor censualista, se han mandado sacar á pública/subasta una casa y una viña Como de dos aranzadas, sita la primera en la vill…</t>
  </si>
  <si>
    <t>Gaceta de Madrid n.º 105</t>
  </si>
  <si>
    <t>…r'stis.reclamaciqiief y liquidar susicuent^S;. ! •: - *f'ít ;.j v -ir' J *-¿i í poiü&amp;lv/^ao-). »7.t? &lt; i , « * ;r&gt;'57VIKJÍ-c:uv^i-ü:i*vrr.?,'\ 1H&gt;-1» Isn virtud de providencia del Sr. D. Joaquín Almazan, del con$,ejQ:d&lt;pc SvM./fJ teniente corregidor de esta villar refrendada deLescribano. del mfonerÓ X). Cristóbal de Vicuna, se cita , llama ^ emplaza ¿y los pancníesy apiñas interesad^ que^tengan derecho á la- Tierencta qúe ha qüedádo pbr cí fíUécináientci áe…</t>
  </si>
  <si>
    <t>…provincial á que da nombre dicha ciudad, se ha servido S. M. mandar que se publique en la gaceta este rasgo de generosi dad del ayuntamiento de Jaén para su satisfacción. Ante el Sr. D. Joaquín Almazan yGímeno, del consejo de S. M., teniente «flty'égidor de esta heroica villa, por la escribanía del número de ella que despacha D. Antonio Villa y Fernandez, se ha puesto demanda reclamando la propiedad de 47 vales Reales de 300 peses, creación de i.° de Mayo d…</t>
  </si>
  <si>
    <t>Gaceta de Madrid n.º 147</t>
  </si>
  <si>
    <t>1342</t>
  </si>
  <si>
    <t>…y muerte de Murat, publicados de orden de S. M. por medio de la primera secretaría de Estado. Véndese á 6 cuartos en el despacho de la imprenta Real. En virtud de providencia del Sr. D. Joaquín Almazan, del consejo de S. M., teniente corregidor de esta villa, de 31 de Octubre anterior, refrendada del escribano del número D. Josef Antonio Canosa, se cita, llama y emplaza á todos los acreedores que puedan tener derecho ¿ los bienes, caudal, hacienda 7 efectos…</t>
  </si>
  <si>
    <t>Almazan, Joaquín de</t>
  </si>
  <si>
    <t>Joaquín de Almazan</t>
  </si>
  <si>
    <t>…ios mayores en 15 de Junio de 1803, señalada con el número 12039, y esta hecha postura en la misma cantidad con descuento del 90 por toó. Quien quisiere hacer mejora acuda ante el Sr. D. Joaquín de Almazan, teniente corregidor de esta villa, por la escribanía de su número que eger ce D. Juan Raya, y está señalado para su remate el dia 31 de este mes á las 12 en la audiencia del mismo señor........... Por muerte en ésta corte de Doña Ana Dávtlá, natural de Cádiz…</t>
  </si>
  <si>
    <t>…postura á ellas acuda á la escribanía de dicho D. Josef Antonio Canosa, dentro dél término de 15 dias, Contados^cjcscle dicha dia * 8 del presente niesJ . Por la audiencia del Sr¿ D. Joaquín de Almazan , del consejo de S. M. , tenien te corregidor de esta villa de Madrid, y por la escribanía del número que egerce¡ D. Josef- Antonio Canosa, están pendientes los autos de quiebra hecha por D. Pa tricio de Ribera, del comercio de esta corte, en los que por prov…</t>
  </si>
  <si>
    <t>Almazan, LX Joaquín</t>
  </si>
  <si>
    <t>LX Joaquín Almazan</t>
  </si>
  <si>
    <t>Gaceta de Madrid n.º 130</t>
  </si>
  <si>
    <t>…indo, plazuela del Angel, casa de la fonda, cuarto principal; no olvidando poner en ellas cada uno su obis pado y la dirección parada contestación. v .En:vÍYtud de providencia del Sr. LX Joaquín Almazan, del consejo de S. M., teniente-corregidor de esta villa,"'•y juez de comisión en virtud de Reales órdenes para hacer efectivos de D. Frutos de Alvaro Benito, ausente al presente ,152 546 rs. y 4 mrs. vn. metálico, resto de 402546 rs. y 4 mrs. vn; que percibi…</t>
  </si>
  <si>
    <t>Almazanydel, Joaquín de</t>
  </si>
  <si>
    <t>Joaquín de Almazanydel</t>
  </si>
  <si>
    <t>…revenido, y deberán egecutafse pdr la e$ciíbá$ífi principal de Guerra de esta provincia del cargo de D. Custodio llefitiquefi, sita en la calle del Príncipe. En él ju/gado del Sr, D. Joaquín de Almazanydel cónsfejb de S. M.yfehíenté de corregidor de esta' villa, y por la escribanía del numero dé ’Dv JüánP Antomb de' Frraza, se hallan radicados los autos - de testamentaría formadospór fallecimiento^ de D. Julián del Campo, vecino y artífice platero que fue en es…</t>
  </si>
  <si>
    <t>Almeida, TcódorÓdé</t>
  </si>
  <si>
    <t>TcódorÓdé Almeida</t>
  </si>
  <si>
    <t>…,..con diferentes obsequios, ofrecidos á. lamisma Señora considerada en ews' dolores y angustias t añádida en esta impresión U novena dé los .Dolores: un to* fnó én 8.* por el P. D. TcódorÓdé Almeida.:r= t)iscursos políticos del señor Da* Vid Humé, caballero escóbe*, ; traducidos al bahteilano: un tomó én 8.* qué con¿ tiene los siguientes: i.° sobre el comercio':' si.9 sobre- él lúxo: 3!0 sobre él dineros 4* sobre el interes del dinero: 5.° sobre lá balan…</t>
  </si>
  <si>
    <t>Alon</t>
  </si>
  <si>
    <t>…de Santiago; D. Ramón Taboada, del Provincial de Betanzos; O. Antonio García, del de Lugo; D. Francisco García, del de Orense; D. Josef Orus, D. Basilio Rubio, D Antonio Cermeño , D. Alon so Puebla y D. Antonio Alonso Isla, del de Voluntarios de León; D. Ma riano Alonso y D. Francisco Osorio, del Depósito general de Infantería; P. Alexandro Benisia, de la escuela militar de Santiago; D. Francisco Julia, de Cazadores Extrangeros, y D. Pablo Pue…</t>
  </si>
  <si>
    <t>Alón', Ignacio</t>
  </si>
  <si>
    <t>Ignacio Alón'</t>
  </si>
  <si>
    <t>Gaceta de Madrid n.º 46</t>
  </si>
  <si>
    <t>El Rey se ha servido nombrar para ona canongía de la iglesia metropo litana de Burgos , que se halla vacante por fallecimiento de D. Ignacio Alón'» so Bugedo,á D. Josef Francisco de Arbizu, cotí retención de la capellanía de altar que obtiene en la Real capilla , y quedando sin efecto la pensión de 4© rs. que S. M. se sirvió concederle sobre las mitras de la penínsulas para otra canongía de la misma igl…</t>
  </si>
  <si>
    <t>Alon, Juan de Dios</t>
  </si>
  <si>
    <t>Juan de Dios Alon</t>
  </si>
  <si>
    <t>…s Calderón; y para la de Leganes á D. Félix Benitez. Para el corregimieno de Alcaraz á D. Andrés Josef Amat: para el de $. Clemen te á D. Josef Matías Eguizabal: para el de Toro á D. Juan de Dios Alon so: para el de Medina del Campo á Di Manuel Josef Sánchez Fano: para la vara de Valladoh^J á D. Fermín Fernandez de la Cuesta: para la de Aguilar de Campoo i D. Juan Pedro Talasac: para la de Muía á D. Ignacio Fran-; cisco A yuso: para la de Baños dé Jaén á D…</t>
  </si>
  <si>
    <t>Alonso</t>
  </si>
  <si>
    <t>Gaceta de Madrid n.º 91</t>
  </si>
  <si>
    <t>802</t>
  </si>
  <si>
    <t>…z en la tienda de géneros ultramarinos,;calle de Alcalá^ junto al Buen Suceso, Memorias de la Real academia de la Historia: 4 tomos en 4.0 ¡r.arquii!a._JLas siete Partidas del Rey D. Alonso el Sabio, cotejadas con varios códices antiguos por la Real academia de la Historia, edición la mas correspondiente de cu -ntas sé; han hecho hasta ahora: 3. tomos en 4.0 marquilla.-^ Diccionario geográfico» historia có de España: sección primera, comprende e…</t>
  </si>
  <si>
    <t>…uir lós jjuiciós erróneos que se hay ánfdrmadok • ‘ -i/uJía ?í.- -.7} ,;r.f v.. ~r . vE3fan4,;s:,;/ , ;,:i ■,r. " ;r : Madrid 2£,¡¿t&amp; Setiembre^Y1■■ 1 -.é El dia ¿8 dé Mayo último D. Alonso dé Aden, y Angulo*! caballero dé? la Real y distinguida orden española de Carlos m, ayudante1 primero reti rado de egército, y regidor decano de~la villa de Alcaudete en él reino de Jaén, tuvo la honra dé ser presentado-á S. Mü, y dé felicita ríe en nombré, d…</t>
  </si>
  <si>
    <t>…azas de tierra,una de 20 marjales de riego puesta de olivos ; otra de 13 fanegas, pago de lá Alcantarilla, y otra de 10 en id., estas dos de se cano , y una era, id. Capellanía de D. Alonso de los Ríos. Veinte marjales y medio de tierra en tres suertes y diferentes sitios, en Atarfé: 45^ marjales de tierra en tres si tios diferentes, lindando con el camino que va al molino alto, en id.: dos ha zas de cabida de 21J marjales en el sitio que linda…</t>
  </si>
  <si>
    <t>Alonso, Antonio</t>
  </si>
  <si>
    <t>Antonio Alonso</t>
  </si>
  <si>
    <t>…nombramiento hecho anteriormente pata el arciprestázgo de la catedral de Guadix. = El beneficio servidero de la villa de Alba de Termesdiócesis dé Salamanca, vacante por muerte de D. Antonio Alonso, á D. Juan Rosendo Blazquez , cura castrense de la plaza de Alcántara. = La dignidad de arcedia no de Borriol en la iglesia de Torfosa, vacante por dimisión de D. Santiago* Antonio Méndez, deán de la catedral de Solsona, á D. Francisco! Castañedo, canónigo de…</t>
  </si>
  <si>
    <t>Alonso, Gregorio</t>
  </si>
  <si>
    <t>Gregorio Alonso</t>
  </si>
  <si>
    <t>…, á B. Joaquín Mi'guei de Salamanca: para otra canongía, vacante en la catedral de Osma por promoción de D. Sinforiano Blanco Martínez á la dignidad de deán de la misma iglesia, á D. Gregorio Alonso, cura de la Bañeza, en el obispado de Astorga. Asimismo en consideración al mérito distinguido, lealtad acendrada y servicios honrosos con que se ha hecho acreedor al Real aprecio, y temíb.e a Jos enemjgos de la religión y del trono el presbítero D. Juan de T…</t>
  </si>
  <si>
    <t>Alonso, Ignacio</t>
  </si>
  <si>
    <t>Ignacio Alonso</t>
  </si>
  <si>
    <t>…de quatro meses, contados desde la publicación de este aviso, para que se tomo nueva razón de ellos; sin lo qual, y no lo haciendo en el término prefijado, se darán por nulos. ’ _ D. Ignacio Alonso, presbítero, vecino que erade la parroquia de Sto. Tomas de Sabugo, en la villa de Avilés, principado de Astúrias, se ausentó de aquella Jiace 3 2, años, sin que se haya sabido ni sepa de su, paradero. Si alguna, persona tie ne noticia de él, se la suplica se…</t>
  </si>
  <si>
    <t>Alonso, Josef</t>
  </si>
  <si>
    <t>Josef Alonso</t>
  </si>
  <si>
    <t>…Garande, D. Josef Castro, Don Josef Morales, D. Joaquín Soravilla , D. Francisco,Mora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 los sargentos primeros D. Juan Pedro Boullu, D. Miguel Campil…</t>
  </si>
  <si>
    <t>Alonso, Josef Rives y</t>
  </si>
  <si>
    <t>Josef Rives y Alonso</t>
  </si>
  <si>
    <t>…eto, ca nónigo de la misma colegial; y para una canongía de la iglesia colegial de S. Felipe de Xátiva en el arzobispado de Valencia, vacante por muerte de D. Vicente Eiíin, á Fr. D. Josef Rives y Alonso. En atención á los distinguidos méritos que por sus servicios en la última guerra ha contraido el presbítero coronel de caballería D. Francisco Salazar, se ha dignado S. 1VL concederle la gracia de cruz supernumeraria de la Real y distinguida orden española d…</t>
  </si>
  <si>
    <t>Alonso, Josef Rodríguez</t>
  </si>
  <si>
    <t>Josef Rodríguez Alonso</t>
  </si>
  <si>
    <t>…ia por premoción de D. josef CástiSlá á uóal canongía de la iglesia car fedraí de Goatemála, á D. Francisco Mcntoya; y para eí préstamo de San Medell, en el obispado de Segovia, á D. Josef Rodríguez Alonso. D. Aléxandro Fernandez, siendo gefe del extinguido esquadron de hú sares de, CiudadReal, tomá á los enemigos de 4 á 5© arrobas de plomo;,y aunque pudo entonces, según las órdenes que regían, disponer de¡ ellas no lo hizo, y las acaba de poner ahora á disposi…</t>
  </si>
  <si>
    <t>Alonso, Manuel Sánchez</t>
  </si>
  <si>
    <t>Manuel Sánchez Alonso</t>
  </si>
  <si>
    <t>…colegiata de Junquera de Ambia, en el obispado de Orense, por muerte de D. Josef Varela, á D. Manuel Fernandez Ama. = La ración'va cante en la catedral de Salamanca por muerte de D. Manuel Sánchez Alonso á D. Lucas Cotilla y Sánchez, cura párroco de Nava-Gallega en aquella diócesis.=La ración vacante en la catedral de Avila por fallecimiento de D. Mi guel Celestino de la Madrid á D. Juan Martin Parra, cura párroco de la vi lla de Maderuelo en el obispado de S…</t>
  </si>
  <si>
    <t>Alonso, Pascual María</t>
  </si>
  <si>
    <t>Pascual María Alonso</t>
  </si>
  <si>
    <t>Gaceta de Madrid n.º 102</t>
  </si>
  <si>
    <t>…el día 22 de Junio tuvo la honra de ser admitido á besar la Real mano y felicitar á'S. M. por su restitución al trono de las Espaúas,á nombre de la ciudad de S. Felipe de Játiva, D. Pascual María Alonso , caba llero maestrante de la Real de Ronda , y regidor decano de la misma. • % f Ultimamente el día 21 de Julio se presentaron á cumplimentar á S. M. con igual motivo-á nombre de la ciudad de Llerena los Sres. D. Francisco María Riesco, del consejo de S. M.,…</t>
  </si>
  <si>
    <t>Alrgre, Manuel</t>
  </si>
  <si>
    <t>Manuel Alrgre</t>
  </si>
  <si>
    <t>Gaceta de Madrid n.º 62</t>
  </si>
  <si>
    <t>…de Ste. Domingo. Retrato dd Ssrmo. Sr. D. Cáríos María, Infante de España, pintado por Don Vicente López, pintor de cámara de S. M., copiado por D. Antonio Guerrero, y grabado por D. Manuel Alrgre, de igual tamaño al del Rey nuestro Señor Don Fernando vrr ya publicado anteriormente. Ambos se venden en el almacén de estampas de la calle Mayor, fíente á la casa del conde de Oñate, á 8 rs. cada uno en negro y á 16 iluminado. . ». EN LA IMPRENTA REAL.</t>
  </si>
  <si>
    <t>Alrhazan, Joaquín</t>
  </si>
  <si>
    <t>Joaquín Alrhazan</t>
  </si>
  <si>
    <t>…omo'‘también. que esté 5susóberana resolución f anundie al'público -para 'su conocimiento. • Palacio -29 ’de Junio jdei^if.^Vallesteros.f : ' '¡&gt;y i. En virtud, de providencia dél Sr. D. Joaquín Alrhazan, de! consejo de S. M., teniente corregidor de esta heroica villa-, por ante DI Claudio jSánz, escribano dé su tiúméro , Sé vende para hacer pagó a un acreedor una casa sita eq «Mugar dé Cárabahchebde abajo en la calle que- llamati del Sacristán;; que' va á la…</t>
  </si>
  <si>
    <t>Alten</t>
  </si>
  <si>
    <t>…Stewart para embaxador extraordioario de esta corte cerca de Luis xvm. : El general Blocher está en Loxémburgo, donde se establecerá el cuar tel general del exército prusiano. El general Alten , que manda á los hanoverianos, tiene su cuartel general en Leuze. Las tropas inglesas ocupan des de Veurne hasta Courtray. El duque de Wellington ha pedido los regimientos portugueses que se han distinguido en la última guerra. ' c El lórd Exmouth salid el 1…</t>
  </si>
  <si>
    <t>…l S. Tomas ricton, el general S. James Kempt y S. Dionisio Pack, que se empeñaron eri la acción desde el principio del ataque del enemigo-, Como también el teniente general Carlos barón Alten, el mayor general S. C. Halket, el teniente ge neral Cooke y los mayores generales Maitland y Byng, que fueron sucesiva mente llegando. Las tropas de, la quinta división y las del cuerpo de Bruns-^riqk se empeñaron seriamente y por mucho tiempo, conduciéndose…</t>
  </si>
  <si>
    <t>…ido bien. „Debo no obstante, hacer mención particularmente para la aprobación de $. A. R. del teniente general S. H. Clinton, del mayor general Adam , del teniente general Carlos, barón Alten, gravemente herido, del mayor general S. Colín Halket, ídem, del coronel Ompteda* del dé la misma graduación Mitchell, comandante de una brigada de la cuarta división, de los mayores generales S. J. Kempt , S. D. Pack , Lambert, lord E. Somersef, S. W. Ponsom…</t>
  </si>
  <si>
    <t>Alvares, Manuel</t>
  </si>
  <si>
    <t>Manuel Alvares</t>
  </si>
  <si>
    <t>….; Mariano Castillo i de egercicio calesero; Juan Bermudez, maestro confitero; Francisco Rodríguez, maestro vidriero, y Josef Arnez, maestro carpintero. Del cuartel de la Plaza. A D. Manuel Alvares , profesor de escultura ; Tiburcio Sanz, maestro ca bestrero ; Santiago^Giménez, maestro carpintero; Valentín Ruesga, maestro -cuchillero j Blas Púyales, maestro sastre, y Juan Geta, maestro cuchillero* ARTICULO DE OFICIO. Continuación de las gracias que se h…</t>
  </si>
  <si>
    <t>Alvarez, Agustín Josef</t>
  </si>
  <si>
    <t>Agustín Josef Alvarez</t>
  </si>
  <si>
    <t>1001</t>
  </si>
  <si>
    <t>…ue Habiendo Hecho presente, al Rey nuestro Señor la orden de 26 de Junio último ,.que se me pasó por. el Ministerio de Gracia y Justicia, concediendo á D. Juan Josef López Merlo , D. Agustín Josef Alvarez y D. Gerónimo Josef Fernandez- la- mitad de los sueldos que gozaban cii,sus destinos-de.Se cretario de la Diputación provincial;de. Guadalájara el primero , 'Gl¡ciál ma yor el. segundo y Escribiente el- tercero-, y la Real orden de 16 del mismo mes sobre que los empleados que.fu…</t>
  </si>
  <si>
    <t>Alvarez, Cipriano</t>
  </si>
  <si>
    <t>Cipriano Alvarez</t>
  </si>
  <si>
    <t>…, D. Pedro Rodríguez, D. Manuel Diez, D. Miguel María Robles, D. Pedro Maratino, D. Francisco Antonio Pe rez y D. Manuel Martínez, del de Voluntarios de León; D. Raymundo Provedo, D. Cipriano Alvarez, D. Mariano López y D. Andrés Garrido, del de Voluntarios del Ribero: de Subteniente á D. Pedro Losada, D. Jo sef Novales, D. Josef Ulloa, D. Nicolás Quiñones, D. Andrés Blanco, D. Juan Valcárcel, D. Roque Suarez, D. Jacobo Gil, D. Fernando Gil, D. Pedro Beyr…</t>
  </si>
  <si>
    <t>Alvaréz, Eugenio María</t>
  </si>
  <si>
    <t>Eugenio María Alvaréz</t>
  </si>
  <si>
    <t>Gaceta de Madrid n.º 97</t>
  </si>
  <si>
    <t>, '924 ................... ....á.D. Ignacio Pcrez. Paca la vara de Ciudad-Rodrigo a ■'©PF'fa'ilcistó'Jayié» García Zamora: para la de Sorbas á D. Eugenio María Alvaréz: para la de Serón á D. Josef a Ganancias : - para 4a :de Grdtavá á l&gt;. Ma^tih ’Varop Oiiváí para la de Puebla de; Santa María de Guadalupe £ D*; Dionisio Apellanizi para la de BurguIIios á D. Cristóbal GonzálezTrigüéros: parala de Sepúfe veda á D. Isidro Prec…</t>
  </si>
  <si>
    <t>Alvarez, Fernando FaLcon y</t>
  </si>
  <si>
    <t>Fernando FaLcon y Alvarez</t>
  </si>
  <si>
    <t>…Miguel Camacho á D. Juan Josef Perez González , cura párroco de la villa de Sta. Cruz de Tenerife, y la ración que ha vacado en la misma iglesia por muerte de D. Bernarda Reyes á D. Fernando FaLcon y Alvarez. La canongía de la catedral; de Orihuela vacante por fallecimiento de Don Andres;Bayon á D. Bernardo Mafiueco. . La canongía que ha vacado en la metropolitana de Granada por muerte . de D. Antonio Cervino á. D. Alejandro Perez y Romero» cura propio de la cole…</t>
  </si>
  <si>
    <t>Alvarez, Francisco Manuel</t>
  </si>
  <si>
    <t>Francisco Manuel Alvarez</t>
  </si>
  <si>
    <t>…de granaderos á D. Melchor Duran; idem de ca zadores á D. Ramón Lorente; idem de fusileros á D, Josef Salazar, D. Ra fael Galdia, D. Jo.ef Tucar, D. Juan Mijares, D. Tomas Agudo, Don Francisco Manuel Alvarez, D. Gregorio Baeza, D. Francisco La-Reguera y D. Vicente Aneses ; subtenientes de cazadores á D. Domingo Miranda y D. Juan Manuel Piedra, y subtenientes de fusileros á D. Juan de la Rosa, D. Julián Conde , D. Josef García, D. Antonio García, D. Francisco Gu t…</t>
  </si>
  <si>
    <t>Alvarez, Gerónimo</t>
  </si>
  <si>
    <t>Gerónimo Alvarez</t>
  </si>
  <si>
    <t>…ncebo, D. Francis co Diez Sopeña, D. Josef Provedo, del de Voluntarios del Ribero; Don Gerónimo Roxo, del de Cazadores del Rey; D. Cesar Tournel, d¿l Real Cuerpo de Artillería , y D. Gerónimo Alvarez , del de Húsares extinguidos de León: de Teniente á D. Felipe Castro, D. Ramón Cespon, D. Jacinto Arteaga y D. Bernardo de Castro, del Provincial de Santiago; D. Jacobo Pardo y D. Josef Boltorna, del de Tuy; D. Lorenzo Valcarcel y D. Josef Sansiz, del de Lugo…</t>
  </si>
  <si>
    <t>Alvarez, Juan Josef</t>
  </si>
  <si>
    <t>Juan Josef Alvarez</t>
  </si>
  <si>
    <t>…S. M., deán de la santa iglesia de Cartagena,é individuo de la condecoración de la Lealtad de Valencjay; D. Fermín del Rio, teniente de arcipreste del Cam po y cura de Ventosa, y D. Juan Josef Alvarez, vecino de dicho pueblo de Cuellar; el primero dixo el discurso siguiente: ,, Señor : el arciprestazgo del Campo , en la provincia de Soria , y el pue blo de Cuellar de la misma, nos han elegido-para felicitar á V. M. por su restablecimiento al trono de sos m…</t>
  </si>
  <si>
    <t>Alvarez, Manuel Benito</t>
  </si>
  <si>
    <t>Manuel Benito Alvarez</t>
  </si>
  <si>
    <t>Gaceta de Madrid n.º 117</t>
  </si>
  <si>
    <t>…del lugar de Navascurial, en el estado de Piedrahita, diócesis dé Avila, vacante por ascenso de D. Juan Josef García Margallo al de S. Martin de Aguis, en ei obispado de Orense, á D. Manuel Benito Alvarez, presbítero, residente en la parroquia de Sardonia, dió cesis de Tuy. Al mismo tiempo que el Rey nuestro Señor se ha servido admitir el do nativo de 913 fanegas de toda especie de granos, y 4446 rs. vn. en créditos, que ha hecho á S. M. D. Simón de Olarte, di…</t>
  </si>
  <si>
    <t>Alvarez, María</t>
  </si>
  <si>
    <t>María Alvarez</t>
  </si>
  <si>
    <t>…635 rs. vn. que importan los suministros que ha hecho para la subsistencia de los egércitos : D. Miguel Villacastiri 34© rs. en seis acciones del Real emprés tito de ióo millones; Doña María Alvarez 22210 rs. y 14 mrs. que se ?a adeudan en el fondo vitalicio : Fr. Francisco Cifuentes, á nombre del monas terio de S. Lorenzo del Escorial, 1.884293 rs. y 20 mrs. que le adeuda Ja Real hacienda, y ademas 100® rs. en efectivo: D. Juan Recalde 111549 rs. por in…</t>
  </si>
  <si>
    <t>Alvarez, Melchor</t>
  </si>
  <si>
    <t>Melchor Alvarez</t>
  </si>
  <si>
    <t>…agua , y agregado actualmente al estado mayor de la plaza de Goatemala , y. Di Cesar Balbiani, subinspector general de las tropas de aquella provincia. Brigadieres á los coroneles D. Melchor Alvarez, coronel del regimiento in fantería de Saboya, esistente en Nueva-Españi^D. Antonio Cano, del de in fantería de León ;, D. Juan Manuel Pereyra, teniente coronel del de! húsares de Fernando Vir, uno y otro pertenecientes á la espedicion del mando del</t>
  </si>
  <si>
    <t>Alvarez, Miguel</t>
  </si>
  <si>
    <t>Miguel Alvarez</t>
  </si>
  <si>
    <t>…Luis Aguado Perez,cura de la parroquial de S. Pedro de los Huertos, diócesis de León. = La dignidad de arcediano de Cuellar, vacante en la catedral de Segovia por fallecimiento de D. Miguel Alvarez,á D. Fran cisco Valle Roldan, ministro del tribunal de la Rota de la nunciatura apos tólica , con dimisión de la canongía que obtiene en la misma iglesia; y esta 'canongía á D. Juan García Beltran, cura párroco de la iglesia de S. Esteban de aquella ciudad: o…</t>
  </si>
  <si>
    <t>Alvarez, Pablo</t>
  </si>
  <si>
    <t>Pablo Alvarez</t>
  </si>
  <si>
    <t>…uerpo de Artillería.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t>
  </si>
  <si>
    <t>Alvarez, Pedro Pablo</t>
  </si>
  <si>
    <t>Pedro Pablo Alvarez</t>
  </si>
  <si>
    <t>…cos y prácticos del arte de la guerra, acomo dados al servicio de los .estados mayores generales y divisionarios de los egércitos españoles: por el te nien toaron el dé caballería D. Pedro Pablo Alvarez. Se halla rá en la librería de Hurtado , calle de las Carretas: su precio 14 rs. en'rústica. Retrato de nuestro Soberano el Sr. D. Fernando y ir., Rey de España y de las Indias, visto de frente, de. buen grabado. Se hallará en; la librería de Campo, eslíe de…</t>
  </si>
  <si>
    <t>Alzaybár, Vicente</t>
  </si>
  <si>
    <t>Vicente Alzaybár</t>
  </si>
  <si>
    <t>…de de Ezpeleta , D. Pedro^Gó mez Labrador y D. Antonio Vargas y Laguna. 1 De número, pequeña á D. Francisco Ortiz de Taranco. &gt; Supernumerarias á D. Gaspar Zurita, D. Ignacio Acha,D. Vicente Alzaybár., D. Josef Vareta y Montero, Barón de Gastellnou de Momech , Don Burges Camac, D. Josef Montenegro , D. Ventura Malibran, D. Pedro Juan de Olazagarre, D. Diego Henares y Tienda, D. Diego Miguel Bravo, Don Antonio vidaurreta, D. Juan Zarate, D. Josef Irunciaga…</t>
  </si>
  <si>
    <t>Alzurrun, Estiban</t>
  </si>
  <si>
    <t>Estiban Alzurrun</t>
  </si>
  <si>
    <t>…'[■ , . ,4 • k .... •• ■ — Nota. En la gaceta del jueves prójimo pasado,:pág. 754, lín. 44, entre los capitaneé de caballería de línea ascendidos á tenientes coroneles, donde dice D. Estiban Alzurrun ,\éx%Q Ulzurrun. '. ’ •í-'í. • ENV . . LA IMPRENTA,i ■■■■■ +* »-a. i» - REAL.4 ‘ t-* ■ v. &lt; t SW* . ) -v</t>
  </si>
  <si>
    <t>Ama, Manuel Fernandez</t>
  </si>
  <si>
    <t>Manuel Fernandez Ama</t>
  </si>
  <si>
    <t>…al, diócesis de Lérida, á D. Josef Cagigos.=La canongía presbiteral que ha va cado en la colegiata de Junquera de Ambia, en el obispado de Orense, por muerte de D. Josef Varela, á D. Manuel Fernandez Ama. = La ración'va cante en la catedral de Salamanca por muerte de D. Manuel Sánchez Alonso á D. Lucas Cotilla y Sánchez, cura párroco de Nava-Gallega en aquella diócesis.=La ración vacante en la catedral de Avila por fallecimiento de D. Mi guel Celestino de la…</t>
  </si>
  <si>
    <t>Amar, Francisco</t>
  </si>
  <si>
    <t>Francisco Amar</t>
  </si>
  <si>
    <t>…anongías vacantes en la metropolitana de Zaragoza por muerte de D. Juan Antonio Rosillo y D. Josef María Azpiazo á D, Josef Asensio de Ocon, canónigo de la catedral de Huesca, y á D. Francisco Amar, doctoral ¿e la de Albarracin, y la canongía que debe resultar vacante en Huesca por</t>
  </si>
  <si>
    <t>Amat, Andrés Josef</t>
  </si>
  <si>
    <t>Andrés Josef Amat</t>
  </si>
  <si>
    <t>…a de Baylen á D. Manuel Antonio Caballero: para la de Águilar del Rio Alama á D. Antonio Ramos Calderón; y para la de Leganes á D. Félix Benitez. Para el corregimieno de Alcaraz á D. Andrés Josef Amat: para el de $. Clemen te á D. Josef Matías Eguizabal: para el de Toro á D. Juan de Dios Alon so: para el de Medina del Campo á Di Manuel Josef Sánchez Fano: para la vara de Valladoh^J á D. Fermín Fernandez de la Cuesta: para la de Aguilar de Campoo i D. Juan…</t>
  </si>
  <si>
    <t>Amat, Félix Torres</t>
  </si>
  <si>
    <t>Félix Torres Amat</t>
  </si>
  <si>
    <t>…r muerte de D. Joaquin Calero y Pedrajas á Don Manuel de la Fuente y Dávila. = Hn la catedral de Barcelona la dignidad de sacristán mayor, vacante por muerte de D. Esteban Pinos,á D. Félix Torres Amat, canónigo de la iglesia colegial de S. Ildefonso; y la dignidad de arce diano de Llobregat, vacante por muerte de D. Cayetano Mojo, á D. Ventu ra Josef Mas mit ja, arcediano de Alpuente en la catedral de Segorve: la ca nongía de la colegiata de Sta. Ana en la…</t>
  </si>
  <si>
    <t>Amat, Joaquín Ferrer y</t>
  </si>
  <si>
    <t>Joaquín Ferrer y Amat</t>
  </si>
  <si>
    <t>…uestro Señor se ha servido nombrar coroneles de los regimien tos provinciales de Orense y Chinchilla á D. Antonio María Montenegro y Carantoña; capitán de infantería retirado, y á D. Joaquín Ferrer y Amat, coronel del Real cuerpo de Ingenieros. S. M. se ha servido nombrar para la vara de alcalde mayor de la villa de Paredes de Nava á D. Juan García Monsalve: para la dePeñaíiei á D. An tonio Prieto: para la de Plasencia á D. Francisco María Sánchez Castilla: pa…</t>
  </si>
  <si>
    <t>Amati, Francisco</t>
  </si>
  <si>
    <t>Francisco Amati</t>
  </si>
  <si>
    <t>Gaceta de Madrid n.º 49</t>
  </si>
  <si>
    <t>416</t>
  </si>
  <si>
    <t>…án de guarnición.’ 1 Después de haber dormido S. S. en -el palacio episcopal, salió á la madru gada del,dia siguiente hácia Larece, y 'por el mar llegó á Rapallo en una fa lúa del Sr. Francisco Amati, encargado del señor gobernador de Sarzana para conducir hasta Génova al Padre Santo. En Rapallo encontró las mismas demostraciones públicasde V'enéracion y de afecto. Pasó Ja noche en el pala-</t>
  </si>
  <si>
    <t>Amatrtain, Santiago</t>
  </si>
  <si>
    <t>Santiago Amatrtain</t>
  </si>
  <si>
    <t>Gaceta de Madrid n.º 45</t>
  </si>
  <si>
    <t>…l Camino, D. Juan Antonio Morejon, Don Josef Antonio de Oscoz y D. Antonio Fernando Briz, se ha dignado S. M. nombrar, á consulta de dicho tribunal, para las varas de S. Vicente á Don Santiago Amatrtain: de Pedro Muñoz á D. Antonio Rodríguez fsscovar : de ViHaest/usa de Haro á D. Gínes Muiría Serrano: de Ceclavin á D. Andrés Torrente de Vilíena; y de Bienvenida á D, Manuel Josef de Valenzuela. El Rey nuestro Señor se lia servido conceder al Excmo. Sr- conde…</t>
  </si>
  <si>
    <t>Ambrosio</t>
  </si>
  <si>
    <t>…botin.Ademas se hicieron iópo prisioneros, entre los que háy yoQ heridos, de cuya clase habían ya Bevado los enemigos otrqs muchos á Civitanuova. Entre los |heridos $&lt;e encuentra' general Ambrosio;; el general, Campana perdió; una .pierna ; el coronel jRocaromána murió en Maceratá de resultas de sus heridas; •el coronel Pértuff, que está en lá misma ciudad herido; el ayudante genéraí de Murat CbMier, que está emMacerata; y otros varios sugetos con 25 o…</t>
  </si>
  <si>
    <t>Amé, Francisco</t>
  </si>
  <si>
    <t>Francisco Amé</t>
  </si>
  <si>
    <t>…Cámara Cano, del consejo de S. M , pal mer teniente corregidor de/esta villa, y por la escribanía del número de D. Jaco— bo Manuel Manrique, en el dia 31 del pasado Marzo ha hecho D. Francisco Amé^ 11er, vecino y del comercio de esta villa, dimisión de sus bienes en favor de sus acreedores, señalando unos y otros en las relaciones que ha producido Ja que se ha admitido quanto ha lugar, y mandádose hacer saber á dichos acreedores residentes en esta cort…</t>
  </si>
  <si>
    <t>Amezquet, Miguel Jbaqúin de Lardizabal y</t>
  </si>
  <si>
    <t>Miguel Jbaqúin de Lardizabal y Amezquet</t>
  </si>
  <si>
    <t>…arando que tales cuales están representados, y con la conveniente esplicacion de los símbolos» figuras, colores y metales de que se componen, pertenecen en propiedad, el primero á D. Miguel Jbaqúin de Lardizabal y Amezquet^, como poseedor y cabeza de la casa original de Lardizabal mayor en la provincia cíe Guipúz coa; el segundo á D. Diego de Uribe Yarza y Samaniego, marques de San Mamés de Aras, como poseedor y cabeza de la de Uribe, en el señorío de "Vizcaya, y^el tercero com…</t>
  </si>
  <si>
    <t>Amó, Juan</t>
  </si>
  <si>
    <t>Juan Amó</t>
  </si>
  <si>
    <t>…da á D. Eustaquio Martínez de Toro. En la vari de alcalde mayor de Valdepeñas ¿ D, Juan Víctor Lotente para que la sirf va hasta que cumpla su sexenio: en la de la Nava del! Rey á D. Juan Amó* nio Bernal hasta que cumpla el suyo: en la de .Odiar de Baza a D. CárloS Co va rubias hasta que cumpla los seis años; y en la de Alinonte-á D. Ruper* to de Orozco hasta cumpfir seis años. El Rey nuestro Señor se ha servido conceder los honores de su secretar…</t>
  </si>
  <si>
    <t>Amonara, Bernardo Díaz de</t>
  </si>
  <si>
    <t>Bernardo Díaz de Amonara</t>
  </si>
  <si>
    <t>…l Sr. D. León de la Cámara Cano, del cornejo de S. M., primer teniente cor regidor de esta hcroyca villa, ante el escribano del número de la misma, en virtud de Real habilitación, D. Bernardo Díaz de Amonara. Estando comisionado D. Juan Pico Santistéban por varios pueblos y particula res para liquidar y cobrar los créditos procedentes de suministros hechos en la guerra última con la Francia á las tropas inglesas y portuguesas, hace presente al público haber fixad…</t>
  </si>
  <si>
    <t>Amonaría, Bernardo Díaz de</t>
  </si>
  <si>
    <t>Bernardo Díaz de Amonaría</t>
  </si>
  <si>
    <t>Gaceta de Madrid n.º 26</t>
  </si>
  <si>
    <t>…el Sr.jD. I.etm-.-de 'Ja; CámaraCano, del eonsejo de S. M., primer teniente corregidor de esta heroyea villa, y escribanía del número , quc en virtud de Real habilitación despacha D. Bernardo Díaz de Amonaría. bas; partes éu lasTdist trítes pplidtones' qüe.tvivieron; hetlio todo1 por los oficiales-dfcl estado mayor del exércitó ekpañol. Se hallará ea‘ la librem dé Perez V calle de las Carretas, á 30 rs. en pasta y 21 i larústica. También sevendeiplasláminaí suel t…</t>
  </si>
  <si>
    <t>Amonio, Estéban</t>
  </si>
  <si>
    <t>Estéban Amonio</t>
  </si>
  <si>
    <t>…os que quieran matri cularse con arreglo á ordenanza y á lo publicado en la gaceta del 21 de Se tiembre, se presentarán al espresado secretario. En virtud de providencia del limo. Sr. D. Estéban Amonio üc uniidua, iiunistro togado del consejo y cámara de S. M. en el Real y supremo de la Guerra, superintendente de las penas de cámara y Real fisco del mismo, y asesor general de los cuerpos y tropas de casa Real, se ha mandado citar, llamar y emplazar á io dos…</t>
  </si>
  <si>
    <t>Amontó</t>
  </si>
  <si>
    <t>Gaceta de Madrid n.º 72</t>
  </si>
  <si>
    <t>…hijo D. eleménte: 1® que há dado D. Pedro dé Iscftlár/t 40® rsi en dinerp ¿vales y1 ; que han: dado D, JdséF Marió Méfeáréio^ marques déxCá* a-madrid ygétmlhbmbreclef Cáñiára , y D. Amontó 4|árraiV sil ^hérhSóo*,\c«J^ófielrgfaddádd Jlí Real cücroó ¿fe artillería, y 5 ® rs^ádó"toldan' Antón,'cu«|‘.del;*puéhípdej3¡épúza.. . .1.' ' Reglamento a probado por S. M. para la caballería del egército. Véndese á 12 cuartos .en el despacho de la imprenta R…</t>
  </si>
  <si>
    <t>Amor, Joaquín</t>
  </si>
  <si>
    <t>Joaquín Amor</t>
  </si>
  <si>
    <t>…a su pernumerario de menor edad de la Real Persona, D. Pascual Asensio, Don Josef Figuez y Cubero., D. Nicolás Diaz Lavandero, D. Manuel Batanero, D. Fernando Arranz de la Torre y D. Joaquín Amor, quienes hicieron los «pércidos que prescribe-el reglamento de esta escuela, en cuyo intermedio el*</t>
  </si>
  <si>
    <t>Amorós, Francisco</t>
  </si>
  <si>
    <t>Francisco Amorós</t>
  </si>
  <si>
    <t>…ta de Fr. Manuel Martínez, mercenario calzado, á la carta que desde Mcmpeüer le escribió el í!mc. Sr. Santander, obispo auxiliar de Zaragoza, y al apéndice á la representación que D. Francisco Amorós, soi-ditant consejero de estado español, dirigeá S. M. el Rey D .Fernando vti. Esta obra, de suyo interesante en las actuales circunstancias, lo es todavía mas si se considera que la respuesta á Amorós está escrita después de la irrupción de Buonaparte en Fra…</t>
  </si>
  <si>
    <t>…avise en esta corte á D. Ventura Fernandez, del comercio, red de S. Luís, núm. 27, ó en dicho pueblo al cura D. Pedro Eduardo Ernaez. Apéndice en contestación á otro apéndice que D. Francisco Amorós, soi-disant consejero'de estado español, zurció á la representación á S. M. el Rby D. Fer nando vii , fecha en París á i8 de Setiembre de 1814, é impresa en aquella ciudad en la imprenta de P. N. Rougerow en francés y castellano : por el Rmo. P. Mtro. FivManu…</t>
  </si>
  <si>
    <t>An</t>
  </si>
  <si>
    <t>…, ha ve nido en concederle la gracia de cruz; supernumeraria de la Real y distingui da orden española de Cárlos m. En atención á los distinguidos méritos y señalado patriotismo de D. An tonio María Pinel y Cevallos, marques de Cevallos, conde del Asalto, ma yordomo de semana,é introductor de embaxadores, le ha concedido el Rey la gracia de cruz supernumeraria de la Real y distinguida orden española de Cárlos iii. El Rey nuestro Señor se ha s…</t>
  </si>
  <si>
    <t>…uevo para lo sucesivo. .., En los autos que penden en el tribunal del consulado de la ciudad de Cádiz, y por la escribanía de D. Elias Izquierdo y Payan, promovidos á instancia de D. An tonio Lasqueti, director de la compañía de seguros, establecida baxo la protección de nuestra Señora de las Angustias y S. Antonio de Padua, en razón de.proporcio nar el anulamionto y cancelación de la misma sociedad, habiendo dicho general de cretado la cita…</t>
  </si>
  <si>
    <t>…nas, de la provincia de Avila, con ía carga de siete aniversarios anuales de cinco años cada uno, un real y dos gallinas de censo perpetuo á favor del mayorazgo de que es poseedor D. An tonio Revenga, vecino de dicho Avila, que resulta tasado en 146563 rs. y. ji mrs. vn^Quien quisiere hacer postura acudirá cbn ella ante la Real justicia de V¡llacastin ,quese adm¡t?r* siendo arreglada, y de su vista prevendrá día, sitio y hora para su remate.…</t>
  </si>
  <si>
    <t>…te por muerte de D. Manuel Blanco San tos, á D. Josef Uraga, canónigo cardenal de la misma catedral: para el de Litnia, dignidad de la propia iglesia, vacante por fallecimiento de D. An tonio Getino, á D. Josef Moure, prior claustral de la colegial de Junquera de Ambia en aquella diócesis: para el arcedianato titular y canongía de la iglesia catedral de Salamanca, vacante por muerte de D. Vicente Cáceres y Godoy, á D. Vicente Ruiz de Albiilo…</t>
  </si>
  <si>
    <t>…Mato; para la del partido de Orce- Ion á D. Juan Romero ; para la del partido de villanueva ae los Infantes al Lie. D. Juan Francisco Arias; para la del partido de Baítar al Lie. D. An tonio de la Sierra y Lamas; para la del partido de Puente-Cástrelo á Don Juan Varela del Corral; para la del partido de Cambados á D. Ramón An tonio de- Galarveta; para la del partido de Villamea de Laza á D: Josef Alonso y Granja ; para lá. del partido de Ba…</t>
  </si>
  <si>
    <t>•Y-: - ■ ' /' - 1 . L 62^ _ • nip de Lema, D. Jijan Vigodet, Dv Josef Ruiz dé Apodápa* D. Francisco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Villavice…</t>
  </si>
  <si>
    <t>…S. Pablo de Ubeda por muerte de D. Manuel Aguayo á D. Gaspar Montejano.=El beneficio simple servidero de S. Pedro de la villa de Moya, diócesis de Cuenca, vacante por promoción de D. An selmo Aguado al de la villa de Sacedon, á D. Benito Josef Moyano y Vallejo..^ La ración, vacante en la catedral de Ciudad-Rodrigo por muerte de Do»</t>
  </si>
  <si>
    <t>…de Málaga por fallecimiento de D. Igna cio de la Madrid á D_. Rafael Carrasco y León, medio-racionero de la de Coria. = La canongía vacante en la iglesia de Palencia por muerte de D. An selmo Soto áDóLuis Aguado Perez,cura de la parroquial de S. Pedro de los Huertos, diócesis de León. = La dignidad de arcediano de Cuellar, vacante en la catedral de Segovia por fallecimiento de D. Miguel Alvarez,á D. Fran cisco Valle Roldan, ministro del trib…</t>
  </si>
  <si>
    <t>…alvador González, D. Rafael Solano, Di Josef; Majríaí Prieto , Q¿ Fráncisco Cervera &gt; D. Francisco , Cascos, D. Juan Tejadár, DvBasilioBayoni, D.Joaquin Dolz, D. Salvador Arnardo, D. An tonio Marcoletá, D, Josef Gáliano, D. Manuel Ayolo, D. Ignacio Cambil, D. Vicente. Dolz , D. Manuel Fernandez , D. Rafael Montemayor, D. Ga briel Villoría, D, Diego Latorre, D. Pedro Vidal, D. Antonio Rey, D. Pe dro Áhnabai, D. Manuel Lomar, D. Pablo Chamorro…</t>
  </si>
  <si>
    <t>…s' tombs en 8.° inarquillá. Sé hállárá en la librería de Dávila, calle de las Car», 1 ■retas. 1 • - -l\'! ?; Historia de los niños célebres: traduada del francés ál castellano por D. An drés Míñano y las Casas. Es iin curso completo de educación, donde el precepto es tá hermanado con el egemplo; y no puede dejar de ser muy útil á los alumnos de los colegios, áilos pensionistas, ysá todos los hijos de familia; 3 tomos en 8.° de byen papel y l…</t>
  </si>
  <si>
    <t>…at, coronel del Real cuerpo de Ingenieros. S. M. se ha servido nombrar para la vara de alcalde mayor de la villa de Paredes de Nava á D. Juan García Monsalve: para la dePeñaíiei á D. An tonio Prieto: para la de Plasencia á D. Francisco María Sánchez Castilla: para la de Igea á D. Josef Beortegui,; y para la de Alburquerque á D. An tonio Ayala. Para el corregimiento de Albacete á D. Antonio Fernandez BriV: para el de^Paradas á D. Tomas Marcos…</t>
  </si>
  <si>
    <t>…lle de D. Pedro, rulen. 2. Entre los papeles derrocados de la escribanía de ayuntamiento de-Ja villa de Torrecillas:, provincia de E$tre madura, partido de Trugillo, del cargo de. D. An tonio García Márquez, ha parecido por una de aquellas casualidades ó desgracias ocurridas cq la pasada guerra una fundación de mayorazgo, escrita en pergamino, de Blasco Nuñez Vela, señor de Pablad i ¡lo y término de Canales, aldeas dcjla ciu dad de Avila, en…</t>
  </si>
  <si>
    <t>An, Josef</t>
  </si>
  <si>
    <t>Josef An</t>
  </si>
  <si>
    <t>…R. obispo de Astorga: el Marques de Villapanés 20 rs. diarios durante la guerra , con la cóñdicion de que si se con cluye antes de un año entregará hasta, el completo de 12® rs.: D. Josef An tonio Blanco 8627 rs. importe de réditos de una capellanía :D. Josef Manzano del Corral 4500 rs. en réditos de vales , y los qué produzcan 10 vales de 150 pesos de la creación de Setiembre durante la presente guerra y un año después de concluirse, y ademas cu…</t>
  </si>
  <si>
    <t>An, Julián</t>
  </si>
  <si>
    <t>Julián An</t>
  </si>
  <si>
    <t>…f Moyano y Díaz :{ pára la de Valíadolid á D. Fé lix Gallego: para la de Tarifa á~D. Manuel González Pintp: para la de Moguer á D. Pascual Félix Pui; y para la de Ífernan-Nufiez i D. Julián An drés García. Para el corregimiento de Madrigal á D. Francisco Moreno: pa ra el de Ciudad-Real á D. Fermín Diez: pará el de Benavides de Ortigo á D. Anselmo Diez Canseco: para el de Chinchón á D. Tadeo Capablanca. Jfara la vara de León á D. Joaquín Ruiz de Are…</t>
  </si>
  <si>
    <t>An, Ramón</t>
  </si>
  <si>
    <t>Ramón An</t>
  </si>
  <si>
    <t>…ias; para la del partido de Baítar al Lie. D. An tonio de la Sierra y Lamas; para la del partido de Puente-Cástrelo á Don Juan Varela del Corral; para la del partido de Cambados á D. Ramón An tonio de- Galarveta; para la del partido de Villamea de Laza á D: Josef Alonso y Granja ; para lá. del partido de Baños de Moigas á D. Femando</t>
  </si>
  <si>
    <t>An, Sáturio</t>
  </si>
  <si>
    <t>Sáturio An</t>
  </si>
  <si>
    <t>…se ausentó de aquella Jiace 3 2, años, sin que se haya sabido ni sepa de su, paradero. Si alguna, persona tie ne noticia de él, se la suplica se sirva comunicarlo en esta córte á D. Sáturio An gel de Velasco, que vive en la cálle de Bordadores « casas del marques de VÍllena, y en Avilés al cura párroco de la citada de Sto. Tomas de Sabugo. ' Se desea saber la suerte de D. Francisco Poítocarrero, cadete del regimiento de Velez-Málaga, que se halló e…</t>
  </si>
  <si>
    <t>Anaya, Josef María Moscoso y</t>
  </si>
  <si>
    <t>Josef María Moscoso y Anaya</t>
  </si>
  <si>
    <t>…: para el de la Puebla de Alcocer á D. Francisco González Vilches: para el de Palencia á D. Manuel de Villapadierna: para el de Niebla á D. Pedro Tagle Velarde; para el de Pruna á D. Josef María Moscoso y Anaya .* para eTde Zahara á D. Antonio Villareal; para el de ' Espera á D. Rafael Josef Castilla: para el de Hita á D. Manuel Antonio Barba: para el de Castrogeriz á D. Juan Pedro Navarro: para el de Almon-</t>
  </si>
  <si>
    <t>And</t>
  </si>
  <si>
    <t>Gaceta de Madrid n.º 55</t>
  </si>
  <si>
    <t>474</t>
  </si>
  <si>
    <t>…corresponderán dig namente á una demostración tan apreciable de la beneficencia y paternal desvelo de V. M.v En seguida, y con el mismo Real permiso, levó el secretario del banco •D. And res de la Cuesta la exposición de las operaciones de la dirección en el año último. Después se leyó también el balance del banco,; y últimamen te la relación de las tareas y negocios que ocuparan á la junta de gobierno en dicho año, con varias proposiciones q…</t>
  </si>
  <si>
    <t>Andrada, Francisco</t>
  </si>
  <si>
    <t>Francisco Andrada</t>
  </si>
  <si>
    <t>…amón Palacio, D. Josef Meneses , D. Antonio Riosoto , 0. Manuel Monde* toro, D. Manuel Crespa, D. Luis María Sarasti, D. Tomas Orive, 0. Ma« jnuel Cayaleri , D. Agustín del Barco, D. Francisco Andrada, D. Juan Ltí« »ás,D. Joaquín ALvarez Maldbnado, 0. Rodrigo Sánchez Airona, D. RaU* hiel Arango, D. Lean. Grl de Palacio, D. Joaquín Villaba, 0. Antonia ¡Sén quera, 0. Manuel Zacates, D. Pedro de la Llave, 0. Josef Mariano dél Puk ar, D. Josef Arias Saavedra,…</t>
  </si>
  <si>
    <t>Andrade, Rafael Diez</t>
  </si>
  <si>
    <t>Rafael Diez Andrade</t>
  </si>
  <si>
    <t>…. Simón dé Segoyia y D. Juan Canturry 17352 rs. y 20 mrs. en 69 recibos de suministros á tropas, y de¡ 2 marcos 7 onzas y 2 adarmes en plata labrada: D. Miguel Blany 2032 rs. vn.: D. Rafael Diez Andrade 664 rs. y 16 mrs. mrnm*mmm, ■ .... .... .. .................................. .. : ■—................ Dos continu telones de las sentencias dadas por la comisión nombrada por S. M. Véndense juntas en el despacho de la imprenta Real á 8 cuartos." • Quien quisi…</t>
  </si>
  <si>
    <t>Andreossy</t>
  </si>
  <si>
    <t>495</t>
  </si>
  <si>
    <t>…e la sección de Hacienda=E/ conde de St. Juan d'Angely, ministro de Estado, y presidente de la sección del Interior= El conde B ulay, ministro de la sección de Legislación. es. El conde Andreossy, presidente de la sección de Guerra. — El duque de Bassano, mi nistro y secretario de Estado/’ ESPAÑA. Madrid 11 de Maye, El día i.® de Diciembre..último tuvieron el honor de cumplimentar á S. M.; darle gracias por el restablecimiento de la universidad de Osm…</t>
  </si>
  <si>
    <t>Andrés</t>
  </si>
  <si>
    <t>…nes» si la ocurrencia de los negocios lo exigiere. Los accionistas que tuvieren 2 5 ó mas acciones pro pias deberán hacerlo constar en la secretaría del citado Banco, del cargo de D. Andrés de la Cuesta» exhibiendo las mismas acciones» ó entregando tes timonio suficiente que acredité su; pertenencia» y los números que compretiendan» y si.son adquiridas por endosos» á quien están llenas» desdé él vier nes 10/de este mes de Marzo» en que comienzan…</t>
  </si>
  <si>
    <t>Andres</t>
  </si>
  <si>
    <t>…y la ración que ha vacado en la misma iglesia por muerte de D. Bernarda Reyes á D. Fernando FaLcon y Alvarez. La canongía de la catedral; de Orihuela vacante por fallecimiento de Don Andres;Bayon á D. Bernardo Mafiueco. . La canongía que ha vacado en la metropolitana de Granada por muerte . de D. Antonio Cervino á. D. Alejandro Perez y Romero» cura propio de la colegiata de Osuna. . El arcedianato y canongía vacantes en la colegiata dé Vitoria p…</t>
  </si>
  <si>
    <t>Andrés, Micaela</t>
  </si>
  <si>
    <t>Micaela Andrés</t>
  </si>
  <si>
    <t>Gaceta de Madrid n.º 154</t>
  </si>
  <si>
    <t>…pa al público para su noticia é inteligencia. Se desea saber el paradero de D. Juan Bautista Higinio de Rivas, natural del reino de Aragón, hijo legítimo de D. Tomas de Rivas y de Doña Micaela Andrés, que nació en Enero de 1758, el que hace algunos años pasó á las Américas espa ñolas. El que supiese de su existencia Ó fallecimiento se dignará avisar en Madrid i D. Manuel de Uliarté, del comercio, en la plaza Mayor, y en Daroca á D. Estékan Eznarcegá. El q…</t>
  </si>
  <si>
    <t>Andrí, Antonio</t>
  </si>
  <si>
    <t>Antonio Andrí</t>
  </si>
  <si>
    <t>…Valcárcel i&gt;.D.'Eduardo de Brett, D.. Francisco de Baños y D. Josef María de Craiwinkel. ' - .-,ó Grado de capitan.de intateríaqal sargento.primero. y .furriel mayór gra.duado de teniente D. Antonio Andrí: grados de teniente á los de la misma clase graduados de subteniente D. Alejandro Valle y D. Guillermo Yanosen; y grados de subteniente á los de la propia clase D. Cárlos Busi,T&gt;. Jacobo Steingel,. D.* Pedro Baritch y D. Luis Vinaut» ■ ^ » ./-^oía..- En la cl…</t>
  </si>
  <si>
    <t>Ánglada, Francisco</t>
  </si>
  <si>
    <t>Francisco Ánglada</t>
  </si>
  <si>
    <t>…les distingue: igualmente que el recomendable' coronel D. Juan de Dios Saravia, comandante del bata* llon denominado del General ; su intrépido sargento mayor el teniente coro nel D. Francisco Ánglada; los siempre animosos comandantes de guerrillas teniente coronel D. Mariano Venero, capitán de egército D. Josef Ignacio Iturralde, y su segundo el capitán graduado D. Baltasar García; y en suma nq hay individuo alguno que no se baya hecho acreedor al inestim…</t>
  </si>
  <si>
    <t>Anglés</t>
  </si>
  <si>
    <t>Gaceta de Madrid n.º 132</t>
  </si>
  <si>
    <t>4</t>
  </si>
  <si>
    <t>…ia; el conde Fontanes, par de Francia; el conde de ChóiseulGouffier, par de Francia; el conde de Lally-Tollendal, par de Francia; el vizconde de Chateaubriant, par de Francia ; el barón Anglés; Mr. Bourienne, y el conde Alexis de Noailles. 6.° El barón de Vitrolles egercerá las funciones de secretario del consejo privado. / j.° Los ministros de Estado que forman parte del consejo privado reci birán anualmente el sueldo de 20® francos. Dado en París…</t>
  </si>
  <si>
    <t>Angúix, Félix Lázaro y</t>
  </si>
  <si>
    <t>Félix Lázaro y Angúix</t>
  </si>
  <si>
    <t>Gaceta de Madrid n.º 156</t>
  </si>
  <si>
    <t>…ado que fue en -el.año de -8o8 para el vestuario de la tropa y división de D. Alejandro Couplgny , áí venir aquélla á esta corte después de la batalla de Bailen, acudirá á ¿asa de D. Félix Lázaro y Angúix, que vive calle de los Negros, núm. 32 ; ó des de donde ¿sté avisará á dicho D. Félix de su paradero. ' Se desea saber de Julián Pimentel y López, sargento segundo del regimiento de caballería de Santiago, que era en Abril de 1810 cuando salió de Cuenca incor…</t>
  </si>
  <si>
    <t>Angulema, Duque de</t>
  </si>
  <si>
    <t>Duque de Angulema</t>
  </si>
  <si>
    <t>…e rendir les por la pasmosa disciplina y fas heroicas virtudes que han mostrado á la faz de la Europa, y de que ellos ban .sido testigos inmediatos. También lo ha sido el Serirto. Sr. Duque de Angulema, que situado en medio de las mismas tropas para acordar lo conveniente con el Escmo. Sr. general en gefe,. según la órden de S. M. que este tenia, las ha llenado dé elogios y pedido igualmente que se les diese á conocer su admiración y apre cio. S. E. al cump…</t>
  </si>
  <si>
    <t>Angulo, Carlos</t>
  </si>
  <si>
    <t>Carlos Angulo</t>
  </si>
  <si>
    <t>…Leca: para la de Sigüenza á D. Juan Peynador y Pi no: para ia de Iguña á D. Isidoro de Josué y Barreda: para la de Leinus á D. Francisco de Paula Villareal: para la de Mónterey á D. Carlos Angulo: para la de Colmenar Viejo á D. Juan Luxigo y Pedro?a: para la de Baylen á D. Manuel Antonio Caballero: para la de Águilar del Rio Alama á D. Antonio Ramos Calderón; y para la de Leganes á D. Félix Benitez. Para el corregimieno de Alcaraz á D. Andrés Josef Am…</t>
  </si>
  <si>
    <t>Angulo, Dionisio Marcelino</t>
  </si>
  <si>
    <t>Dionisio Marcelino Angulo</t>
  </si>
  <si>
    <t>…es dehesas de los Guadalupes á D. Pedro León de la Plaza Segura: para la de Portillo á D. Garlos Covarrubias: para la de Gimena á D. Josef Mateos y Valle: para la de Garrobillas á D. Dionisio Marcelino Angulo: para la de Cuevas de Vera á D. Josef Vicente de Castro: para la de Benvipre á Don Josef Ruvial: para la de Orgiva á D. Gines Muñoz Paíao: para la de Revi lla á Juan Bautista Loperraez: para la de Ardales á D. Miguel Plácido Cañete: para la de Cañete á D. Man…</t>
  </si>
  <si>
    <t>Angulo, Josef</t>
  </si>
  <si>
    <t>Josef Angulo</t>
  </si>
  <si>
    <t>…era á D. Joaquín Tercero Gaseo i y para la de Sepulveda á D. Manuel FrutosPara ef corregimiento político* de la ciudad de Granada ¿ D. Juan de Campos y Molina: para el de Hellin á D. Josef Angulo: para el de Plasencia á D. Francisco»Xaviét ViLlanueva:para el de la isla de la Gran Cana ria á D. Salvador Ferradas ^ para el de la isla de Tenerife y la Palma á Don Juan Bautista Persiva t para el de Córdoba á D. Joaquín Bernad y Vargas; y para el de Erija…</t>
  </si>
  <si>
    <t>Angulo, Josef Iñigo de</t>
  </si>
  <si>
    <t>Josef Iñigo de Angulo</t>
  </si>
  <si>
    <t>…os regocijos, olvi dándose de lo pasado». En efecto, á las dos de latarcfedel mismo dia 13 eo la antigua torre de santa María los señores D. Ramón Ortega,, intenden te corregidor; D. Josef Iñigo de Angulo; D. Francisco Fernandez de Castro, marques de Barrio Lucio, y coronel de caballería de los Reales exérciro:; D. Juan Amonio Barona y D. Josef León de Madrazb , montero de cámara de S. M.; regidores perpetuos D. Jacinto. Cilleruelo , D. Josef Rodrí guez Cermeñ…</t>
  </si>
  <si>
    <t>Anríen, Fulgencio</t>
  </si>
  <si>
    <t>Fulgencio Anríen</t>
  </si>
  <si>
    <t>…echevala, Don Agustín Bocal a n, D. Matías Aldao, D, Diego Gadea, D. Antonio Mella, Don Josef Barros, D., Alonso Butrón, D.•Felipe Saavedra, D. justo Pasalagua; p. Vicente de Mesa,D. Fulgencio Anríen, D. Josef Carreño, D Manuel. Ümendia, D. Julio Ponce de León, D. Josef Marco y.Espejo, D.^joaguin Vargas Machuca, D. Josef de la Sendéja, D. Andrés Tacón, P. Joaquín Ro dríguez de Ribera , D. Pedro Germán D. Josef de Torre Llobregat, D. An tonio Villavicencio…</t>
  </si>
  <si>
    <t>Anselmo</t>
  </si>
  <si>
    <t>…cinos y fabricantes de paños de la villa de Bejar,. provincia,de. Salamanca ¡&lt; se ha digiiÓda Si ,M., para remunerar en parte los servicios hechos por estos dos socios, conceder á D. Anselmo y 4&gt;. Pedro Meliton Olleros, nietos del primero ,é hijos ¡del segundo, 500 du» cados de pensión por mitad sobre las miaras de la península. . * I . \r CÍ ti i b Iin atención al mérito , servicios y circUnstancias que^concurrenen Dort A lonso Arias Gago , pres…</t>
  </si>
  <si>
    <t>Anto</t>
  </si>
  <si>
    <t>166</t>
  </si>
  <si>
    <t>…tes por muerte de D. Francisco Gómez Samaniego, ? Celestino de Figueroa: para otro beneficio préstamo de Bayo en Gra do, diócesis de Oviedo, vacante por haber contraído matrimonio D. Anto nio Sanjurjo, á D. Manuel Majada, capellán del oratorio de S. Felipe Neri de Valiadolid, en premio de sus distinguidos servicios á la religión, y para que pueda continuar con igual zelo en el desempeño de su sagrado ministe rio: para otro beneficio? simple de…</t>
  </si>
  <si>
    <t>…Vega de Armijo y á D. Francisco Mallo BoneüiJ iPiazas de mayordomos de semana á D. Miguel Desmaisieres, al conde der Cumbrehermosa, á D. Josef Losada, al marques de la Regalía y á D. Anto nio Francisco de Lecumberri y Azcué. (Se continuará.) - ^ ó . i</t>
  </si>
  <si>
    <t>…Giiidoy D/ BenitodelaRigádtf &amp; Miguel Lizarza, D. Tgnacio Glaetay D/Francispo de Zayasy-D. ;juanrMiyáres ¿ jD.&gt;Antonio -Abadía» Ds Manuel Fernandez Fiorez. IX Ramón García Florez» D. Anto*</t>
  </si>
  <si>
    <t>…ces, ,D. Gonzalo Lobo , D. Josef Araujo, p. Josef Rovirat, D. Antonio Sierra , D, Josef María Lauquer, D. Josef Dá^ viía, ,D&lt;Antonio Alvare^, D, Joaquín Asensio, D. Benito Ibañez, D. Anto nio Casbas j D. Francisco Botella, D. Josef Rasero , D. Josef Joaquín de Corres, D. Manuel González la Madrid , D. Santiago Regoli, D. Pedro Moreno, D. Celedonio Navarro, D. Josef Faura, D. Juan Bengoechea, D. Ra fael Aleson, D. Santiago Mateos, D. Gregorio M…</t>
  </si>
  <si>
    <t>…nte á los de lá misma clase graduados de subteniente D. Blas Ñégfo y D.- Rufino de Castro ; y grados de subteriiente á'lps dé la propiaclase D* Peregrino Bau, D. Cárlos González , D. Anto nio .Bárfiiosp/, P* Pedro .Giménez', fí. Francisco Muñoz y fí. Alejandro Barrios-. .: -f ' • i. En el regimiento de sus Reales guardias de infantería Walona grado de teniente coronel á los segundos tenientes D. Joaquín Morales y D. Manuel de Cortabarría y D,…</t>
  </si>
  <si>
    <t>Anto, Juan</t>
  </si>
  <si>
    <t>Juan Anto</t>
  </si>
  <si>
    <t>…es del consejo de Ordenes, cédula de preeminencias, y 6® reales anuales sobre el süeldo que en la actualidad disfruta. N Igualmente , en consideración á los méritos y servicios de D. Juan Anto* nio de Ventades, consultor del señorío de Vizcaya, se ha dignado S. M. concederle los honores de oidor de la chinciilería de Vaílaclolid: á D. Dio nisio Catatan, corregidor de Cuenca, los honores y antigüedad de alca Ide del crimen dé la chancillería de Gran…</t>
  </si>
  <si>
    <t>Anto, María</t>
  </si>
  <si>
    <t>María Anto</t>
  </si>
  <si>
    <t>Gaceta de Madrid n.º 88</t>
  </si>
  <si>
    <t>…mes comparezcan en aquel juzgado ci vil y escribanía mayor de rentas unidas y su provincia marítima; con apercibimien to de que no haciéndolo se mandarán entregar á la heredera de Doña María Anto nia Ipenza Jos siete vales Reales de 150 pesos, creación de Enero, que se hallan depositados en aquella Real tesorería por auto de 10 de Diciembre de 1800. Por providencia de D. Custodio Martin Zancudo y D. Nicanor García Santos, vecinos de Yepes, jueces comp…</t>
  </si>
  <si>
    <t>Antón, Felipe</t>
  </si>
  <si>
    <t>Felipe Antón</t>
  </si>
  <si>
    <t>386</t>
  </si>
  <si>
    <t>…uestro Señor se ha servido nombrar, á consulta del Real Consejo de las Ordenes»-para las varas de alcalde mayor de S. Cebrian de Castrotorafe á D. Antonio Entrecanales: de Cieza á D. Felipe Antón: dé la Granja de Torrehermosa á D. Gerónimo Torrecilla de Tejada: de Villanueva de los Infantes á D. Josef Andrés de Arellano: de la Solana á Don Francisco María Osorio y Becerra: de los Santos á D. Vicente García Díaz: del Toboso á D. Francisco Juan y Cantab…</t>
  </si>
  <si>
    <t>Antón, Félix Martin</t>
  </si>
  <si>
    <t>Félix Martin Antón</t>
  </si>
  <si>
    <t>…existencia, se servirá comunicarla en esta corto á D. Dámaso de Rueda y Tejada, que vive calle del Ave María, número 12 , quarto principal,-junto á la de S. Carlos, y en Búrgos á D. Félix Martin Antón, su hermano político, empleado en el hospital del Rey. Se desea saber el paradero de D. Joaqoin Marti y Sanseverino, oficial del re gimiento de Zapadores, que fue hecho prisionero en el ataque de 'Zaragoza. Quién tuviere noticia de dicho D. Joaquín se servirá…</t>
  </si>
  <si>
    <t>Antón, Juan</t>
  </si>
  <si>
    <t>Juan Antón</t>
  </si>
  <si>
    <t>…te la guerra: una persona, que h» pedido se le oculte su nombre, 116722 rs. y 9 mrs. por los réditos de una imposición sobre la renta del tabaco, y sueldos vencíaos de su retiro : Don Juan Antón 5® rs. que ha entregado al R. obispo de Astorga: el Marques de Villapanés 20 rs. diarios durante la guerra , con la cóñdicion de que si se con cluye antes de un año entregará hasta, el completo de 12® rs.: D. Josef An tonio Blanco 8627 rs. importe de réditos…</t>
  </si>
  <si>
    <t>Antona, Juan</t>
  </si>
  <si>
    <t>Juan Antona</t>
  </si>
  <si>
    <t>…chamiento, si podía ser, estraordinario. El catedrático ha escedido los deseos de la universidad, pre sentando el dia 22 de Junio los cinco de sus discípulos D. Cándido Sebastian, D. Juan Antona, D. Saturnino Martínez de Llórente, D. Gerónimo Martines y D. Antonio Mazo á examen público y general de aritmética , algebra, geo metría, trigonometría, geometría práctica, secciones cónicas t seríes y su apliCacioir á los logaritmos. La prontitud con que lo…</t>
  </si>
  <si>
    <t>Antonio</t>
  </si>
  <si>
    <t>Gaceta de Madrid n.º 8</t>
  </si>
  <si>
    <t>…de'i8re. ¿ ' El dia 18 de Setiembre ultimo fueron admitidos á felicitar á S. M. por su restitución al trono, y besar su Real mano y la de SS, ÁA. Jos Sres. In* fantés D. Cárlps y ,D. Antonio , en nombre de la viila de Villamartin, reyno de Andalucía, él Excmo. Sr. D. Pedro^Águstin Girón, tenientefgeiteral de los Reales exércitos , y D, Bernardo de los Rios, yeqinp.^déiella^ eí primero de los qialesarengó á S. M. en los,«términos siguientes.; ^ :…</t>
  </si>
  <si>
    <t>…eran lo&amp;, yale$;í(?-qv,é eqpty^d -^cendia ^O/vdas, ni quáles/eran síw números; pero no se dudaqueera,CQ$a &lt;^e mupha consideración, y que los ,en-’ «fosos serian a favor del mismo D. Antonio ó de su madre viuda Doña AÍaria Ro- ¿ «a; y como lia podido acontecer que estos vales se extraviasen de la casa del difuiir to, ó del parage donde estaban, sé suplica á quálquierá que sepa su paradero, o pue-~ da dar alguriar noticia sobre cllÓ, qué se sitvd^…</t>
  </si>
  <si>
    <t>…eado regreso &amp; España, y ma nifestar su. indecible satisfacción en que el Rey nuestro Señor se haya dig nado poner baxo la inmediata protección de V. A., y del Sermo. Sr. In fante D. Antonio, la Utilísima empresa del canal que ha tenido á bien re solver se construya en dichai villa:para el riego de sus-dilatados terrenosi „ Baxo tan poderosos auspicios no duda aquel leal pueblo ver; pronta reparadas sus pérdidas,, y aumentada su&gt; verdadera felici…</t>
  </si>
  <si>
    <t>. .. £¥» Hería dé Granada á D. Francisco'Fe rhatidez del Pino j D. Antonio de f« Parra y D. Joaquín Lorenzo Mózq; y para alcaldé del;crimen dé la misfma?á D. Salvador Antonio Fernandez y TorreV: pára Oidores; de la áudieñ. ciá de Sevilla á D . Josef Miér, D. Pédro Simo y D: Francisco Ola va rrieta ; y pará alcaldes de la qnadra de '…</t>
  </si>
  <si>
    <t>Gaceta de Madrid n.º 35</t>
  </si>
  <si>
    <t>…legrarla ha solieitado de Mi que con descienda con el nombramiento de su inmediato protector» que en oíeno claustro y por aclamación ha hecho en mi augusto y amado Tio el Infante D. Antonio. Esta elección» que no ha podido dexar de serme grara, según el interes que mi amado Tio se tomará en promover estas escuelas hasta res* tablecerlas á su primer lustre; en procurar su prosperidad, y sobre todo en exercitar su piadoso zeio para que su doctrina…</t>
  </si>
  <si>
    <t>…n salió gravemente herido, muriendo de resultas posteriormen te en Truxillo, según se acredita de documentos oficiales; se ha servido S. M. recompensar sus servicios en so hermano D. Antonio, cadete del re gimiento infantería fixo de Ceuta , ascendiéndole á subteniente del misino cuerpo, y mandando se tenga presente á su hermana Doña Salvadora para la viudedad correspondiente á su difunta madre quando lo permitan las cir cunstancias del erario; p…</t>
  </si>
  <si>
    <t>584</t>
  </si>
  <si>
    <t>…a, para sí,, sus hijos y sucesores, en atenpiqn .á sus particulares;&gt;y&gt;distinguidos méritos., _. Á consulta de la misma cámara se lia servido S. M. conceder título ae'* Castilla á D. Antonio jos'ef Doñamayor y Postigo para sí, sus hijos y des cendientes en su casa y mayorazgos con la denominación de conde del Al— bercon y vizconde de Doñamayor.} Artículo comunicado por la primera secretaría de Estado. Los estragos que ocasionó la fiebre amarilla…</t>
  </si>
  <si>
    <t>…ontero, Barón de Gastellnou de Momech , Don Burges Camac, D. Josef Montenegro , D. Ventura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Josef Gerau de Arellano , E&gt;; Juan López Fraga , p. Manuel de Lard…</t>
  </si>
  <si>
    <t>…ide rables de víveres y de fprrages .para Holanda. , La primer columna del eg&lt;5rcito ruso pasó por Breslau el 20 del corrienrte. El general Sacken llegó á aquella ciudad el 15. El príncipe Antonio; de'Raaziwill va á establecerse en Posen en calidad de. goberq^dpr do da^Polo^iV prv^ianav Se asegura; que el i.° de Mayo es el día señalado para la toma de posesión de la Polonia rusa y prusiana ; y aña den que el Rey de Prusia se investirá del título de gra…</t>
  </si>
  <si>
    <t>…oncé pjeLeón, D. Jóséf de Roca, D. Francisco de la Rosa, D. Alonso Tiscar* P. Manuel Tosta, D. Francisco Alameda, D.. Tomas Gómez Qui janó, Don Joaquín Vial ,’D. Francisco Sirera, D. Antonio dé la Rosa y D. Juan Bermuy.' ^ Ascenso á alféreces de navio á los dé fragata D. Manuel Arechevala, Don Agustín Bocal a n, D. Matías Aldao, D, Diego Gadea, D. Antonio Mella, Don Josef Barros, D., Alonso Butrón, D.•Felipe Saavedra, D. justo Pasalagua; p. Vicen…</t>
  </si>
  <si>
    <t>…dado distinguido del regimiento i.° de Saboya, que desde la batalla de Tudela no se sa be positivamente de su suerte. La persona que supiese de ella tendrá la bondad de avisarlo á D. Antonio, su hermano, que vive Postigo de S. Martin, núm. 23. cuarto último. Al que supiese el paradero de D. Tomas Merino, y Zuazo,. natural de Vil!arta Quintana, provincia de Rioja, que se ausentó de esta corte y cálle de Hortalezat Aúna. 10, donde vivía en el mes d…</t>
  </si>
  <si>
    <t>…e la catedral de Sevilla, á D. Francisco Alaja, cura de la parroquial de Sta. Bárbara de Ecija: en la expresada iglesia colegiata de S. Hipólito una canongía,vacante por muerte de D. Antonio de la Iglesia, á D. Juan Rósete: otra canongía vacante por muerte de D. Joaquin Calero y Pedrajas á Don Manuel de la Fuente y Dávila. = Hn la catedral de Barcelona la dignidad de sacristán mayor, vacante por muerte de D. Esteban Pinos,á D. Félix Torres Amat,…</t>
  </si>
  <si>
    <t>…ór 100: á virtud de este convenio se han satisfecho de sus respectivos créditos lá mayor parte de los acreedores, faltando únicamente que pagar D. Antonio Perez, D. Pedro Delgado, D. Antonio1 Blascuaga, D. Vicente Domínguez , Denvórat hermanos, D. Antonio Bringas,D. Sebastian de Aldama, Di Domingo Nava, Don Manuel Gerónimo dé Bringas con los cinCo gremios mayores, Enrior y Corrier, Bretón, Landay Viguri, y D. Bartolomé Cornejo, á quienes por no h…</t>
  </si>
  <si>
    <t>…s, he venido, condescendiendo con la suplica que me ha hecho el cancelario y claustro pleno de mi universidad de¿Gervera, en nombrar protector de ella á mi augusto- Tío el Infante D. Antonio, prometiéndome ae su amor á mi Real Persona, y de su ardiente zeLo por la instrucción pública, que contribui rá á que esta prospere, y me propondrá cuanto crea conducente para que se realicen mis deseos en esta parte. Tendreislo entendido, y lo comunicareis á…</t>
  </si>
  <si>
    <t>Gaceta de Madrid n.º 106</t>
  </si>
  <si>
    <t>…o de Almirantazgo, y por tanto se tendrá, en él dosel y silla para cuando Yo quisiere asistir. 7. ® La prerogativa de la vice-presidencia la declaró en mi muy amado Tío el Infante D. Antonio, Almirante general. 8. ° El Director general de m-i'Real Armada, tenga ó no el carácter de Consejero de Estado, será por la naturaleza de su empleo Decano de este Consejo, y como tal le presidirá en ausencia del Almirante. Por falta tkl Decano presidirá el Of…</t>
  </si>
  <si>
    <t>…onducta, y tengan bue na forma de letra. Los memoriales serán entregados al secretario Apolinar Mingúe la, y la plaza se ha de proveer el 8.de Diciembre próximo. Se desea saber de D. Antonio de la Fuente, mercader de lienzos, que vivió en la callé de Postas frente aja callejuela de S. Cristóbal; de su muger Doña María Vicénta Jáúregüi, ¡y de su hijo D. León. Cualquiera de ellos ó sus legítimos here deros .se servirán alisar de su existencia y par…</t>
  </si>
  <si>
    <t>Donativo, suscripción o relación nominal</t>
  </si>
  <si>
    <t>Gaceta de Madrid n.º 148</t>
  </si>
  <si>
    <t>…con y Quesa á D. Francisco de Paula Villareal: para la de Enguerá á D. Manuel Alonso Hernández: para la de Castellón de Nules á D. Luis Castroverde: para la de Ayelo de Maiférit á D. Antonio !Lorca Herrera: para la de Mogente á D. Cristóbal Bercher: para la de Al tea á D. Miguel Sanz Aparicio, y á D. Antonio Taboada para la de Liria. El Rey nuestro Señor se ha servido admitir con aprecio el donativo que «1 ayuntamiento de la villa de Cartáya há h…</t>
  </si>
  <si>
    <t>Noticia política o diplomática</t>
  </si>
  <si>
    <t>…: patronos-el tixemo. Sr. conde,de forres y el P. prepó sito de S. Cayetano. _ Memoria de.Bandron: su fundador D. Diego Meñdez Bandron; quedó aneja ál mayorazgo que dejó á su hijo D. Antonio en 1 630: patronos los señores curas dé S¿ Gines y Santiago de Madrid. . . La conversación segunda sobre la utilidad política del clero y de sus rentas, que con Itf primera que ya está publicada, forma un tratado-político sobre este importan te objeto, aunque…</t>
  </si>
  <si>
    <t>Antonio, Carlos y O.</t>
  </si>
  <si>
    <t>Carlos y O. Antonio</t>
  </si>
  <si>
    <t>Gaceta de Madrid n.º 61</t>
  </si>
  <si>
    <t>534</t>
  </si>
  <si>
    <t>…y én la de Higuera, en las gradas de S. Felipe,' se hallará toda la obra i 50 rs; en rústica y 60 tu pasta can los preciosos retratos del Rey nuestro Señor , de los Sres. Infantes D. Carlos y O. Antonio, y del Excmo. Sr¿ D. Miguel de Lardizabaf. Esta historia, tan útil en estas circunstancias ,ha merecido singular aprecio de S. M. y AA., y de un crecido número de subscriptores por la idea tan completa que da de toda la revolución hasta U entrada del Sr. D. F…</t>
  </si>
  <si>
    <t>Antonio, Cristóbal</t>
  </si>
  <si>
    <t>Cristóbal Antonio</t>
  </si>
  <si>
    <t>…ano. =En Palacio á 31 de Agosto de 1815. = A D, Fe lipe González Vallejo. Copia de la Real orden comunicada for el Ministerio de Gracia.y Justicia al Secretario del Real Patronato D. Cristóbal Antonio de llar raza. Habiéndose prestado generosamente el clero Secular de España á socorrer las necesidades del Estado, haciendo efectivo el donativo de la novena parte de las rentas eclesiásticas, á que fue escitado por circular de 27 de Junio iiltkino, y esperand…</t>
  </si>
  <si>
    <t>Antonio, Francisco</t>
  </si>
  <si>
    <t>Francisco Antonio</t>
  </si>
  <si>
    <t>-' El Rby nueséro Señor- se ha dignado aceptar i D. Francisco Antonio ©iaú Ramirel,■abad párroco del lugar de Salas dé la Ribera, en el obispado de^ Astovga &gt; la^ndonaéion qué enr celebridad dé; su Feliz regreso al t roñó &amp;icel»l Real erario de tor? 1^624 ts&lt; y 2$ fnrs. vn. conqoeha contribuido para las trdpasóy ‘otras i|rjgenc…</t>
  </si>
  <si>
    <t>…Zamarrainala , en la misma diócesis : el beneficio servidero del lugar de Navares dp en medio * en el mismo obispado de Segovia, vacante por fallecimiento de Don Manuel Moreda, á D. Francisco Antonio de la Cárcel y Comas: otro bene ficio servidero de la parroquial de Santiago en la villa de Sepúlveda,que vacó por fallecimiento de D. Antonio Julián de Velasco y Manso, á D. Diego Velazquez. ==Una canongía de la iglesia colegial de S. Felipe de Játiva, que v…</t>
  </si>
  <si>
    <t>Antonio, Juan</t>
  </si>
  <si>
    <t>Juan Antonio</t>
  </si>
  <si>
    <t>…s, á 12 rs. en pasta. Catecismo de la doctrina cristiana por el P. Gerónimo de Ripalda, de la com pañía de Jesús, añadido con 130 preguntas con sus correspondientes respuestas por D. Juan Antonio de la Riva, canónigo de la santa iglesia de Cartagena: dedicado al Rey nuestro Señor D. Fernando vn, y reimpreso con superior permiso. Este catecismo no necesita mas recomendación que el haberse despachado mas de exemplares en varias impresiones que se han he…</t>
  </si>
  <si>
    <t>francisco Javier Pávía, D: Josef León y Tamariz, T&gt;. Bernardo Brandem^ ■ Lbruoke y D. Manuel Ezquerra. Grado de comisarios de guerra á los oficiales primeros D. Juan Antonio* González, D. Juan Francisco Fernandez, Di Josef Manuel de Casas, Don* Miguel Perez de la Quintana , D. Nicolás Hernández, D. Salvador de Otero, D. Francisco Fernandez NavarreteD. Juan Manuel Maurat y D. Benignode Rodenas. .. Grado de comisario de guerra al o…</t>
  </si>
  <si>
    <t>Gaceta de Madrid n.º 99</t>
  </si>
  <si>
    <t>$44 zadpres provinciales M. ha tenido á bien admitir este donttívo, mandándo -que se den Jas gracias en su Real nombre al espresado «'D. Juan Antonio. Ruar no, y se publique en la gaceta para su satisfacción este' rasgo de patriotismo. ------------------------- .—.—■—- 'i .. n~ ’ m~ii m ‘ ^ í Para dar una idea &lt;te Jos felices resultados del nso de las aguas ternió-ml«erales de la villadé. Archéna ha] parec…</t>
  </si>
  <si>
    <t>Antonio, Luis</t>
  </si>
  <si>
    <t>Luis Antonio</t>
  </si>
  <si>
    <t>…, ha tenido á bien S. M. conceder con la antigüedad de io de Julio de 1810 , en cuyo dia se verificó ia rendición de aquella Lza, los grados siguientes: de coronel de infantería á D. Luis Antonio de &gt;ueda , sargento mayor entonces del primer batallón de voluntarios deS Ciudad- Rodrigo: de teniente coronel á D. Rafael Miguel y D. Tomas Ro drigo, capitanes del regimiento provincial de Segovia, D. Benito Bocanegra, del de voluntarios de Avila, D. Fernand…</t>
  </si>
  <si>
    <t>Antonioá</t>
  </si>
  <si>
    <t>Gaceta de Madrid n.º 63</t>
  </si>
  <si>
    <t>…la de la ciudad de S. Felipe de Xátiva á D. Josef Muñoz de la Hinojosa : para la de la villa de Callera á D. Fermín Sánchez y Ferriz: Íaraabernasla dedela Valdignavilla de Alciraá D. Antonioá D. BlasMateo.Ar¿guete; y para la de la villa de Artículo de oficio comunicado por la primera secretaría de Estado. La experiencia continuada de los saludables efectos de varias aguas mi-* rerales con que la Providencia ha enriquecido nuestra península, ha excita do la curios…</t>
  </si>
  <si>
    <t>AntonioCarly</t>
  </si>
  <si>
    <t>…. Miguel Linares, D. Juan Larrua , D. .Tomas Montero ,'D. Antonio Enfy, D. Josef Aguilar, 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t>
  </si>
  <si>
    <t>AntonioiMangas</t>
  </si>
  <si>
    <t>…Juan Portaz, D. Antonio Molina , D. Bawolomé Pombo, D. F rancisco Ortega , D. Miguel Polidoro y D. Josef Trillo, D. Manuel* Diez tarabilla , D. Francisco Estrada, D, Manud Lebony D. AntonioiMangas ,;D. Alonso García, D. Manuel Ro-</t>
  </si>
  <si>
    <t>AntonioOrtiz</t>
  </si>
  <si>
    <t>…Capilla ¿ y al sargento primero con grado de subtéiiiérité D. ^icétfté BéjárJ éldesubteniénte á tós cadetes D. Josef Bejar y Dt Férnahdo Moya^p/yídél Rey, y los sargentos primeros D. AntonioOrtiz y D. Teaquin Sánchez; no incluyéndose al subteniente D. Rafael Reus por haber obtenido el retiro con él sueldo correspondiente á su empleo eri el egército.Ádemas es la voluntad de S. M. que para los destinos de plaza y empleos dé las compañíasiijas de Mélilla y demas presidios me…</t>
  </si>
  <si>
    <t>Añtuñano, Ramón</t>
  </si>
  <si>
    <t>Ramón Añtuñano</t>
  </si>
  <si>
    <t>…. Josef Nuñez Garrido; y para la plaza de Oidor de la chan ciliería de Valladolid que resulta vacante á D. Eladio Valdenebro. Para el corregimiento de Illescas ha nombrado S. M. á D. Ramón Añtuñano: para el de Atienza á D. Manuel Gordo Vidal: para el de Coronil á D. Pedro García Cembrero: para el de la Puebla de Alcocer á D. Francisco González Vilches: para el de Palencia á D. Manuel de Villapadierna: para el de Niebla á D. Pedro Tagle Velarde; para el…</t>
  </si>
  <si>
    <t>Aparici, Jpsef Manuel de</t>
  </si>
  <si>
    <t>Jpsef Manuel de Aparici</t>
  </si>
  <si>
    <t>…decreto del i.° del corriente dividir la, contaduría general de Indias en dos departamentos como lo estaba en el año de 1808; y en su consecuencia se ha servido S. M. resolver que D. Jpsef Manuel de Aparici, que era contador general, lo sea del de la América sep tentrional ; y ha nombrado para ejLde la meridional á D. Manuel de Albuerne, oficial mayor que fu.e¡de la secretaría del despacho de Hacienda de In dias : siendo su Real voluntad que ambos sean ministros…</t>
  </si>
  <si>
    <t>Aparicio, Diego Ramos</t>
  </si>
  <si>
    <t>Diego Ramos Aparicio</t>
  </si>
  <si>
    <t>…egregue de aquellos para dicho objeto:' para el -beneficio simple servidero qué se halla vacante en la parroquial de Malparada de Cáceres, obispado de Coria , por fallecimiento de D. Diego Ramos Aparicio, á D. Marcos Domínguez Ga- llego, cura párroco del lugar de los Casares: para otro beneficio simple, vacante por müerté-de D. Juan Mi lían en la parroquial de Sta. Eulalia de Viliacoba y jurisdicción dé la villa de bfóya &gt; en el arzobispado de Santiago» a D.ü…</t>
  </si>
  <si>
    <t>Aparicio, Josef García</t>
  </si>
  <si>
    <t>Josef García Aparicio</t>
  </si>
  <si>
    <t>…oróLtd.cs -^dasisargentos. mayores D. Francisco María Fernandez ,B. Garlos LanzaroteyDofli Miguel Sánchez Barriga, D. Antonio G o va otes, D. Antonio Saliquet,Don Joaquín Escamez, D. Josef García Aparicio, D. Domingo Orejón * D. Joa** quin Casasola, D. F rancisco Javier de Cia, D¿ Manuel de' la Cruz;, .Di Cárlos Viü&amp;padierna^ D- Bernabé Arjranz^ D* Juair derMetidie^í.1^. Aatóriioíde Castro y Tovar, D. Josef 01mo,D. Juan de Arcos ,D.Pedro Recaudo!,pon Miguel Ra…</t>
  </si>
  <si>
    <t>Aparicio, Miguel Sanz</t>
  </si>
  <si>
    <t>Miguel Sanz Aparicio</t>
  </si>
  <si>
    <t>…Vilella y Pastor: para la de Carlet a D. Francisco Ortiz de Cantonat: para la de Gorga y su Valle de Ceta á D. Gregorio Moran y Cavanes: para la de Xerica á D. Josef Cabezas; y á D. Miguel Sanz Aparicio para la de Villalonga, partido de Deriia. , Donativos hechos d S. M. D. Felipe Sánchez y Roiríeu ha ofrecido los préstamos que hizo al egér cito en los sitios de Zaragoza, entre los que hay uno de 15® rs. El ayunta miento y prohombres de la villa de Cervera 4…</t>
  </si>
  <si>
    <t>…ndez: para la de Castellón de Nules á D. Luis Castroverde: para la de Ayelo de Maiférit á D. Antonio !Lorca Herrera: para la de Mogente á D. Cristóbal Bercher: para la de Al tea á D. Miguel Sanz Aparicio, y á D. Antonio Taboada para la de Liria. El Rey nuestro Señor se ha servido admitir con aprecio el donativo que «1 ayuntamiento de la villa de Cartáya há hecho de la cantidad de 844^11 rs. de que le es deudor el Crédito público por los suministros con que ha…</t>
  </si>
  <si>
    <t>Apellan, Antonio</t>
  </si>
  <si>
    <t>Antonio Apellan</t>
  </si>
  <si>
    <t>…on Juan Yarza Marín: para e! de Illéscas á D. Isidro Preciado: para el de Bae-. xa á D. Vicente Ximenez Granados: para él de Orense á D. Vicente Pedio Rebollo: para el de Bilbao z D. Antonio Apellan!?, oidor de la, chan-, ciMéría dé Váíladolid: para el dé Guipúzcoa á D. Ramón Macla de Lieoart: para el de Paradas á D. Francisco Antonio Rodríguez: para el de Alacete á D. Jo .quin de la Escalera Benedicto: para el ae Toledo á D. MaE nuel Ortiz de^Pinedo:par…</t>
  </si>
  <si>
    <t>Apero, Josef Fernandez de</t>
  </si>
  <si>
    <t>Josef Fernandez de Apero</t>
  </si>
  <si>
    <t>…, D^ Bartolomé Amat, Don Mariano Albo, J). Salvador Mamullares , D. Antonio Lasauca, D. Pablo ipacdgalupi , D. Domingo Ranee! y D. Manuel Toro: grados de capitanes á los tenientes D. Josef Fernandez de Apero, D. Vicente Herrera y D. Lufs Garcíay. grados de tenientes; á los subtenientes D. Pedro* Pirez &gt; D.-Manuel Angusaao y D/ Francisco Luqub (- ** (Se continuara.) &gt; ■■ s t. i ■' i. O '*■ ■ *V i i * •- &gt;• r’*■ •. - 1 : k ; -* El Rey nuestro Señor ha’tenido, á bie…</t>
  </si>
  <si>
    <t>AptOf, Juan</t>
  </si>
  <si>
    <t>Juan AptOf</t>
  </si>
  <si>
    <t>Gaceta de Madrid n.º 141</t>
  </si>
  <si>
    <t>…l de esta villa, reconocida per éi, y aprobada por el Sr. D. Diego-Gü Fernandez, del consejo de S. M.ry enton ces alcalde de su Real; casa y corte, ante el escribano- de provincia D. Juan AptOf nro Díaz Noriega, con el fin.,de acreditar su legitimidad , quedando todo compror bado y sellado; pero no pudo efectuarse la remisión dé aquel documento por haber sobrevenido los pasados acontecimientos: después de los cuales, X instancia deles mismos testame…</t>
  </si>
  <si>
    <t>AquaVera, Simón</t>
  </si>
  <si>
    <t>Simón AquaVera</t>
  </si>
  <si>
    <t>…via,D.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t>
  </si>
  <si>
    <t>Ar, Antonio</t>
  </si>
  <si>
    <t>Antonio Ar</t>
  </si>
  <si>
    <t>…ncisco Jouy D- Juan Alaminos#, D* Pedro Gar cía ,JX Juan" Sánchez Illescas-, D. Antonio González.* 0.' ManueL de las Ríos, D. Juan López , 0. Luis Rodríguez , 0« Manuel Ravanera., D. Antonio Ar de rius, D. Juan Molina, D. Manuel Pedtet: de tenientes á los. subtenientes D. Luis Carrillo, D. Matías Blasco, 0. Francisco Villalobos *D. Josef Gar cía Malo, D. Sipnon ie Cárlos, 0, RafaelCisneros., 0. Joaquín Antíllon, D. Josef Oimedllía , 0. Luis.Cortey,…</t>
  </si>
  <si>
    <t>Arago, Gregorio</t>
  </si>
  <si>
    <t>Gregorio Arago</t>
  </si>
  <si>
    <t>…f Angel FoncUlas» á D. Mariano Rodrigo Vatlabriga, dignidad secutar de limosnero de la misma iglesia: para los beneficios de Gumiel de Izan y Vill^escusa, vacantes por renuncía de D. Gregorio Arago nés «ambos en él obispado de Osma » á D. Josef Domínguez Hernández: para otro beneficio limpie servidero de santa Bárbara de Ecija &gt; en el artó¿&gt; bispado de Sevilla»vacante por haber contraído matrimonio D. Manuél Ma ría SaavedraV que lo obtenía» I D, Mateo L…</t>
  </si>
  <si>
    <t>Aragón, Benito</t>
  </si>
  <si>
    <t>Benito Aragón</t>
  </si>
  <si>
    <t>…iglesia primada dé Toledo, que se halla vacante por muerte de D. Manuel Mendivil, á Don Cirilo Simón Carrillo: para otra ración de la misma iglesia, vacante por fa llecimiento de,D. Benito Aragón, á D. Manuel Vicente Vacas, con dimi sión de la capellanía de coro que obtiene en la propia iglesia: para otra ra ción de'la iglesia catedral de Piasencía, vacante por muerte de D. Manuel de la Vega, á D. Manuel Elvira: para otra ración de la de Segovia, que…</t>
  </si>
  <si>
    <t>Aragón, Josef Vivas de</t>
  </si>
  <si>
    <t>Josef Vivas de Aragón</t>
  </si>
  <si>
    <t>…Real convento de la Encarna ción, conservándole los honores y prerogativas de esta plaza. = La canongía vacante en la catedral de Orihuela por fallecimiento de D. Josef Pujante á D. Josef Vivas de Aragón , canónigo de la catedral de Astorgá. =La canon gía de la catedral de Astorga, que resulta vacante por promoción de D. Jo sef Vivas de Aragón á otra de la de Orihuela, á O. Manuel Carro, diácono, subteniente del regimiento infantería de Guadalajara. = La cano…</t>
  </si>
  <si>
    <t>Aragón, Juan Vivas de</t>
  </si>
  <si>
    <t>Juan Vivas de Aragón</t>
  </si>
  <si>
    <t>…a de la misma.clase de Aragón, y al&gt; cuarto para la intendencia del egército de Reserva. Igualmente se há servido conferir é! Rey nuestro Señor la tesorería de egército de Ceuta á D. Juan Vivas de Aragón en premio de sus dilatados servicios. El Rey nuestro Señor, en vista de lo informado por el intendente de Toro sobre los motivos que fueron causa de la muerte violenta dada en aque lla ciudadien 9 de Enero, de 1809 al intendente D. Vicente .Ma rentes, se ha s…</t>
  </si>
  <si>
    <t>Arahgo, Francisco</t>
  </si>
  <si>
    <t>Francisco Arahgo</t>
  </si>
  <si>
    <t>…Rodrigo: al grado de Capitán á los Tenientes D. Pablo Baza, del Real Cuerpo de Artillería, 0. Tomas Yarto, D. Santiago Otero, D. Andrés Floren, D. Juan Albelda, 0'. Manuel Michel, D. Francisco Arahgo, y D. Estéban López, del Regi miento de Mallorca; á D. Félix Llano, D. Gregorio Martin, D. Gabriel Olgado, D. Josef Mela, D. Felipe San Alberto, D. Pedro García de Várgas ,y D. Agustín Reviila, del de Voluntarios de Avila; á D. Pedro Doz, D. Ignacio Fuerte ,…</t>
  </si>
  <si>
    <t>Arahuetes, Blas</t>
  </si>
  <si>
    <t>Blas Arahuetes</t>
  </si>
  <si>
    <t>…iencia de Estremadura á D. Josef Rodríguez Biedma: para la de Alcalde del crimen de la misma audiencia á D. Juan Modesto de la Mota: para otra de Alcalde de la Cuadra de Sevilla á D. Blas Arahuetes: para Oidor de la chanciliería de Valladolid á D. Josef Martínez Areta, Al calde del crimen mas antiguo de ella, y para esta resulta á D. Fernando Pinuaga: ha concedido los honores de ministro de la chanciliería de Granada á D. Josef Fernandez Quevedo, y los…</t>
  </si>
  <si>
    <t>Arahuetes, Francisco</t>
  </si>
  <si>
    <t>Francisco Arahuetes</t>
  </si>
  <si>
    <t>…io Montesinos, D. Lorenzo García, D. Miguel1 Blanco* D. Francisco Sancha, D.-AntonioEstevezyD; Ildefonso Mansilla, D. Gre-f gOrio Pieoir, D. Cristóbal Bermejo ,D. Francisco López, D. Francisco Arahuetes i D. Joaquín Escorriguela, D. Francisco Biatela y D. Nicolás Viguri (*.). 1 Asimismo se lia servido S. M. conceder en el ministerio de Cuenta y Ra zón de-dicho, cuerpo los hoi^qr^ de'int^ndéínte de. provincia al comisario orde nador P, Andrés Gallegos : los n…</t>
  </si>
  <si>
    <t>Aramburu, Manuel</t>
  </si>
  <si>
    <t>Manuel Aramburu</t>
  </si>
  <si>
    <t>…eos^ «Dv VénturaiRiesco ,D. Josef Muñoz § D. Luis Gorrichátegui,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t>
  </si>
  <si>
    <t>Arana, Juan Francisco de</t>
  </si>
  <si>
    <t>Juan Francisco de Arana</t>
  </si>
  <si>
    <t>…ara dos ayu^&gt; dantías en el regimiento de caballería de Truxsilo á los tenientes D. Martín Josef Ostolaza y D. Josef Cíemente Merino; para otra en el de infantería de Caxámarca ai teniente D. Juan Francisco de Arana i para tres tenencias en el propio regimiento á los subtenientes D. Josef Isidro Bonifaz, D. Fernán* do Loredo y D. Pedro Ürteaga: para una subtenéncia en el mismo cuerpo ai cadete D. Narciso de Boniiaz y Castañeda : para dos subtenencias de ban dera en el ex…</t>
  </si>
  <si>
    <t>Aranceta, Vicente</t>
  </si>
  <si>
    <t>Vicente Aranceta</t>
  </si>
  <si>
    <t>1154</t>
  </si>
  <si>
    <t>1154 . pacto de Calahorra# se halla vacante por renuncia que á motivo de sus achaques ha hecho D. Vicente Aranceta. Los que quieran hacer oposición dirigirán sus memoria les al ayuntamiento de dicha villa por medio de su escribano D. Antonio de Gárate en todo el presente mes, pues que para el i o de Noviembre de este año debe pro veerse la plaza, cuya dotación consiste en…</t>
  </si>
  <si>
    <t>Áranda, Mánüel</t>
  </si>
  <si>
    <t>Mánüel Áranda</t>
  </si>
  <si>
    <t>…o , D. Ra^ mon Oleína, D. Fernando Belarde,;D. Miguel Almagro, D. Manuel Ovan do , Ds. Bartolomé González , D. Antonio María; Mvuñoz , , Dr Miguel María Muñoz V D. Josef Sancliez, D. Mánüel Áranda ^A?tóiiiqfCpuxYlU^»inl^l</t>
  </si>
  <si>
    <t>Arangu, Manuel</t>
  </si>
  <si>
    <t>Manuel Arangu</t>
  </si>
  <si>
    <t>…Rey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 Oña, D.. Francisco Antdhio Líbref ; D. Joaquín MuezVD. Juan Ignacio*Cervera, D. Salvador Ce bollino, D. Ventura Córdoba, D.Í Patricio 5alanueva…</t>
  </si>
  <si>
    <t>Arangúren, Francisco de</t>
  </si>
  <si>
    <t>Francisco de Arangúren</t>
  </si>
  <si>
    <t>Gaceta de Madrid n.º 136</t>
  </si>
  <si>
    <t>…corte, refrendada del escribano de provincia y comisiones D. Ma* puel López de' Rtvás, y i instancia del curador ad bona de la menor Doña Francia* ca, Sales de Aranguren, hija del coronel D. Francisco de Arangúren, ya difunto, ?°r quien se halla:reclamado como de su pertenencia un vale Real de goo pesos, creación de Mayo, señalado con el número 443014, se cita, llama y emplaza á to dos los sugetos comprendidos en los endosos del mismo vale, que son: D. Juan Jo* aef/Mor…</t>
  </si>
  <si>
    <t>Aranguren, Mariano</t>
  </si>
  <si>
    <t>Mariano Aranguren</t>
  </si>
  <si>
    <t>…e Braulio Roa, natural de la villa de Almoguera, provincia de Madrid, que hace 15 años sentó plazade, soldado, y se ignora si es muerto ó vivo, se servirá avisarlo,encesta,corte á D. Mariano Aranguren, calle de los Remedios, núm 22, cuarto z.fVírente4 la Jglésiá,d¿ laMerced calzada. ív;.,./r "* " '"V. Se admiten’subscripciónes al diario marítimo de lá vigía de Cádiz: este diario contiene todos los barcos que entran y salen, de donde vienen y adonde van los…</t>
  </si>
  <si>
    <t>Aransay, Andrés</t>
  </si>
  <si>
    <t>Andrés Aransay</t>
  </si>
  <si>
    <t>…e mes de JulioV plaza de ministro supernumerario de capa y espada con antigüedad en él consejo supremo de las Indias. En atención á los distinguidos méritos y constante lealtad de D. Andrés Aransay, capellán de honor y doctoral de la Reai capilla, se ha servido S. M. concederle los honores de auditor del tribunal de la Rota de lai Nun ciatura apostólica. El Rey nuestro Señor, á consulta de i a junta del Crédito publico, ha te nido á bien resolver por su…</t>
  </si>
  <si>
    <t>Aransay, Andrés de</t>
  </si>
  <si>
    <t>Andrés de Aransay</t>
  </si>
  <si>
    <t>…sean anejos por el tiempo de 10 años, aunque bajo la obligación de dar cuenta y tener á la disposición del Colector de los fondos de la Redención, el Cape llán, de honor de S. M. D. Andrés de Aransay, por años, ó corno mejor á este le parezca , todas las sumas que recauden, y con exclusión de pedir fue ra de los Pueblos en que haya conventos de las mismas Ordenes, por los in convenientes que trae él que los Religiosos vivan fuera del claustro; debien do s…</t>
  </si>
  <si>
    <t>Ararisay, Andrés</t>
  </si>
  <si>
    <t>Andrés Ararisay</t>
  </si>
  <si>
    <t>…ilar: para la de Cervera del Rio Alhama á D. Miguel Antonio Rodrigo; y para la de Bórnos á D. Josef Martínez Lorenzo. En atención á los distinguidos méritos y constante lealtad de D. Andrés Ararisay, cáptllan de honor y doctoral de la Real capilla, se ha servida S. M. concedértelos honores de auditor del tribunal de la Rota de la Nun ciatura apostólica. El reverendo obispa de Mondpñedo, deseando estimular el celo de los, acreedores del estado á contribui…</t>
  </si>
  <si>
    <t>Araujo, Josef</t>
  </si>
  <si>
    <t>Josef Araujo</t>
  </si>
  <si>
    <t>…tra, D. Josef Quintero, D. Josef Garcés, D. Antonio Ferri, D. Manuel Moreno, D&gt; Josef Funes, D. Ignacio Iturrigaray, D. Fran cisco Martos,: D. Francisco G^rces, ,D. Gonzalo Lobo , D. Josef Araujo, p. Josef Rovirat, D. Antonio Sierra , D, Josef María Lauquer, D. Josef Dá^ viía, ,D&lt;Antonio Alvare^, D, Joaquín Asensio, D. Benito Ibañez, D. Anto nio Casbas j D. Francisco Botella, D. Josef Rasero , D. Josef Joaquín de Corres, D. Manuel González la Madrid ,…</t>
  </si>
  <si>
    <t>Arberg</t>
  </si>
  <si>
    <t>…aaJgun facultativo ó algún curioso para depositarlo en algún gabinete. v. Calais 22 de Diciembre. , . ,'•» i«El general Inglis, el coronel Gordon, el capitán Hermann, ayudante del general Arberg, y Mr. Baxson, consejero del "rey de Suecia, llegaron aquí ayer viniendo,de Londres; y marcharon inmediatamente á sus destinos. Los bergantines ingleses Aurora y Goulston, que salieron de esté püer-i toelr»i6 deteste mes,han perecido en la costa de Inglaterra…</t>
  </si>
  <si>
    <t>Arbizu, Féliy</t>
  </si>
  <si>
    <t>Féliy Arbizu</t>
  </si>
  <si>
    <t>…ermin: grados de te nientes coroneles á Jos. sargentos mayores de.byigada D. Domingo de la igle sia , .1).J. Ánfohip'jí]¿árróÍác?'.pC' 'Án&amp;r ,é$ Rodríguez , D. Tomas Spl&lt;Sevilla y Don Féliy Arbizu; y .á los yapítanes prlmeros iS. josef Giraldo,D. Juan Carmqna, p. Josef Montes y Flores,;!). Pedro Bringas, D^ Bartolomé Amat, Don Mariano Albo, J). Salvador Mamullares , D. Antonio Lasauca, D. Pablo ipacdgalupi , D. Domingo Ranee! y D. Manuel Toro: grados d…</t>
  </si>
  <si>
    <t>Arbizu, Josef Francisco de</t>
  </si>
  <si>
    <t>Josef Francisco de Arbizu</t>
  </si>
  <si>
    <t>El Rey se ha servido nombrar para ona canongía de la iglesia metropo litana de Burgos , que se halla vacante por fallecimiento de D. Ignacio Alón'» so Bugedo,á D. Josef Francisco de Arbizu, cotí retención de la capellanía de altar que obtiene en la Real capilla , y quedando sin efecto la pensión de 4© rs. que S. M. se sirvió concederle sobre las mitras de la penínsulas para otra canongía de la misma iglesia, que vacó por muerte de D. Fran cisco…</t>
  </si>
  <si>
    <t>Arcas, Juan Antonio Rama y</t>
  </si>
  <si>
    <t>Juan Antonio Rama y Arcas</t>
  </si>
  <si>
    <t>…hín, á D. Jaari Florencio de Guzman, y en la vara de Santander i D. Julián Bringas: ha prorogado en el dé- Betanvos á D. Manuel Bernardino Perez: en el de Carrion* de los Condes á Don Juan Antonio Rama y Arcas: en el de Bujalance' á O. Salvador Seirrano; y en la vára de alcalde mayor de Vera y Moxacar á D. Josef María Mu ñoz de Guzman. i. i * Habiéndose dignado' el Rey nuestro Señor admitir deD. Csistóbal Jinra ido dé Vargas, vecino y regidor perpetúo de Übeda, la…</t>
  </si>
  <si>
    <t>Arce, Domingo de</t>
  </si>
  <si>
    <t>Domingo de Arce</t>
  </si>
  <si>
    <t>trio, titulada dé la Inmaculada Concepción, y representada por sos individuos los Sres. D. Ray mundo Ettenhard y Salinas, del Consejo supremo de ja Inqui sición ; el Dr. D. Domingo de Arce, del gremio y claustro de la universidad de Alcalá, del Consejo de S. M., y su ministro jubilado de la chancillería de Granada; el Dr. D. Francisco Díaz Vardera, agente fiscal del Supremo Consejo de Hacienda, del gremio y claustro de |a misma universidad; el…</t>
  </si>
  <si>
    <t>Arce, Teodoro</t>
  </si>
  <si>
    <t>Teodoro Arce</t>
  </si>
  <si>
    <t>…. Josef Valcárcel, D. Ber nardo Amado, D. Manuel Martínez y D. Francisco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Francisco Sillero, D. Juan Sánchez, D. Alexandro Saez, D. Estéban Rubio y D. Gabriel Y…</t>
  </si>
  <si>
    <t>Arcos, Jorge María de</t>
  </si>
  <si>
    <t>Jorge María de Arcos</t>
  </si>
  <si>
    <t>…odrego y Morales la mitad de su sueldo de secretario del ayuntamiento de la ciudad de Valencia/ D. Josef Sala zar 200 rs. D. Manuel Merino de Castro 13446 rs. en réditos de vales. D. Jorge María de Arcos 6416 rs. de sueldos vencidos. La villa de Torrecillas 190295 rs. suministrados á las tropas. D. Fernando Monto) a y Solio , mayordomo de semana de S. M., y brigadier de los Reales egércitos, todos los alcances que resulten en su favor por sueldos devengados.…</t>
  </si>
  <si>
    <t>Arcos, Juan de</t>
  </si>
  <si>
    <t>Juan de Arcos</t>
  </si>
  <si>
    <t>…uin Casasola, D. F rancisco Javier de Cia, D¿ Manuel de' la Cruz;, .Di Cárlos Viü&amp;padierna^ D- Bernabé Arjranz^ D* Juair derMetidie^í.1^. Aatóriioíde Castro y Tovar, D. Josef 01mo,D. Juan de Arcos ,D.Pedro Recaudo!,pon Miguel Rabe, D. Antonio Josef Royo , D. Domingo Cheli y D. Cenon Gar cía: á los capitanes marques dé A-yerve , D. Josef Rubio ¡ B. Aníbal Chela, D. Antonio Melgarejo, D. Miguel María Campero, D. Baltasar Belmohte, D. Manuel Mendoza, D. M…</t>
  </si>
  <si>
    <t>Aré, Francisco</t>
  </si>
  <si>
    <t>Francisco Aré</t>
  </si>
  <si>
    <t>…é tengan notíéia de ellos se sirvan de tenerlos, y'avisar en*Valencia 4 los-mencionadas D. Jayme Manent, Vidal y com pañía; en.Cádiz á:D; José Sopeña; en Barcelona á los referidos D. Francisco Aré hijos,ly en Madrid á los Sres* Rull y Coll, calle de la Concepción Gerónimi, nútn. 31 , quarto baxo , casa de Montesacro. » Diccionario geográfico universal, que comprehencJe las quatro partes del mun do , y dé las naciones, imperios» reynos, repúblicas y otr…</t>
  </si>
  <si>
    <t>Arechaga, Estanislao</t>
  </si>
  <si>
    <t>Estanislao Arechaga</t>
  </si>
  <si>
    <t>…l las ar mas, pertrechos y útiles de guerra que constan del adjunto ibventario. * ,, Nuestra pérdida consiste en siete muertos á bala, incluso el subteniente del primer regimiento D. Estanislao Arechaga, seis ahogados en el rio:,y siete heridos; á saber, en el primer regimiento el cábo 1.® Asensio Alegría, ©tro ídem Manuel Florez, soldados Manuel Rodríguez y Pablo Várgas. En el batallón denominado del General el subteniente D. Mariano Miranda; sar gento r.°…</t>
  </si>
  <si>
    <t>Arechavaleta, Joaquín Ruiz de</t>
  </si>
  <si>
    <t>Joaquín Ruiz de Arechavaleta</t>
  </si>
  <si>
    <t>…isco Moreno: pa ra el de Ciudad-Real á D. Fermín Diez: pará el de Benavides de Ortigo á D. Anselmo Diez Canseco: para el de Chinchón á D. Tadeo Capablanca. Jfara la vara de León á D. Joaquín Ruiz de Arechavaleta: para la del Arahal á D. Josef Miguel Monge: para la de Ayamonte á D. Juan Nepomuceno</t>
  </si>
  <si>
    <t>Arechavateta, Joaquín Ruiz de</t>
  </si>
  <si>
    <t>Joaquín Ruiz de Arechavateta</t>
  </si>
  <si>
    <t>…e Alba, se ha dignado nombrar á D. Cándido García Rétamero para servir la vara de alcalde mayor de la villa del Barco de Avila en el estado de Piedrahita^ vacante por promoción de D. Joaquín Ruiz de Arechavateta áreprregiróiéntq'deflá óiudad de León.' Se avisa af ptíblico que por Real privilegio el ayuntamiento de la villa de Arroyo del Puerco, en la provincia de Extremadura, celebra feria en ios dias 25 , 26 y 27 y 28 de Setiembre de cada año. Se halla corrtentéíá f…</t>
  </si>
  <si>
    <t>Arechevala, Manuel</t>
  </si>
  <si>
    <t>Manuel Arechevala</t>
  </si>
  <si>
    <t>…a, D. Francisco Alameda, D.. Tomas Gómez Qui janó, Don Joaquín Vial ,’D. Francisco Sirera, D. Antonio dé la Rosa y D. Juan Bermuy.' ^ Ascenso á alféreces de navio á los dé fragata D. Manuel Arechevala, Don Agustín Bocal a n, D. Matías Aldao, D, Diego Gadea, D. Antonio Mella, Don Josef Barros, D., Alonso Butrón, D.•Felipe Saavedra, D. justo Pasalagua; p. Vicente de Mesa,D. Fulgencio Anríen, D. Josef Carreño, D Manuel. Ümendia, D. Julio Ponce de León, D. Jos…</t>
  </si>
  <si>
    <t>Arellano, Joaquín Gonzalo Ramírez de</t>
  </si>
  <si>
    <t>Joaquín Gonzalo Ramírez de Arellano</t>
  </si>
  <si>
    <t>…villa de Hornachos 2 D. Manuel Manso y Tejada: para la de Segura de la Sierra, vacante por promoctQn de D. Diego Crespo de León á la de las nuevas poblaciones de Sierra Morena, á D. Joaquín Gonzalo Ramírez de Arellano: para la de fa ciudad de Alcañiz á D. Fabian Dórente; y para la de los Santos, vacante pór renuncia de D. Josef Antonio Martin Palomino, á D. Francisco Javier Ló pez Duque* El juez de Imprentas y Librerías del reino hace saber á todos los librejos , impresore…</t>
  </si>
  <si>
    <t>Arellano, Josef Andrés de</t>
  </si>
  <si>
    <t>Josef Andrés de Arellano</t>
  </si>
  <si>
    <t>…S. Cebrian de Castrotorafe á D. Antonio Entrecanales: de Cieza á D. Felipe Antón: dé la Granja de Torrehermosa á D. Gerónimo Torrecilla de Tejada: de Villanueva de los Infantes á D. Josef Andrés de Arellano: de la Solana á Don Francisco María Osorio y Becerra: de los Santos á D. Vicente García Díaz: del Toboso á D. Francisco Juan y Cantabella: de San Mateo á Don Pedro Huerta Morales: de Almonacid de Zorita á D. Antonio Fernando Briz: de Daymiel al honorario de l…</t>
  </si>
  <si>
    <t>Arellano, Josef Gerau de</t>
  </si>
  <si>
    <t>Josef Gerau de Arellano</t>
  </si>
  <si>
    <t>…, D. Juan Zarate, D. Josef Irunciaga, D. Josef Perez Quintero, D. Joaquín Martínez de Medinilla, D. Rafael Vicente Bourman,’ D. Ignacio Josef de Combo, D. Joaquín García' Mellado, D. Josef Gerau de Arellano , E&gt;; Juan López Fraga , p. Manuel de Lardizabal y Montoya , Ba rón de Castieí, D. Santiago Usoz y Mozzi, D. Blas Manuel de Loya, Don osef Vicente de Barrenechea, D. Simón de León Santos, D. Josef Escarano, Í). Francisco Hurtado de Mendoza , D. Pablo Ibañez ,…</t>
  </si>
  <si>
    <t>Arellano, Ramón de Pineda y</t>
  </si>
  <si>
    <t>Ramón de Pineda y Arellano</t>
  </si>
  <si>
    <t>…Manuel Benito Garda * cura párroco castrense y del.hospital, militar de Medina Je Riosecó: para ana. media raciqa de la iglesia catedral de Cdrdo -* ba , vacante por promoción de D. Ramón de Pineda y Arellano á una canongía de la de Piasencia, á D. &lt; Fermín del Rio , cura de Ventosa de la Sierra': para una canongía de la iglesia colegiaL de Junquera deAmbia, dió cesis de Orense , que.resaltará v.icante.por promocíon de D. Josef Moure al arcedianato de Limia dignid…</t>
  </si>
  <si>
    <t>Arellano, Vicente Rodríguez de</t>
  </si>
  <si>
    <t>Vicente Rodríguez de Arellano</t>
  </si>
  <si>
    <t>…de los absorbentespor Mr. Aland: traducida y adicionada por D.Bartolomé Colomar: un tomo en 4. £2 Las tardes"de la Granja* ó lecciones del padre: traducción libre del francés por D. Vicente Rodríguez de Arellano, segunda adición: ó tomos en 8.a Se hallarán eñ laflibrería,de Martinf calle de la Cruz^iy en su almacén , calle ancha de Majaderitos, núms, Ó y;y.. y u. • ■&gt;! / ” ".... v ^ Carrtas del- célebre jesuíta D. Juanfrancisco Masdeunatural de Barcelona, i un. repub…</t>
  </si>
  <si>
    <t>…na, calle de Predicadores, 3 33 rs. en pergamino y 38 en pasta , con un rea’l de sobreprecio en Zaragoza por razón del porte. Tardes de la Granja: traducción libre del francés por D. Vicente Rodríguez de Arellano: 8 tomos en 3.° con 32 láminas, y al pie de cada}una un epigrama moral alusivo al asunto que representa. E11 esta obra, cuyo primer objeto es la me jor educación de los hijos y jóvenes, se supbne un padre virtuoso y sabio', qué por jjnedio de historias y agra…</t>
  </si>
  <si>
    <t>Arenas, Venancio Fernandez</t>
  </si>
  <si>
    <t>Venancio Fernandez Arenas</t>
  </si>
  <si>
    <t>…udad de Mctrjl á D. Josef Villanuéva: para la de Almunecar y Salobreña á D. Vicente Sanahuja: para lá de la villa de Huerca!-Obera á D, Luis Quadrado; v para la de Palma del Rio á D. Venancio Fernandez Arenas: para la vara de alcaldé mayor de la ciu dad del Puerto de Santa María á D. Vicente Girón Villa man dos: para la dé alcalde may or teniente segundo de asistetjte'de lá ciudad de Sevilla i</t>
  </si>
  <si>
    <t>Árespacochaga, Nicólas Jorge de</t>
  </si>
  <si>
    <t>Nicólas Jorge de Árespacochaga</t>
  </si>
  <si>
    <t>…re novación, situada en la calle del Duque de Alba , casa del - establecimiento del Crédito públibó, y en fes provincias á los comisionadosisiguie^tes,; ’■* En Sevilla.'......... D. Nicólas Jorge de Árespacochaga. ■ J 1 'i En Córdoba,..!..... t&gt;. Rafáel de Mentís. ' *'/ En Granada,...... D« Francisco dé Unzáea. / ' /' m-é J En Badajoz...... . D. Carlos Sebastian Malagamba. En Plaséncia...... D. Juan Campo y Oliva* En Valencia........ D. Ramón Miralles. En Avila.d...:.…</t>
  </si>
  <si>
    <t>Arespacochaga, Nicolás Jorge de</t>
  </si>
  <si>
    <t>Nicolás Jorge de Arespacochaga</t>
  </si>
  <si>
    <t>…ina de re novación , situada en la calle del Duque de Alba, casa del establecimiento del Crédito público, y en las provincias á los comisionados siguientes: Mn Sevilla............ D. Nicolás Jorge de Arespacochaga. JEn Córdoba......... D. Rafael de Mentís. Mn Granada..... .. D. Francisco de Unzaca. JEn Badajoz.,»......D. Garlos Sebastian Malagamba» JEn Pldsencia.......D. Juan Campo y Oliva. Mn Valencia..... . D. Ramón Miralies. Mn Avila............. D. Manuel Palomares…</t>
  </si>
  <si>
    <t>Arespacochagíi, Nicolás Jorge de</t>
  </si>
  <si>
    <t>Nicolás Jorge de Arespacochagíi</t>
  </si>
  <si>
    <t>…a^ de re novación-, situada en la calle del Duque de Alba , casa del establecimiento del Crédito público, y en las provincias á los comisionados siguientes: En Sevilla............ D. Nicolás Jorge de Arespacochagíi. En Córdoba...... D. Rafael de Mentís. . En Granada....... D, Francisco de Unzaga. En Badajoz........ D. Cáelos Sebastian Malagamba. En Pía senda...... D. Juan Campo y Ojiva. En Valencia.. D. Ramón Miiralles.</t>
  </si>
  <si>
    <t>Areta, Josef Martínez</t>
  </si>
  <si>
    <t>Josef Martínez Areta</t>
  </si>
  <si>
    <t>…alde del crimen de la misma audiencia á D. Juan Modesto de la Mota: para otra de Alcalde de la Cuadra de Sevilla á D. Blas Arahuetes: para Oidor de la chanciliería de Valladolid á D. Josef Martínez Areta, Al calde del crimen mas antiguo de ella, y para esta resulta á D. Fernando Pinuaga: ha concedido los honores de ministro de la chanciliería de Granada á D. Josef Fernandez Quevedo, y los de Alcaide de la Cuadra de la audien cia de Sevilla á D. Antonio García…</t>
  </si>
  <si>
    <t>AreUano, Vicente Rodríguez de</t>
  </si>
  <si>
    <t>Vicente Rodríguez de AreUano</t>
  </si>
  <si>
    <t>…áderitos, núm. ó y 7, 7 en la librería de Hurtado, calle de las Carretas, á 62 rs. en pasta. El Decameron español, ó colección de varios hechos históricos raros y diverti dos, poí D. Vicente Rodríguez de AreUano. Reúne esta obra lo útil y lo agrada ble, y dando razón individual de varios sucesos que las historias generales no hacen mas que apuntar, presenta otros que por modernos son todavía desconocidos, unos originales y otros sacados de diferentes obras poco comun…</t>
  </si>
  <si>
    <t>Argaiz, Basilio María</t>
  </si>
  <si>
    <t>Basilio María Argaiz</t>
  </si>
  <si>
    <t>…resivo de su augusto poderío, pidió, se le concedió, y pasó á derri bar la lápida constitucional que estaba colocada en la fachada de las cacas consistoriales del ayuntamiento. El alcalde D. Basilio María Argaiz, y eí actual subdecano de este cuerpo D. Manuel Pacheco fueron las primeras manos que se emplearon en la proyección de ese orgulloso geroglífico , que se grangeó el odio público desde que este se enteró de la felonía de los que se llamaban representantes de l…</t>
  </si>
  <si>
    <t>Arguello, Félix Antonio Ximcnez</t>
  </si>
  <si>
    <t>Félix Antonio Ximcnez Arguello</t>
  </si>
  <si>
    <t>Gaceta de Madrid n.º 11</t>
  </si>
  <si>
    <t>…s de la ciudad que quieran^asistirse con él Los pretendien tes acudirán con sus memoriales en el término de un mes, que concluirá en 20 do Febrero inmediato, dirigiéndoles al Lie. D. Félix Antonio Ximcnez Arguello, secretario del referido cabildo. \ &lt; ' D. Antonio de Ijliaza salió de esta corte k los 18 años de edad en principios .clel dé 1809 con destino al exército de Extremadura al cargo del marques de la Rpniana,, y se halló, según noticias, en la batalla de Talave…</t>
  </si>
  <si>
    <t>Arguitiosa, Remigio</t>
  </si>
  <si>
    <t>Remigio Arguitiosa</t>
  </si>
  <si>
    <t>Gaceta de Madrid n.º 15</t>
  </si>
  <si>
    <t>126</t>
  </si>
  <si>
    <t>…• J1 Dios guarde á V. muchos años. Madrid 25 de Enero de 18i 51. Deseando el Rey dar un testimonio de lo apreciables que be son los serr . Vicios de D. Juan Bautista Arriaza , dé D. Remigio Arguitiosa »y de Doo Joaquín de Andnaga, secretarios de S. M. y{ oficiales de la ‘prkiíéifa secre taría de Estado, ha tenido la bondad de agraciar al primero con la pensión ‘de la cruz de la Real y distinguida orden de Carlos 111, y á los dos* segun dos con la cruz supe…</t>
  </si>
  <si>
    <t>Arias, Antonio</t>
  </si>
  <si>
    <t>Antonio Arias</t>
  </si>
  <si>
    <t>…Juan de Castro, D. Juan López, Don Pedro Santistéban y D. Josef Novoa, del de Lugo; D. Luis Blanco, Don Pedro Iglesias, D. Pedro Ruiz Peña, D. Pedro Rodríguez, D. Isidro del Rio, D. Antonio Arias, D. Manuel Quiñones, D. Carlos Mota, D. Auto-</t>
  </si>
  <si>
    <t>Arias, Antonio de</t>
  </si>
  <si>
    <t>Antonio de Arias</t>
  </si>
  <si>
    <t>…de* JEstadó y proléctbir del jardín, á los profesores y empleados principales dehestab¡ecimiemo&gt;v permitieron S. M. y AA. les besasen la mano Los profe ores D.' Mariano Lagasca y D. Antonio de Arias pronunciaron dos dbcursós, en que descubriendo la historia de la botánica y de la agricultura, excitappn..á¡Aosialumnos?al:$studio, manifestándoles los adelantamientos hechos modernamente en esta ciencia tan encantadora como ¿til y mecesaria , y en época tan…</t>
  </si>
  <si>
    <t>Arias, Diego Antonio</t>
  </si>
  <si>
    <t>Diego Antonio Arias</t>
  </si>
  <si>
    <t>476</t>
  </si>
  <si>
    <t>…35. Ademas se hallan retenidos otros dos vales Reales de la propia creación de Set'etnbre de á 150 pesos números 147086, 170986 endosados en 8 del mismo mes de Setiembre de 1808 á D. Diego Antonio Arias; y en 10 de Junio y 3 de Diciembre de 1812 á D. Antonio González, vecino y del comercio de Luarca. Habiéndose libra do el correspondiente despacho para citar y emplazar en la forma ordinaria á los interesados á favor de quienes están endosados los citados val…</t>
  </si>
  <si>
    <t>Arias, Hénrique</t>
  </si>
  <si>
    <t>Hénrique Arias</t>
  </si>
  <si>
    <t>…Voluntarios de Avila ; á D. Pas cual Coca , D. Cenon López, 0. Bernabé Porián, y D. Josef Diaz, del primer Batallón de Ciudad-Rodrigo; á D. Antonio Echenique, D. Domin go García , D. Hénrique Arias, D. Vicente Xerez , y D. Juan Ferrero, Sargento mayor y Capitanes del segundo Batallón de Ciudad- Rodrigo; á 0. Patricio Iñiguez, D. Blas Carrasco, D. Josef Robledo, y D. Antonio Garrido, Capitanes dél tercer Batallón de la misma denominación, y á Don Francis…</t>
  </si>
  <si>
    <t>Arias, Josef Remio de</t>
  </si>
  <si>
    <t>Josef Remio de Arias</t>
  </si>
  <si>
    <t>…cias del víreynato del Perú á los oficiales siguientes. ¿ Para el empleo de coronel del regimiento urbano de dragones de Azangaro al graduado de milicias y comandante de esquadron D. Josef Remio de Arias: para teniente coronel en el de Mages al sargento mayor D. Manuel Moron: para igual empleo en el de caballería de Luya y Chillaos al tenien te de milicias D. Pablo Rodríguez de Mendoza: para comandante de esqua dron én el de dragones de Mages al capitán D. Jo…</t>
  </si>
  <si>
    <t>Arias, Joséf Valcárcel y</t>
  </si>
  <si>
    <t>Joséf Valcárcel y Arias</t>
  </si>
  <si>
    <t>…el 'yRosique, D. Josef Gómez Arteche , D. Joséf Gutiérrez, D. Josef B en i tez Cafrípou ,D. Segundo Ulibarri, D. Miguel Párraga, D- Juan Amonio Pereyra, D. Pablo Ortiga Samaniego, D. Joséf Valcárcel y Arias, D. Francisco Dugi y D. Manuel Fontiyerbs. " Es crecido el número de los capitanes, tenientes, subtenientes, sargentos primeros y cadetes'que 'por el mismo motivo resultan graduados en Ja in fantería, cuya circunstancia no da margen á espresá^los por nombres…</t>
  </si>
  <si>
    <t>Arias, Juan Francisco</t>
  </si>
  <si>
    <t>Juan Francisco Arias</t>
  </si>
  <si>
    <t>…de Ribera ; para la del Í&gt;artido dé Abeancós á D. Josef Garea y Mato; para la del partido de Orce- Ion á D. Juan Romero ; para la del partido de villanueva ae los Infantes al Lie. D. Juan Francisco Arias; para la del partido de Baítar al Lie. D. An tonio de la Sierra y Lamas; para la del partido de Puente-Cástrelo á Don Juan Varela del Corral; para la del partido de Cambados á D. Ramón An tonio de- Galarveta; para la del partido de Villamea de Laza á D: Josef…</t>
  </si>
  <si>
    <t>Arias, Pedro</t>
  </si>
  <si>
    <t>Pedro Arias</t>
  </si>
  <si>
    <t>…, al Lie. D. Francisco Garza y Quiroga para la de la villa de Ginzo de Limia ; para la del partido del Ríos al Lie. D. Jósef Ma ría Lebrou; para la del partido de la Uiloa al Lie. D. Pedro Arias; para la del partiidó de Raeriz dé Veiga á D. Diego Suarez de Ribera ; para la del Í&gt;artido dé Abeancós á D. Josef Garea y Mato; para la del partido de Orce- Ion á D. Juan Romero ; para la del partido de villanueva ae los Infantes al Lie. D. Juan Francisco Ar…</t>
  </si>
  <si>
    <t>Arias, Pedro Antonio</t>
  </si>
  <si>
    <t>Pedro Antonio Arias</t>
  </si>
  <si>
    <t>…es en la renovación que se hizo en i.° de Setiembre de 1808, salieron en ca beza del referido D. Bernardino Vázquez, y todos ellos se hallan endosa dos en 15 del mismo mes y año á D. Pedro Antonio Arias. En igual con formidad se encuentran otros dos de á 300 pesos números 49553, 51431 &gt; y otros 16 de á 150 pesos números 148061, 150905, 160776, 162475, 162623, 166417, 177300, 182357, 183695, 185124, 188592, 190022, 190349, 195704, 199662, 214935. Ademas se ha…</t>
  </si>
  <si>
    <t>Arias, Tomas</t>
  </si>
  <si>
    <t>Tomas Arias</t>
  </si>
  <si>
    <t>…inden” ' ESPAÑA. ‘ . Madrid 30 de Junio. • . « El dia 26 de Junio se presentaron á besar la mano 4 S.,M. y al Sr. In fante D. Cárlqs D. Ignacio Martínez Villela, del consejo Real; D. Tomas Arias, auditor del tribunal de la Rota; D. Josef Duaso, capellán-de honor de S. M.; D. Manuel Abella y el barón de Castiel, oficiales de la primera secretaría de Estado y del Despacho^ comisionados por la universidad de Za ragoza para dar gracias á S. M. y A. por h…</t>
  </si>
  <si>
    <t>AritoóÍQ</t>
  </si>
  <si>
    <t>…a aplicación de esta misma cienqia: á la medicina j debiendo ser-desempeúada* estas tres cátedras: la primera p^r el encargado del} lar dio D. Mariano _XaW Gasea*, la segunda, por D. AritoóÍQ¡ SapdaUo de Áriási y Costa; y por Don Vicente Soriano, catedrático de botánica: en Valencia, la última á la ex^ periencia del. zelo^ y aplicación de estos profesores en el desetripeño de sus respectivas cátedras, quiere S. M* se, remita el apreciar el justo,…</t>
  </si>
  <si>
    <t>Arjona, Josef Manuel</t>
  </si>
  <si>
    <t>Josef Manuel Arjona</t>
  </si>
  <si>
    <t>159</t>
  </si>
  <si>
    <t>…general dé sociedad se celebrará en Santander. Continuación de laé sentencias dadas per la comisión nombrada por S. M. Vén dese ¿ 4 quartos en el dcapacho dé la imprenta Real. El Sr. D. Josef Manuel Arjona , dcl consejo de S. M., «u alcalde de casa y cor*</t>
  </si>
  <si>
    <t>Arjona, Jósef Manuel de</t>
  </si>
  <si>
    <t>Jósef Manuel de Arjona</t>
  </si>
  <si>
    <t>…ar fe manó ;á S. M. y AA. y felicitarles; por sñ restitución al ^tir'óíio eñ representación delqfeustro dé la universidad de Osuna él Excmo. Sr. duque de Osuna su patrono y el Dr. Don Jósef Manuel de Arjona, alcalde de casa y corte, y los Dres. D. Ca yetano Hue y D. Josef dé Záyas, capellanes de honor de S. M.; y el pri*dixo: • ...- ' ' -- ' *• * y \ srdad 'de ípKhietítaríé deiúéncafgo no pueden menos de manifestar á V. M. la justa consideracion y el</t>
  </si>
  <si>
    <t>Arjona, Josef Manuel de</t>
  </si>
  <si>
    <t>Josef Manuel de Arjona</t>
  </si>
  <si>
    <t>Gaceta de Madrid n.º 121</t>
  </si>
  <si>
    <t>1124</t>
  </si>
  <si>
    <t>1124 Hallándose radicados en el juzgado dcTseííor alcalde de casa y corte D. Josef Manuel de Arjona, y escribanía de provincia de D. Manuel López de Rivas, los autos de testamentaría formados por los respectivos fallecimientos de Braulio Alcá zar, su muger Martina Barragan, y María García, madre de esta, vecinos que fue ron de los lugares de Carabanchel alt…</t>
  </si>
  <si>
    <t>…ar .en la referida posesión, á quien se apercibe que no compareciendo, sin mas citarle, llamarle ni emplazarle, le parará el perjuicio que haya lugar. En virtud de providencia del Sr. D. Josef Manuel de Arjona, del consejo deS. M , su alcalde de casa y corte, refrendada de D. Manuel López de Rivas, es cribano de provincia y comisiones de la misma, se ha mandado celebrar junta ge neral á la presencia judicial de los acreedores é interesados á la testamentaría de Don…</t>
  </si>
  <si>
    <t>…ntamiento en el término de un roes, contado desde i.° del siuiénte Noviembre, por inano de su alcalde ordinario capitular D. Juan Bautista 'erez Bsrnabeu.f . , Por providencia del Sr. D. Josef Manuel de Arjona, del consejo de S. M*,.su alcalde de casa y corte, refrendada del escribano de provincia y comisiones D. Ma* puel López de' Rtvás, y i instancia del curador ad bona de la menor Doña Francia* ca, Sales de Aranguren, hija del coronel D. Francisco de Arangúren,…</t>
  </si>
  <si>
    <t>…Pipón, en Lisboa, se recibirán para su liquidación hasta el dia - 30 del mismo mes de Noviembre; pasada cuya época no serán admitidas por motivo alguno. Por la audiencia civil dél Sr. D. Josef Manuel de Arjona, del-consejo de S. M.f su alcalde de casa y corte, y escribanía de provincia de D. Manuel López de Rivas, .se están siguiendo autos de abintestato á los bienes que han quedado por el fa llecimiento acaecido en esta corte en 7 de Agosto del presente año de D¿…</t>
  </si>
  <si>
    <t>Arjona, Pedro de</t>
  </si>
  <si>
    <t>Pedro de Arjona</t>
  </si>
  <si>
    <t>…aestros, nQ obstante la justicia exije que se haga especial mención de los qué mas se distinguieron. Fueron es tos D. Eusebio Campuzá'no y D. Mariano Cásadó de la primera clase, y Don Pedro de Arjona y D. Francisco Cobos de la tercera. Sevilla 4 de Junio. El.Real cuerpo de maestranza de caballería de esta ciudad, en celebridad del día1 de su augusto Soberanp y hermano mayor el Sr. D. Fernando vii, que Dios guarde, egecutó en la tarde del 30 del pasado, y en su plaza de toros,…</t>
  </si>
  <si>
    <t>Arma, Francisco Vázquez</t>
  </si>
  <si>
    <t>Francisco Vázquez Arma</t>
  </si>
  <si>
    <t>…o de Doña Juana de Escarza, ama que fue de go bierno de D. Pedro González, comandante del résguardo en Vitoria en el año de *1808. La persóna &lt;jue lo supiese se servirá avisarlo á?D. Francisco Vázquez Arma da, que vive Calle de^"Costanilla de los Desamparados, núm. i.°, cuarto segundo. - El ^espíritu de S. Francisco de Sales, obispo y Príncipe de Ginebra, traducido ‘libremente del francés por D. Sebastian de Jócáno: dos-tomos ení8.° -Se hallará en las librerías…</t>
  </si>
  <si>
    <t>Armengol, Gaspar</t>
  </si>
  <si>
    <t>Gaspar Armengol</t>
  </si>
  <si>
    <t>…Sierra á D. Diego Crespo de León! de Porcuna á D. Josef Antonio de Oscoz y Recarte: de Totana y Aledo á D. Ignacio María de Funes y Ulloa; y para el corregimiento de Guadalcanal á D. Gaspar Armengol.</t>
  </si>
  <si>
    <t>534 D. Josef María Yanguas: para la de alcalde mayor teniente tercero de asís* tente dé la misma ciudad á D. Gaspar Armengol: pará lajdeT alcalde mayor de Viilafranca del Vierzo á D. Melchor Díaz Valcárciel Tpara la de Agui*? lar de Cimpoo á D. Pedro de Tagle Velarde; y para el corregimiento de Lerma á D. Isidro Balseyro. D. Antonio Alvarez Youtes, cura propio de la paroquial de Pa…</t>
  </si>
  <si>
    <t>Arménteros, Antonio</t>
  </si>
  <si>
    <t>Antonio Arménteros</t>
  </si>
  <si>
    <t>…// • .v.-. ,’&gt;• ;; , . i-a-poqside^a^ipn dq,capitanes,vivos,(o/:..,yH efectivos ;Je infantería: á lpsr alfére ces D. Cárlos de-Sentmanat, D. Josef Aicaíá Galiano, D. Josef Miró , Don Antonio Arménteros, X). Lorenzo Fernandez Somera, D. Miguel Urquia, D. Cárlos Armenteros y D. Juan Jbséf Baríiteli. Grado de capitán de infantería al sargento primero graduado de teniente D. Bernardino Garay: grados de teniente á los de lá misma clase graduados de subteniente D…</t>
  </si>
  <si>
    <t>Armenteros, Cárlos</t>
  </si>
  <si>
    <t>Cárlos Armenteros</t>
  </si>
  <si>
    <t>…fectivos ;Je infantería: á lpsr alfére ces D. Cárlos de-Sentmanat, D. Josef Aicaíá Galiano, D. Josef Miró , Don Antonio Arménteros, X). Lorenzo Fernandez Somera, D. Miguel Urquia, D. Cárlos Armenteros y D. Juan Jbséf Baríiteli. Grado de capitán de infantería al sargento primero graduado de teniente D. Bernardino Garay: grados de teniente á los de lá misma clase graduados de subteniente D. Blas Ñégfo y D.- Rufino de Castro ; y grados de subteriiente á'lps dé la propiaclase D* Peregr…</t>
  </si>
  <si>
    <t>Arnaiz, Josef</t>
  </si>
  <si>
    <t>Josef Arnaiz</t>
  </si>
  <si>
    <t>…ya, D. Sebastian de Urra, 0. Patricio Ortiz, D. Francisca Escara re, 0. Nicolás Fuentes, 0. Vicente Buyo, 0, Antonio Basurta, D. Melr* i Gareíajchór Quintana, &gt;0. Josef Nava jas*. D. Josef Arnaiz y 0 Gerónimo de capitanes á los tenientes 0. Juan Mendez Vigo, D„ Pedro Masdeuy íDoin Joaquín Goñi, 0. Tomas Murrietay 0. Felipe Agnado , 0. Dionisio Gil, Don Simeón de la Rosa, D. Gabriel'Solano, 0.' Juan Alverico, D. Ramón Narvaez, D. Salvador Gallard, 0. L…</t>
  </si>
  <si>
    <t>Arnardo, Salvador</t>
  </si>
  <si>
    <t>Salvador Arnardo</t>
  </si>
  <si>
    <t>…; D. Juan Ruiz &gt; D. Salvador González, D. Rafael Solano, Di Josef; Majríaí Prieto , Q¿ Fráncisco Cervera &gt; D. Francisco , Cascos, D. Juan Tejadár, DvBasilioBayoni, D.Joaquin Dolz, D. Salvador Arnardo, D. An tonio Marcoletá, D, Josef Gáliano, D. Manuel Ayolo, D. Ignacio Cambil, D. Vicente. Dolz , D. Manuel Fernandez , D. Rafael Montemayor, D. Ga briel Villoría, D, Diego Latorre, D. Pedro Vidal, D. Antonio Rey, D. Pe dro Áhnabai, D. Manuel Lomar, D. Pablo C…</t>
  </si>
  <si>
    <t>Arnauto, Jospf</t>
  </si>
  <si>
    <t>Jospf Arnauto</t>
  </si>
  <si>
    <t>…llecimiento de D. Ma riano Bátaller á D. Josef Bertrán, cura de Llorat , pueblo de aquella diócesis i y la que vacó también en ia referida iglesia por muerte de D. Josef Brandia á Don Jospf Arnauto, eura párroco de Bañólas, en dicho obispado. = La canongía vacante en la iglesia metropolitana de Zaragoza por muerte de D. Baltasar Vénages á D. Pedro Satue, abad mitrado de la colegiata de Zafra , diócesis de Badajoz. =íLa media-raeion vacante en la catedra…</t>
  </si>
  <si>
    <t>Árnuada, Agustín de</t>
  </si>
  <si>
    <t>Agustín de Árnuada</t>
  </si>
  <si>
    <t>Gaceta de Madrid n.º 36</t>
  </si>
  <si>
    <t>317</t>
  </si>
  <si>
    <t>…onveniente á su cumplimiento. = Rubricado de la Real mano. = En Palacio á 24 de Marzo de 1815. = A D. Miguel de Lardizabal y Uribe.” El Rey nuestro Señor se ha servido conceder al coronel D. Agustín de Árnuada en atención á sus méritos y servicios militares, y á la constante adhesión que siempre ha mostrado á la i-ustre casa de los Borbones, el per miso de poder usar la decoración de la ñor de Lis. El Rey nuestro Señor en atención á los buenos y dilatados servicios…</t>
  </si>
  <si>
    <t>Arquellada, Ventura de</t>
  </si>
  <si>
    <t>Ventura de Arquellada</t>
  </si>
  <si>
    <t>…0 de Febrero último, y Ies parará el perjuicio que baya lugar. ^ Noticia del estado de las cárceles de Filadelfia, escrita en francés por la Rochefoucauld Liancóürt: traducida por D. Ventura de Arquellada. Su producto es para beneficio de los presos de las cárceles de esta corte. Véndese á 5 rs. en el despacho de Ja imprenta Real. ' Diccionario geográfico universal, que comprende la descripción de las cuatro partes del mundo, y de las naciones, imperios, repúb…</t>
  </si>
  <si>
    <t>Arranz, Fernando</t>
  </si>
  <si>
    <t>Fernando Arranz</t>
  </si>
  <si>
    <t>…D. Juan Nepomuceno Magan, guardia su pernumerario de menor edad de la Real Persona, D. Pascual Asensio, Don Josef Figuez y Cubero., D. Nicolás Diaz Lavandero, D. Manuel Batanero, D. Fernando Arranz de la Torre y D. Joaquín Amor, quienes hicieron los «pércidos que prescribe-el reglamento de esta escuela, en cuyo intermedio el*</t>
  </si>
  <si>
    <t>…Ramón Risel leyó un discurso relativo á las utilidades y ventajas de este arte. , Concluidos los exáipenes se procedió á la .adjudicación de premios en la forma siguente: el i.° á D. Fernando Arranz de la Torre: el 2.° á D. Juan Fíepomuceno Magan: el 3.0 á D. Pascual Asensio; y el accessit 2 D. Joa quín Amor. . •; .'i-:.,--La sociedad tuvo la mayor Satisfacción en que los señores asistentes hi ciesen á los opositores varias preguntas , y que estos escrib…</t>
  </si>
  <si>
    <t>Arriaga, María Francisca de</t>
  </si>
  <si>
    <t>María Francisca de Arriaga</t>
  </si>
  <si>
    <t>…eta núm. 64 de 30 de Abril del año pasado de 1814 se convocó á los parientes hasta el tercer grado de la Sra. Doña Agustina Larraz, natural de Zamora, hija de D. Josef Larraz y de Doña María Francisca de Arriaga, y á los del coronel de egército D. Juan de. Ayssa, gobernador que fue de la provincia de León de Ni caragua, en el reino de Góatemata, natural de.Huesca , hijo del teniente coronel Don Juan de Ayssa y Doña Merarda de Aróstegui. Hasta ahora solo han ocurrido…</t>
  </si>
  <si>
    <t>Arriaza, Juan Bautista</t>
  </si>
  <si>
    <t>Juan Bautista Arriaza</t>
  </si>
  <si>
    <t>…uperior íiúti*cia del Consejo. • J1 Dios guarde á V. muchos años. Madrid 25 de Enero de 18i 51. Deseando el Rey dar un testimonio de lo apreciables que be son los serr . Vicios de D. Juan Bautista Arriaza , dé D. Remigio Arguitiosa »y de Doo Joaquín de Andnaga, secretarios de S. M. y{ oficiales de la ‘prkiíéifa secre taría de Estado, ha tenido la bondad de agraciar al primero con la pensión ‘de la cruz de la Real y distinguida orden de Carlos 111, y á los dos*…</t>
  </si>
  <si>
    <t>Arriaza, Juan Bautista de</t>
  </si>
  <si>
    <t>Juan Bautista de Arriaza</t>
  </si>
  <si>
    <t>Gaceta de Madrid n.º 30</t>
  </si>
  <si>
    <t>…úmeros 25 y 26, quarto tercero. A la librería de Castillo, frente á las gradas de S. Felipe, acaban de llegar va rios juegos de la bella edición hecha en Londres de las poesías de D. Juan Bautista de Arriaza: constan de dos tomos, papel vitela, con láminas y viñetas finas. Igual mente ha llegado otra remesa del tomo de sus canciones patrióticas, que compuso el autor en las épocas mas críticas de la invasión enemiga, para animar 9 sus com patriotas á tan heroyca d…</t>
  </si>
  <si>
    <t>…en caso de haber fallecido el de sus herederos. La persona que lo sepa se servirá avisarlo en Madrid á D. Elias Ranz, calle de la Cruz. Nueva edición de las poesías patrióticas de D. Juan Bautista de Arriaza, dis puestas en la forma dramática con que se han declamado y cantado en los teatros de la corte, y añadidas las que se han compuesto después de la feliz restitución del Rey nuestro Señor á su trono. Se hallará en el despacho de la imprenta Real á 12 rs. r T…</t>
  </si>
  <si>
    <t>Arribas, Pablo</t>
  </si>
  <si>
    <t>Pablo Arribas</t>
  </si>
  <si>
    <t>…l aprecio1 que han hecho y hacen de este célebre español. Por el- mismo concepto fue excitado y ame nazado para que grabase el retrato de Josef Napoleón por su ministro de Policía D. Pablo Arribas ; pero conociendo que esta sola condescendencia bastaría para echar un negro y detestable borron en: su patriotismo , y des doraría la colección de sus obras, despreció con horror semejante comisión. Este benemérito profesor dejó dos obras que tenia concluida…</t>
  </si>
  <si>
    <t>Arríela, Agustín García de</t>
  </si>
  <si>
    <t>Agustín García de Arríela</t>
  </si>
  <si>
    <t>…lo cual verificó en el dia del mismo mes acompañado de dos diputados para el efecto, que lo fueron D. Josef Ramón de ibarra; catedrático de matemáticas de los Reales estu dios, y D. Agustín García de Arríela, bibliotecario de ellos; á todos los cuales admitió S&lt; M. á besar so Real mano, habiéndole arengado antes el primero en los términos siguientes: „ Señor: los estudios Reales, que V. M. mantiene en su corte para 1&amp; pública enseñanza, fundados por el Sr. D. Fel…</t>
  </si>
  <si>
    <t>Arrióla, Francisco de Picoaga y</t>
  </si>
  <si>
    <t>Francisco de Picoaga y Arrióla</t>
  </si>
  <si>
    <t>…munico á V. para su inteligencia y cumplimiento en la parte que le toca. Dios guar de á Y. muchos años. Madrid 4 de Diciembre de 1815. El mariscal de campo de los Reales egércitos D. Francisco de Picoaga y Arrióla, militar valiente y esforzado, se distinguió siempre, tanto por el ho^ nor con que sirvió al Rey nuestro Señor en la milicia por espacio de yf anos, y su valor é intrepidez, en los combates, como por su desinterés, puesjamas admitió ningún sueldo, ni causó al…</t>
  </si>
  <si>
    <t>Arrióla, Francisco Picoaga y</t>
  </si>
  <si>
    <t>Francisco Picoaga y Arrióla</t>
  </si>
  <si>
    <t>…vasallos! Para satisfacción y consuelo de los hombres de bien , amantes del orden y de la sociedad ofendida, debemos hacer saber que los criminales asesinos del mariscal dé campo D. Francisco Picoaga y Arrióla expiaron sus delitos en el patíbulo á la entrada en dicha ciudad del Cuzco del egéfciío victorioso de S. M. al mando dé! digno’ generalD, Juan Ramírez, cómo se ve en la gaceta de Madrid de/T de/Noviembre último, número 127. Eú vano lidia el perverso, en. quer…</t>
  </si>
  <si>
    <t>Arrletá, Francisco</t>
  </si>
  <si>
    <t>Francisco Arrletá</t>
  </si>
  <si>
    <t>…Pamplona...... ’D¿Miguel-Echarrí.o-.i'^:- •. r. á,, En Barcelona... D. Ramón;Llordeíla. i - iv nii Jí» Taragoza....... D. Francisco Perpiñan, barón de la Torre.; En Alava yGui--. D. Francisco Arrletá. 'i; . i • _ ’ . - • * .¡J ; : l-í . ' 1 , . » &gt; Jiíí • *'*■* *!» t."**, D. Tomas Diez Serrano.' -•* i \ J i. olit-i-i .&gt; i2i W , D¿ Joaquín Tutor* y Barzola. • &gt; i •En Bilbao........... D. Francisco :de la,Mata. ; tifa &gt;A Jil il» Zamora........... D. Manuel…</t>
  </si>
  <si>
    <t>Arroy, Antonio Martínez</t>
  </si>
  <si>
    <t>Antonio Martínez Arroy</t>
  </si>
  <si>
    <t>…acias expresadas en recompensa de tan distinguidos servicios. El Rey rse ha servido nombrar para las dos varas de alcalde mayor de la ¿ciudad de,Valencia á p. Ladeo Rico Bononat y D. Antonio Martínez Arroy°para la de- Biar ár D. Anastasio Pinos y Plá: para la de Castellón de la Plana á D. Pantaleon Míreos Montesinos: para la de Axpe á D. Josef Vilella y Pastor: para la de Carlet a D. Francisco Ortiz de Cantonat: para la de Gorga y su Valle de Ceta á D. Gregorio…</t>
  </si>
  <si>
    <t>Arroyo', Dámaso</t>
  </si>
  <si>
    <t>Dámaso Arroyo'</t>
  </si>
  <si>
    <t>….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giier, D. Benito Roma…</t>
  </si>
  <si>
    <t>Arroyo, Andrés</t>
  </si>
  <si>
    <t>Andrés Arroyo</t>
  </si>
  <si>
    <t>…d-Rodrigo, Laredo, Santiago, Tuy, Bu jalance , Cuenca y Monterey, á los de infantería D. Antonio Jesús de Chin chilla, D. Pedro de Prado, D. Francisco del Aguila, D. Felipe Muñoz, D. Andrés Arroyo, D. Angel Alvarez Sotomayor, D. Pedro Angel Marcó del Pont y D. Heradio Alaiz. Y para igual empleo del regimiento provincial de Betanzos al Teniente coronel agregado al mismo cuerpo D. Pedro Váz quez Pimentel. Asimismo se ha servido S. M. nombrar á D. Fermín…</t>
  </si>
  <si>
    <t>Arroyo, Francisco</t>
  </si>
  <si>
    <t>Francisco Arroyo</t>
  </si>
  <si>
    <t>…uel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 Josef Arcos, Don Fermín Moza, DPAnjgel Villa, JL Florentino García., D. Rafael Alcalde, D, Ambrosio Doz, D. Vicente Guis…</t>
  </si>
  <si>
    <t>Arroyo, Josef Gutiérrez de</t>
  </si>
  <si>
    <t>Josef Gutiérrez de Arroyo</t>
  </si>
  <si>
    <t>…e aquellos vecinos, y felicitó á 5. M. por su feliz restitución al trono de las Empañas. Asimismo el jueves 3 ✓di Agosto tuvo fa honra de besar í‘a mano á S.. M. el presbítero Dr. D. Josef Gutiérrez de Arroyo, como diputado del venerable cabildo y clero: del obispado de Puerto-Rico-, en cuyo nombre, 1</t>
  </si>
  <si>
    <t>Arroyo, Josef María</t>
  </si>
  <si>
    <t>Josef María Arroyo</t>
  </si>
  <si>
    <t>…Sef Céspedes: ¿ subtenientes de fusileros á los de bandera D. Antonio Saez, D» Franciscó Caro, D. Juan Tomas de la Torre y D. Josef Rivas: á subtenientes de ban dera ¿ los cadetes D. Josef María Arroyo, D. Pedro Safazar, D. Diego Li atón, y kl sargento primero de granaderos D. Serafín Adrián. En consideración al mérito contraído en la Florida Oriental en las últi mas ocurrencias por los milicianos urbanos , se ha dignado S. M. conceder grados de provinciale…</t>
  </si>
  <si>
    <t>Arroyo, Santiago</t>
  </si>
  <si>
    <t>Santiago Arroyo</t>
  </si>
  <si>
    <t>…justificativos de sus créditos, y suministrar las noticias necesarias dentro 'del. preciso término de un mes, contado desde dicho día, á los síndicos nombrados tD. Donato Arranz y D. Santiago Arroyo, este procurador del juzgado de villa, pa ra que los dos amistosa y cstrajudicialmente, asociados de D. Antonio Regino Ló pez, hijo político quelite del D. Mauro, procedan á Ja liquidación y clasificación de todos, los referidos créditos, y ha dehaberde la te…</t>
  </si>
  <si>
    <t>Arta-r, Gregorio</t>
  </si>
  <si>
    <t>Gregorio Arta-r</t>
  </si>
  <si>
    <t>…Domingo Blanco, D. Lorenzo Martínez, D. Isidro QJi* vares , D. Tomas Zamora, L&gt;. Benito Reehel, D. Gaspar Nogueruela, Don Luis Medinilla , D. Pedro Medinilia, D, Joaquín García., D. Gregorio Arta-r cho, D. Josef Aguilar, D. Antonio Quadra, D. Felipe Doria, D. Vicente Ruiz)jD. ^Ramón-Quinan^ &amp; Geróriimq»dé G.éus, IX Josef Carrasco , Don josef Rae^a f ,D. Miguel Sánchez,,¡ D. Litis Vidarte, D. Tiburcio Martínez, IX Rufino; Andinql IX Antonio la Rosa i D.…</t>
  </si>
  <si>
    <t>Artazo, Manuel</t>
  </si>
  <si>
    <t>Manuel Artazo</t>
  </si>
  <si>
    <t>…antiosos donativos que durante estos años ha hecho aquella corporación en defensa del territorio español de uno y otro continente. ; Asimismo el gobernador de Mérida de Yucatán el brigadier D. Manuel Artazo, con fecha de 29 de.Julio último, dirigió á S. M. una esposicion, en la cual,después de felicitarle en su nombre y el de todos los ^habitantesde su gobierno por su feliz restitución al trono, hace presente á S. M. las irre fragables pruebas de lealtad que han…</t>
  </si>
  <si>
    <t>Arteaga, Jacinto</t>
  </si>
  <si>
    <t>Jacinto Arteaga</t>
  </si>
  <si>
    <t>…e Cazadores del Rey; D. Cesar Tournel, d¿l Real Cuerpo de Artillería , y D. Gerónimo Alvarez , del de Húsares extinguidos de León: de Teniente á D. Felipe Castro, D. Ramón Cespon, D. Jacinto Arteaga y D. Bernardo de Castro, del Provincial de Santiago; D. Jacobo Pardo y D. Josef Boltorna, del de Tuy; D. Lorenzo Valcarcel y D. Josef Sansiz, del de Lugo; D. Baltasar Valcárcel, del segundo de Asturias; Don Josef Martínez, del de Cazadores del Rey; D. Rainon Maurin, del de Zaragoza;…</t>
  </si>
  <si>
    <t>Arteche, Josef Gómez</t>
  </si>
  <si>
    <t>Josef Gómez Arteche</t>
  </si>
  <si>
    <t>…te, D. Josef María Muñdz*, D. Francisco Ocaña, IX Antonio Gayosrí ,. D. Antonio García, D. Víctor Perez, D. Francisco Laborda, D. Antonio Echavarri, I). Josef Valcárcel 'yRosique, D. Josef Gómez Arteche , D. Joséf Gutiérrez, D. Josef B en i tez Cafrípou ,D. Segundo Ulibarri, D. Miguel Párraga, D- Juan Amonio Pereyra, D. Pablo Ortiga Samaniego, D. Joséf Valcárcel y Arias, D. Francisco Dugi y D. Manuel Fontiyerbs. " Es crecido el número de los capitanes, tenie…</t>
  </si>
  <si>
    <t>ArtiatyD, Andrés</t>
  </si>
  <si>
    <t>Andrés ArtiatyD</t>
  </si>
  <si>
    <t>…los capitanes D. Luis Abneig^ D. Josef Luna, D. Antonio Loriga, D. RamónCucalón., D.RamonTavaiy D, Pedro Argaiz, D:¡ Pabío Venéwies .y jDi jFramasco Sara víaDv Antonio Es parza , D. Andrés ArtiatyD. Josef Dalpy D. Josef Navarro, 0; Baltasar Co&gt; mellas, 0. Juan Brayo, D. Josef González Merino, D. Joaquín Aguado , Bou Ramón Palacio, D. Josef Meneses , D. Antonio Riosoto , 0. Manuel Monde* toro, D. Manuel Crespa, D. Luis María Sarasti, D. Tomas Orive, 0. M…</t>
  </si>
  <si>
    <t>Artieda, Fer.min de</t>
  </si>
  <si>
    <t>Fer.min de Artieda</t>
  </si>
  <si>
    <t>…villa, ^á D.jVentuíU Nicolás Martínez ^dél Carvallar, todas en el territorio de las órdenes militares. • Atendiendo el Rey; nuestro Señor á los méritos y distinguidos servicios de D. Fer.min de Artieda y D. Antonio Moreno, contador y tesorero de la Real casa , ha tbriido á bien concederles los honores de inténdentes de epército. Eí R¿y nuéstró Señor se há dignado admitir la cesión de 14© T$/anüalés que ha hecho lin criado de su Real servidumbre para acudir á las urgencias del…</t>
  </si>
  <si>
    <t>Artiga, Francisco Josef de</t>
  </si>
  <si>
    <t>Francisco Josef de Artiga</t>
  </si>
  <si>
    <t>Gaceta de Madrid n.º 101</t>
  </si>
  <si>
    <t>…ucción manual para la mas breve espedicion de los casos prácticos de in munidad local, por D. Fernando González de Socueva: un torpo en 4.0—..Epitomede la elocuencia española, por D. Francisco Josef de Artiga, olim Articda: un to mo en 8.° Se hallarán en la librería de Dávila, calle *de las Carretas.* •v EN LA IMPRENTA REAL.</t>
  </si>
  <si>
    <t>Asas, Josef de</t>
  </si>
  <si>
    <t>Josef de Asas</t>
  </si>
  <si>
    <t>…fantería segundo de Sevilla, que existe en la ciu dad de este nombre, se hallan depositados 1090 rs. vn. que produjo el inventario y alcances que dejó el teniente del mismo cuerpo D. Josef de Asas, muerto en el sitio de Pamplona ; é ignorándose el paradero de la madre de este oficial á quien corresponde este dinero, se anuncia al público para que dicha señora acuda por sí,' ó por su apoderado en debida formá, al coronel del espresado regimiento á reco…</t>
  </si>
  <si>
    <t>Asensio, Pascual</t>
  </si>
  <si>
    <t>Pascual Asensio</t>
  </si>
  <si>
    <t>…que abrió la sesión manifestando verbalmente el objeto de ellav Presentáronse á ser examinados D. Juan Nepomuceno Magan, guardia su pernumerario de menor edad de la Real Persona, D. Pascual Asensio, Don Josef Figuez y Cubero., D. Nicolás Diaz Lavandero, D. Manuel Batanero, D. Fernando Arranz de la Torre y D. Joaquín Amor, quienes hicieron los «pércidos que prescribe-el reglamento de esta escuela, en cuyo intermedio el*</t>
  </si>
  <si>
    <t>…e. , Concluidos los exáipenes se procedió á la .adjudicación de premios en la forma siguente: el i.° á D. Fernando Arranz de la Torre: el 2.° á D. Juan Fíepomuceno Magan: el 3.0 á D. Pascual Asensio; y el accessit 2 D. Joa quín Amor. . •; .'i-:.,--La sociedad tuvo la mayor Satisfacción en que los señores asistentes hi ciesen á los opositores varias preguntas , y que estos escribiesen en el encerado cuantas cuestiones tuvieron, á bien proponerles, dando l…</t>
  </si>
  <si>
    <t>Asensio, Remigio</t>
  </si>
  <si>
    <t>Remigio Asensio</t>
  </si>
  <si>
    <t>…Tratado de la educación de las hijas: escrito en francés por el limo. Sr; D. Fran- . cisco de Salignac de la Motte Fenelon, arzobispo de Cambray, y traducido al cas-, tellano por D. Remigio Asensio, presbítero: segunda edición. La utilidad dé esta traducción no solo se manifiesta por el mérito de la obra, bien conocida y aprecia da en toda Europa, sino.por la necesidad que habia en España de que los padres de familias tuviesen en su lengua un sistema co…</t>
  </si>
  <si>
    <t>Asiain, Tiburcio</t>
  </si>
  <si>
    <t>Tiburcio Asiain</t>
  </si>
  <si>
    <t>…de esta villa D. Antonio García Girón celebró exámenes públicos de doctrina cristiana y derhas enseñanzá análoga'á sú instituto. A este efecto, convocado bajo la pre-* sidencia de D. Tiburcio Asiain, abogado de los Reales consejos, alcalde mayor y capitán á guerra de esta villa, y en presencia de un numeroso concurso de personas de distinción é inteligencia, se dió principio al acto por la explica ción de la doctrina cristiana, qué hicieron los niños con…</t>
  </si>
  <si>
    <t>Asta, Esteban de</t>
  </si>
  <si>
    <t>Esteban de Asta</t>
  </si>
  <si>
    <t>…resulta ha nom brado á D. Josef Salelles y Palos: para la primera plaza de oidor de las dos vacantes en la audiencia de Extremadura á D. Evaristo de la Dehesa, y para la segunda á D. Esteban de Asta: á D. Manuel Saiz de Villegas , oi dor.déla audiencia de Canarias» para una plaza de ignal clase de la audien cia deGalicia; y para la plaza de alcalde del crimen , vacante en la audien cia de Sevilla por salida de D. Angel Morell de Solanilla á la «dignidad…</t>
  </si>
  <si>
    <t>Ástmismcj, Pedro Josef Bravo y Alú</t>
  </si>
  <si>
    <t>Pedro Josef Bravo y Alú Ástmismcj</t>
  </si>
  <si>
    <t>…Dávila, calle ■ \ dé las Carretas. . . :;;‘V V- '-V.- ~; ffiáta. En ía gaceta dél jueves ñltiitid i.°, del corriente, pág. 594 &gt; lín. 24; donde dice 2X Diego Migtál Bravo ¡Xéiiz. D. Pedro Josef Bravo y Alú Ástmismcj en la gaceta del sábado 3 del corriente, pág. 597 , lín 3 y y 36,' dbride dice hijo deí príncipe heredero, léase hermano del príncipe heredero,^ En lá; iiiisma^ pág*.602 , lín. | .y 6 * donde dice rD. Carlos Mqynez, coman: jalante general qué %á sido. del ist…</t>
  </si>
  <si>
    <t>Astorga, Marques de</t>
  </si>
  <si>
    <t>Marques de Astorga</t>
  </si>
  <si>
    <t>Gaceta de Madrid n.º 152</t>
  </si>
  <si>
    <t>…Señoríos , determine lo mas conveniente, co municándose á las Chancillerías y Audiencias de la Península é Islas adyarcentes. Posteriormente, y con vista de una representación del Sr. Marques de Astorga, Conde de Áltamira* se ha servido S. M. mandar que los Ayunta mientos plenos y no el Concejo abierto de los Pueblos que fueron de Seño río , cuyos dueños jurisdiccionales nombraban sin propuesta de aquellos para todos los oficios de Justicia y Cabildo , hagan…</t>
  </si>
  <si>
    <t>Astraudi, Josfef</t>
  </si>
  <si>
    <t>Josfef Astraudi</t>
  </si>
  <si>
    <t>…, D. Pablo Chamorro , :D, Josef Ckuñer. DvJosefGucrra, D. Juan Sevillano , H. Josef Fonseca, D. Sancho Estrada, ¡BJosefSoler , D. Diego Delgado* D* Rafael Vargas, D. Josef Llanzo, Don Josfef Astraudi ,.D. Juan de Sotomáy or, D. Cayetano Perez Dávila, D. Ma nuel Drapie, D. Antonio Henriqiiez , D. Francisco Trugillo, D. Joaquín Huerta , D. Francisco de Paula Moreno, D. Mariano Millar, D. Juan Eira, D. Antonio Castaño, D. Josef Ferraz , D. Francisco Arroyo,…</t>
  </si>
  <si>
    <t>Asura, Antonio</t>
  </si>
  <si>
    <t>Antonio Asura</t>
  </si>
  <si>
    <t>3^8 D. Antonio Asura, alférez ó teniente de una de las compañías de la división de Iberia á las órdenes de D. Francisco Longa, murió saliendo de Bilbao perseguido y acosado por mayor número de enemigos á fines del atlo de 1812, ó principios del siguiente. Era originario de Navarr…</t>
  </si>
  <si>
    <t>Atami, Luis</t>
  </si>
  <si>
    <t>Luis Atami</t>
  </si>
  <si>
    <t>«&gt;$0 Pedro'La reda; vecinos de la ciudad de Santander; á las tres viadas de Rous., Sarti y Josué Leoia y la casa de Gómez que lo son de Bayona^ de Francia \ á D. Luis Atami. de Vitoria; á Agustin García, de la villa de Torrijos; á Carlos y Antonio Sánchez. Antonio Blazquez, D. Serafín y D, Agustin Lezamaiz, vecinos de la vi lla del Prado; á D. Ramón de Ataola, de la de Ajofrin; á D. Josef Francisco del Valle, de Madrid, y á D. J…</t>
  </si>
  <si>
    <t>Atanasio, Josef</t>
  </si>
  <si>
    <t>Josef Atanasio</t>
  </si>
  <si>
    <t>459</t>
  </si>
  <si>
    <t>…wnie, te niente coronel de la Legión extremeña; á D. Josef Amat y Robles, corre gidor de la ciudad de Alcántara ; á D. Alonso González Sotro, maestrante de la Real de Ronda,, y á D. Josef Atanasio de la Rosa, en atención á sus respectivos méritos y servicios. Atendiendo S. M. á los méritos literarios y servicios patrióticos con qué en esta última guerra ba acreditado el amor y fidelidad á su Rea! Persona D Pedro Jacobo Pizarro, alcalde mayor y capitán…</t>
  </si>
  <si>
    <t>Ataola, Ramón de</t>
  </si>
  <si>
    <t>Ramón de Ataola</t>
  </si>
  <si>
    <t>…uis Atami. de Vitoria; á Agustin García, de la villa de Torrijos; á Carlos y Antonio Sánchez. Antonio Blazquez, D. Serafín y D, Agustin Lezamaiz, vecinos de la vi lla del Prado; á D. Ramón de Ataola, de la de Ajofrin; á D. Josef Francisco del Valle, de Madrid, y á D. Josef Irunzaga, de la de Bilbao; todos acreedores á la testamentaría de D. Frutos Rodríguez Noles, vecino y del comercio que fue de la referida villa del Prado, para que en el término precis…</t>
  </si>
  <si>
    <t>Atbarrán, Juan Rodríguez</t>
  </si>
  <si>
    <t>Juan Rodríguez Atbarrán</t>
  </si>
  <si>
    <t>…por fellecimjeotó de D. Ignacio Osorio y Mesía á D. Josef Hayela y.Caballero, canónigo .de la de Lérida, y el arcedianato titular de ja misma catedral, que ha vacado por muerte de D. Juan Rodríguez Atbarrán, á Frey D. Juan Guillen y Va lencia , con dimisión de la capellanía de honor que en la actualidad obtiene., .. La canongía vacante en la catedral de Málaga por fallecimiento de Don -Salvador Casamayor á D. Josef Ortuzar., racionero de la misma iglesia; la / .…</t>
  </si>
  <si>
    <t>Atienza, Juan</t>
  </si>
  <si>
    <t>Juan Atienza</t>
  </si>
  <si>
    <t>…ncial de Segovia; D. Pedro NuñeZ;, D. Manuel Calderón, D. Matías Frade, D.Francisco Antonio Ledesmá, y LF. Andrés .Muñoz, del primer Batallón de Ciudad-Rodrigo; D. Miguel Retámar, Don Juan Atienza, D. Isidoro Caballero* 0. Julián Avilé*, D¿! Juan Martin,</t>
  </si>
  <si>
    <t>Aucherst</t>
  </si>
  <si>
    <t>…los ordina les en dos .millones, y yoó® libras esterlinas; Mr. Eiphinstone, láctor de la compañía de la India Cantón, y sir Jofge Staunton , que ha estado ya en Pekín, acompañan á lord Aucherst en embajada á lk China; Estos aós persorrages' y Mr. EHfS , su Secretario, ser virán de mucho auxilio áS. E . - - V' u-jul'jirr t ; Escriben de Gibraltar que el Eurotas apeló en aquel puerto el 2 , llevan-</t>
  </si>
  <si>
    <t>Aude, Fabre del</t>
  </si>
  <si>
    <t>Fabre del Aude</t>
  </si>
  <si>
    <t>942</t>
  </si>
  <si>
    <t>…emen-de-Ris, el conde Colchen, el conde Cornudet, el conde de Aboville, el mariscal duque de Dantzick ( Lefevre), el conde de Croix, el conde Dedelei-de-Agier, el conde Dejean, el conde Fabre del Aude, el conde Gassendi, el conde Lacepede, el conde Látour-Maugbourg, el duque de Praslin, el duque de Plasencia, el mariscal duque de Elchingen (Ney ),.el mariscal Suchet, el mariscal duque de Conegliano (Moncey), el mariscal duque de Treviso ('M^rtier), el cond…</t>
  </si>
  <si>
    <t>Augusto, Federico</t>
  </si>
  <si>
    <t>Federico Augusto</t>
  </si>
  <si>
    <t>…ias y otros papeles. Sin embargo, algunos de ellos se oculta ron á Ja policía prusiana , y han llegado á sú destino. ■ -\ ■ ■ Idem aj. • ¡ • Todos los escritos dirigidos contra el rey Federico Augusto, y que cir culan en gran numeró en este pais, no producen otro: efecto que el reani mar mas y mas el amor de los saxones á su antiguo Soberano; y la rigurosa prohibición de algunos papeles escritos en favor de la familia que reynaba hace largo tiempo en Saxon…</t>
  </si>
  <si>
    <t>Aulet, Salvador</t>
  </si>
  <si>
    <t>Salvador Aulet</t>
  </si>
  <si>
    <t>…la, el P. D. Juan Gaiiiía, clérigo reglar teatino, D. Josef Navarro , sargento del regimiento de infantería de Soria, D. Juan Massana, oficial de la Consolidación de vales Reales, D. Salvador Aulet, co merciante , D. Ramón Mas, carpintero de ribera , D. Julián Portet, espar tero, y D. Pedro Lastortras. El público expresó con sentimientos de ternu ra la dulce emoción de su voluntad. ,,El día 15 por la mañana fueron conducidos los cadáveres desde la Real…</t>
  </si>
  <si>
    <t>Aúnazsn, Joaquín</t>
  </si>
  <si>
    <t>Joaquín Aúnazsn</t>
  </si>
  <si>
    <t>460</t>
  </si>
  <si>
    <t>…D. Josef, y otras cosas; con apercibimiento que pasado di cho término le parará el perjuicio quehaya lugar. Én virtud de facultad Real y providencia dada á su consecuencia por el Sr. Don Joaquín Aúnazsn y'Ximeno, del consejo de S. M., teniente de corregidor de esta villa, refrendada del Sr. D. Ramón García Ximenez, secretario de S. M. y escri bano del número éñ ella, se Venden qtiatro casas sitas en esta corte, dos en la calle del Amor de Dios, señalada la u…</t>
  </si>
  <si>
    <t>Auñon, Manuel</t>
  </si>
  <si>
    <t>Manuel Auñon</t>
  </si>
  <si>
    <t>sales, D. Diego.Carbonell,D. Antonio Bórdon$,D. Ignacio Velazquez,Don Andrés Ramos, D. . Josef Velez, D. Francisco Contreras, D. Manuel Auñon, Dt' Josef Palillos, D. Antonio Acosta, D» Francheo Menduiña, D. Julián Senessens^iD* Josef AraüjoyD. Antonio Rute, D. Manuel Santander, D. Josef Domínguez , D. Josef!Montero y D. Pedro .Trasierra , D. Frandsco Olmo:,* Don Fermí n Meneos^ «Dv VénturaiRiesco ,…</t>
  </si>
  <si>
    <t>Ausejo, Josef</t>
  </si>
  <si>
    <t>Josef Ausejo</t>
  </si>
  <si>
    <t>…D. Josef!Montero y D. Pedro .Trasierra , D. Frandsco Olmo:,* Don Fermí n Meneos^ «Dv VénturaiRiesco ,D. Josef Muñoz § D. Luis Gorrichátegui,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 D. Gregorio Los…</t>
  </si>
  <si>
    <t>Auto-</t>
  </si>
  <si>
    <t>…y D. Josef Novoa, del de Lugo; D. Luis Blanco, Don Pedro Iglesias, D. Pedro Ruiz Peña, D. Pedro Rodríguez, D. Isidro del Rio, D. Antonio Arias, D. Manuel Quiñones, D. Carlos Mota, D. Auto-</t>
  </si>
  <si>
    <t>Auton, Cristóbal María</t>
  </si>
  <si>
    <t>Cristóbal María Auton</t>
  </si>
  <si>
    <t>…Perez: para la de Almázan á D. Agus tín Medina y Lavalle: para la de Zafra á D. Juan Crisóstomo de la Peña: para la de Cazorla á D. Manuel María de Peralta: para la de Benamegí á D. Cristóbal María Auton: para la de Cervera del Rio-Pisuergá á D. Roque Naranjo: para la de Astudillo á D. Eustaquio Manuel de Irala y Zavala: para la de Lora del Rio á D. Manuel Josef Rodríguez: para la de Colmenar de Oreja á D. Pedro Carbonero: para la de Roa á D. Josef Fernandez…</t>
  </si>
  <si>
    <t>Autopio</t>
  </si>
  <si>
    <t>…rados de capitán á lo* alféreces I&gt;. Manuel.Torres, D.; Alonso Torres y D. Hipólito de. Silvas y grados de alféreces igualmente de caballería 4;los- distinguMos D, Basilio rCeéda, D. Autopio defMoya p E&gt;. Antonip, Melgarejo, y á los sargentos Pon rancisco Fajardp., D. Josef Grueso y ©. Gil López. .f</t>
  </si>
  <si>
    <t>Avecilla, Félix Josef</t>
  </si>
  <si>
    <t>Félix Josef Avecilla</t>
  </si>
  <si>
    <t>…Oy-dercOnse jo de S. M., teniente corregidor de esta villa,' se ha mandado citar y emplazar á todas y cualesquier personas qué Se conceptúen con derecho á los bienes que ha dejado Don Félix Josef Avecilla, que falleció ábintestato en 25 de,Julio del añó pasado de 812, para que dentro del término de 20 dias ,.que por tres y el último perentorio se les concede , contados desdé esta fecha, acudan á esté mi juzgado y éscribanía del número de D. Alejandro Gutiérrez…</t>
  </si>
  <si>
    <t>Avecilla, Manuel</t>
  </si>
  <si>
    <t>Manuel Avecilla</t>
  </si>
  <si>
    <t>…co consultor á D. Enoch Herrero; y permite S. M. el uso de la referida Cruz concedida á la guarnición al padre ó pariente mas inmediato de D. Valentín Santogo, D. Carlos Quiñones, D. Manuel Avecilla, Pedro Villa, Cayetano Sancho, Miguel de Bcrdallo, Domingo Martínez, Jacinto Raposa, Juan Baluña, Antonio López, Simón Fernandez, Tomas de Veyga, Francisco Fraunte, Domingo Fernandez y Tiburcio Alvarez, indivi duos de la misma guarnición, que murieron de bala…</t>
  </si>
  <si>
    <t>Aviles, Antonio</t>
  </si>
  <si>
    <t>Antonio Aviles</t>
  </si>
  <si>
    <t>…a división de granaderos provinciales de Galicia al capitán de infantería D. Josef Caxide. El Rey nuestro Señor se ha servido nombrar coronel del regimiento pro vincial de Ronda á D. Antonio Aviles, teniente coronel agregado al pro pio cuerpo. En atención al mérito y buenos servicios del administrador principal de correos de esta corte D. Francisco Ezequiel de las Barcenas ha venido S. M. en confítmaile los honores de intendente de provincia. El Rey nue…</t>
  </si>
  <si>
    <t>Ayala, Fráricisco Delgado y</t>
  </si>
  <si>
    <t>Fráricisco Delgado y Ayala</t>
  </si>
  <si>
    <t>…ediano y Sartolo y D. Antonio Rodríguez de Es cavar; y nom brar para las de Los-Sántos á Di Josef Antonio Martin Palomino ; de Cille ros á D. Ignacio Josef Palomares; de Lleréna á D. Fráricisco Delgado y Ayala; de Benicarló á D. Ignacio Lazcano y Guzman; del Corral efe Almaguer, vacante por promócion de D.Manuel Sotillos Montejo á la¡de Rueda, áDon Francisco dé Rivas; de Cehegin á D. Angel Pérez del Busto ;.y para el cor regimiento de. Guadalcanal,, por sal idade.I…</t>
  </si>
  <si>
    <t>Ayala, Joaquín María López de</t>
  </si>
  <si>
    <t>Joaquín María López de Ayala</t>
  </si>
  <si>
    <t>…Francisco Caballero Henrújuezrpara el corregimiento de Requena á D. Miguel Martinez Del gado: para la vara'de Alcalá la Real é D„ Josef Melitcn de Nava*, para la de Villaroblcdó á D. Joaquín María López de Ayala: para la de la Motiila del Palancar y Campillo de Aito Buey á D. Pedro Henrique Montero: para Ja de Navalcarnero á D. Antonio Castejon Hernández ; y para el corregimien to de Chiclana á D. Bartolomé Luis Lobaton y Sánchez. El Rey nuestro Señor se ha servido c…</t>
  </si>
  <si>
    <t>Ayensa, Marcelo de</t>
  </si>
  <si>
    <t>Marcelo de Ayensa</t>
  </si>
  <si>
    <t>…ductor de embaxadores, le ha concedido el Rey la gracia de cruz supernumeraria de la Real y distinguida orden española de Cárlos iii. El Rey nuestro Señor se ha servido conceder á D. Marcelo de Ayensa, barón de Tormoj'e, caballero de la orden de Santiago, y maestrante de Granada, el permiso de poder llevar la Flor de Lis de Francia con que S. M. Cristianísima le ha condecorado por su constante adhesión á la au gusta casa de los Borbones. Enterado e! Rey nu…</t>
  </si>
  <si>
    <t>Ayestáiran, Josef Joaquín</t>
  </si>
  <si>
    <t>Josef Joaquín Ayestáiran</t>
  </si>
  <si>
    <t>…énjumeda * D. Gerónimo Muñoz, D. Sisto Fajardo, D. Ma-„ miel Fernandez 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 Oña, D.. Francisco Antdhio Líbref ; D. Joaquín MuezVD. Juan Ignacio*Cervera, D. Sal…</t>
  </si>
  <si>
    <t>Ayestarán, Juan Ignacio de</t>
  </si>
  <si>
    <t>Juan Ignacio de Ayestarán</t>
  </si>
  <si>
    <t>…ecretario, Escribano de Cámara mas antiguo, y de Gobierno del mi Consejó , se le dé la misma fe y crédito que á su original. Dada en Palacio á 18 de Marzo de 1815.= YO EL REY.= Yo D. Juan Ignacio de Ayestarán, Secretario del Rey nuestro Señor, lo hice escribir por su mandado. = El Duque dei Infantado. = D. Miguel Al fonso Vilagómez. = D. Manuel de Torre$.= D Juan Antonio González Car rillo. = D. Tadeo Gómez. =r Registrada, Aquilino Escudero. =s Teniente de Cancill…</t>
  </si>
  <si>
    <t>1421</t>
  </si>
  <si>
    <t>…tario, Escribano de Cámara mas antiguo y de Gobierno del mi Consejo, se le dé la misma fe y crédito que á su origi nal. Dada en Palacio á 7 de Diciembre de t8i). = YO EL REY. = Yo Don Juan Ignacio de Ayestarán, Secretario del Rey nuestro Señor, la hice escri bir por su mandado.=rEl Duque del Infantado. = D. Tadeo Gómez. = Don Francisco Marín. =±D. Manuel de Torres. = D. Ramón López P¿legrin. = Re gistradas Aquilino Escudero.—Teniente de Canciller mayor, Aquilino Es…</t>
  </si>
  <si>
    <t>Ayllon, Bernardo González</t>
  </si>
  <si>
    <t>Bernardo González Ayllon</t>
  </si>
  <si>
    <t>…a 27 dé Octubre último tuvieron el honor de presentarse á S. M. y A A. y besar su Real mano, á nombre del ilustre ayuntamiento y villa de S. Martin de Valdeiglesias, sus diputados D. Bernardo González Ayllon y D. Josef Rodríguez Maqueda, regidor decano y escribano de su ayunta miento; el primero de ios quales dirigió &gt;á S. M. el discurso siguiente t ,,Señor: la villa de S. Martin de Valdeiglesias, en esta provincia, no sa tisfecha con los sentimientos de lealtad y amor que sus vecino…</t>
  </si>
  <si>
    <t>Aymasmi, PedrÓ</t>
  </si>
  <si>
    <t>PedrÓ Aymasmi</t>
  </si>
  <si>
    <t>…dia dé S. Fernando, . ' En el Real cuerpo de Artillería.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t>
  </si>
  <si>
    <t>Ayolo, Manuel</t>
  </si>
  <si>
    <t>Manuel Ayolo</t>
  </si>
  <si>
    <t>…sef; Majríaí Prieto , Q¿ Fráncisco Cervera &gt; D. Francisco , Cascos, D. Juan Tejadár, DvBasilioBayoni, D.Joaquin Dolz, D. Salvador Arnardo, D. An tonio Marcoletá, D, Josef Gáliano, D. Manuel Ayolo, D. Ignacio Cambil, D. Vicente. Dolz , D. Manuel Fernandez , D. Rafael Montemayor, D. Ga briel Villoría, D, Diego Latorre, D. Pedro Vidal, D. Antonio Rey, D. Pe dro Áhnabai, D. Manuel Lomar, D. Pablo Chamorro , :D, Josef Ckuñer. DvJosefGucrra, D. Juan Sevilla…</t>
  </si>
  <si>
    <t>Ayssa</t>
  </si>
  <si>
    <t>…de León de Ni caragua, en el reino de Góatemata, natural de.Huesca , hijo del teniente coronel Don Juan de Ayssa y Doña Merarda de Aróstegui. Hasta ahora solo han ocurrido los del Sr. Ayssa, y ninguno de los de la Sra. Larraz, lo que tal vez puede consistir en la equivocación padecida de anunciarla como natural de Zamora, siéndolo de Zara goza-. por esta causa, y para nueva publicidad, sé repite este anuncio por Última* vez, haciendo saber á los…</t>
  </si>
  <si>
    <t>Ayssa, Juan de</t>
  </si>
  <si>
    <t>Juan de Ayssa</t>
  </si>
  <si>
    <t>…riaga, y á los del coronel de egército D. Juan de. Ayssa, gobernador que fue de la provincia de León de Ni caragua, en el reino de Góatemata, natural de.Huesca , hijo del teniente coronel Don Juan de Ayssa y Doña Merarda de Aróstegui. Hasta ahora solo han ocurrido los del Sr. Ayssa, y ninguno de los de la Sra. Larraz, lo que tal vez puede consistir en la equivocación padecida de anunciarla como natural de Zamora, siéndolo de Zara goza-. por esta causa, y para nueva publicidad, sé repite e…</t>
  </si>
  <si>
    <t>Aznar, Benito</t>
  </si>
  <si>
    <t>Benito Aznar</t>
  </si>
  <si>
    <t>…uel, se suplica al que sepa de su parádebo, sé sirva avisar lo ei esta corte en la calle de Jacometrezo entre los números 8 yp, quarto principal, preguntando por el sargento mayor D. Benito Aznar.. ,¡ , Cartas familiares del P. Josef Francisco de IsjJa ^jde 1$ compañía de. jesús: ;quatro tomos en 8.°: segunda edición i 60 r^ en pa^ta.c^rMét^dp de encomendarse i Dios, ó sea virtudes de la oración: por el P. Antonio "Francisco Bellati; traduci do del it…</t>
  </si>
  <si>
    <t>Aznarez, José</t>
  </si>
  <si>
    <t>José Aznarez</t>
  </si>
  <si>
    <t>…Sí por sn restitución ál trono'el ay untamiento dé la ciudad de Jaca, en Aragón y por medio de sus diputados los Sres. D; Ramón Ger, del Gonsejo deS.M.en el supremo de la Guerra y D. José Aznarez , pronunciando el discurso si guiente: ' •' l; -i..’ . 0 • rí •' ' a ■ v - -:i ,, Señor: el ayuntamiento antiguo de la -M.-N; L-: y ciudad' de Jaca representado boy ante V. M. pórlL RamonGer y D. José Aznarez, tie ne la dulce satisfacción de congratularse con…</t>
  </si>
  <si>
    <t>Azpeitia, Josef</t>
  </si>
  <si>
    <t>Josef Azpeitia</t>
  </si>
  <si>
    <t>…, qué lugar ocupan en sus respectivos Cuerpos y Oficinas, y qué sueldo gozan.’* El Rey se ha servido nombrar para una canongía, vacante en la cate dral de Segovia por promoción de D. Josef Azpeitia á la iglesia y obispado de Lugo, á D. Andrés Gómez Somorostro, racionero de la iglesia colegial de S. Ildefonso*, para la prestamera de Ragama, diócesis de Avila, que va có por muerte de D. Josef Sanz Negro, á D. Josef de Lucas Ramos: para el beneficio présta…</t>
  </si>
  <si>
    <t>A’Coust</t>
  </si>
  <si>
    <t>…itán Cochrane; el Spartan, de 36, capitán Homby;. el Detiree* de 36 * capitán Wooldridge; el Antelia, de 36, ca pitán Ptoby; el Leven r de..... capitán Bluett; el Perseas %de..... capitán A’Coust, y otros quatro buques menores. Ha llegado de Ostende á Margatte un paquete, que salió el 26,, y por él se ha sabida que el 24 había llegada allí S. M. Luis xvm, acompañado de tres mariscales, y que de un dia á. otro esperaban que llegase también Monsieur. Po…</t>
  </si>
  <si>
    <t>B, Joaquín</t>
  </si>
  <si>
    <t>Joaquín B</t>
  </si>
  <si>
    <t>Gaceta de Madrid n.º 31</t>
  </si>
  <si>
    <t>«o* Gehéíafci eh fcefe los $res. IX Xavier de Castaños y D. Joaquín B.'ake tuvieron parté én tila en concurrencia con el Exército aliado del mando del Capitán General t&gt;. Guillermo Carrer Beresford^ ha tenido i bien S.M. coticeder a tan beneméritas Tropas, como en señal del aprecio que le merecen por lá-conducta y heroyco valor…</t>
  </si>
  <si>
    <t>B, Josef</t>
  </si>
  <si>
    <t>Josef B</t>
  </si>
  <si>
    <t>…, IX Antonio Gayosrí ,. D. Antonio García, D. Víctor Perez, D. Francisco Laborda, D. Antonio Echavarri, I). Josef Valcárcel 'yRosique, D. Josef Gómez Arteche , D. Joséf Gutiérrez, D. Josef B en i tez Cafrípou ,D. Segundo Ulibarri, D. Miguel Párraga, D- Juan Amonio Pereyra, D. Pablo Ortiga Samaniego, D. Joséf Valcárcel y Arias, D. Francisco Dugi y D. Manuel Fontiyerbs. " Es crecido el número de los capitanes, tenientes, subtenientes, sargentos pri…</t>
  </si>
  <si>
    <t>Ba</t>
  </si>
  <si>
    <t>…ct Archiduque i iagúárdiade un oficial y un destacamento. Dífcese que estos presos son Tbibaúdeau, padre é hijo. ' Desdé ayer tarde se han hecho grandes progresos en las obras. El general Ba rba negra nose atreve yaáhacersaiidasperqueno se le deserte la guar ■ .'i nición; - r■■■- ':,r ; Idem irp. i . * Anoche han continuado las obras, y la plaza ha hecho un luego muy terrible, aunque sin efecto alguno. Se cree que serán atacadas inmediatamente la…</t>
  </si>
  <si>
    <t>Baamonde, Juan Cárlos Vales</t>
  </si>
  <si>
    <t>Juan Cárlos Vales Baamonde</t>
  </si>
  <si>
    <t>…de D. Sebastian Pineros Albarran á Don Ildefonso Gómez Calama, cura rector del lugar de Valdefuentes. = La cauongía que ha resultado vacante en la catedral de Tuy por promoción de D. Juan Cárlos Vales Baamonde á la metropolitana de Santiago á D. Joa quín de Arévalo.= La canongía que ha vacado en la catedral de Orense por traslación de D. Matías González á la de Ségovia á D. Domingo Rodríguez. = El medio préstamo de Marchámalo, en la diócesis de Toledo, vacante por…</t>
  </si>
  <si>
    <t>Bacfimann</t>
  </si>
  <si>
    <t>Gaceta de Madrid n.º 107</t>
  </si>
  <si>
    <t>…s que la revistó el Príncipe Federico deHesse, atravesó por el puente de aquella ciudad, en presencia de una multitud inmensa, al compás de una gran música marcial. La brigada del general Bacfimann sigue el mismo camino que ia vanguardia. Lós cuerpos de caballería y de infantería urbana de Hamburgo se formaron para hacer los honores á dichas tropas. La briga da del Coronel Castónier ha llegado hoy á esta ciudad. Todo el cuerpo de egército^se compone de…</t>
  </si>
  <si>
    <t>Bachmann</t>
  </si>
  <si>
    <t>…oe emigran á Alemania. También pasan muchos ingleses que vienen del medio día de Francia. La dieta de los cantones helvéticos ha nombrado gefe de las tropas de I3 confederación al general Bachmann, y al coronel Gady por segundo gefe. Continúan aqui los preparativos militares: los cantones ponen en pie la segunda parte de su contingente; pero no se presentarán en la frontera has ta nueva orden.</t>
  </si>
  <si>
    <t>…jp..,&amp; Maya, b-: ‘ 'ri ; ;En la sesión del 3 se leyeron en la dieta varios partes del comandante del egército, fechos desde 26 de Abril hasta i.° de Mayo. Por ellos consta que el general Bachmann había trasladado en esta última época su cuartel general desde; Berna á Morat; pero el. cuartel-maéstre-general y la intendencia principal ha-; bian quedado en Berna con sus respectivas oficinas. En la noche dei 29 aí 30 del pasado se dio á nuestras tropas en…</t>
  </si>
  <si>
    <t>Bada, Alejo</t>
  </si>
  <si>
    <t>Alejo Bada</t>
  </si>
  <si>
    <t>…ros á los segundos D. Juan de Sierra, D. Estéban Sánchez Martin, D. Agustín Perez de Lérma, D. Gregorio La Bustay p, Gabriel Azpilcueta , D. Josef Alfonso' Pantoja, D, Félix Ramo, D. Alejo Bada y D. Manuel Gómez. Bo res., r . ' ’ . . Ascenso ,á oficiales segundos á los terceros D. Prudencio María Piohai*do,' Po Joaquín Navarro, &gt; i).«Juan /Francisco, Vivanco, D.'Eugenio Hetnaez,* D.Ignacio dePazo^, D. Felipe Heriiahdefc, D. Pedro Valls, D. Manuel Sauz. 4 . *'¿ ,y^P.…</t>
  </si>
  <si>
    <t>Bades-la-Roche</t>
  </si>
  <si>
    <t>Gaceta de Madrid n.º 96</t>
  </si>
  <si>
    <t>…da pn la mañana de aquel dia tíóntra su posición y -éti diversái; columnas cérck de Oberkamberg. Las tro* fortaleza. Dícese que en esta ocasión quedó muerto un general francés] El general Bades-la-Roche fue gravemente herido ; y se hace gran elogio á la caballería de este contingente, qtie Cargó á los cuadros--enemigos con gran denuedo. . -v ■ .... ~ - * ■ . íEl genera!1 barón Frimont refiere élf qué despees de haber forzado los pasos del Jura, did disposici…</t>
  </si>
  <si>
    <t>Baeza, Gregorio</t>
  </si>
  <si>
    <t>Gregorio Baeza</t>
  </si>
  <si>
    <t>…ran; idem de ca zadores á D. Ramón Lorente; idem de fusileros á D, Josef Salazar, D. Ra fael Galdia, D. Jo.ef Tucar, D. Juan Mijares, D. Tomas Agudo, Don Francisco Manuel Alvarez, D. Gregorio Baeza, D. Francisco La-Reguera y D. Vicente Aneses ; subtenientes de cazadores á D. Domingo Miranda y D. Juan Manuel Piedra, y subtenientes de fusileros á D. Juan de la Rosa, D. Julián Conde , D. Josef García, D. Antonio García, D. Francisco Gu tiérrez Miera , D. J…</t>
  </si>
  <si>
    <t>Baeza, Josef</t>
  </si>
  <si>
    <t>Josef Baeza</t>
  </si>
  <si>
    <t>…ef Arcos, Don Fermín Moza, DPAnjgel Villa, JL Florentino García., D. Rafael Alcalde, D, Ambrosio Doz, D. Vicente Guisber, D. Mariano Rodríguez, D. Eusebio Gavilanes, D. Juan Polo, D. Josef Baeza, D; Josef Dávila , D. Francis co Frades., D* Josef Urbiña, D. Antoiiio Valdivieso, D. Juan Sánchez , Don Manuel Laso, D. Domingo Cepeda, D. Mariano Mayor&gt; D*5Juan Bastos,</t>
  </si>
  <si>
    <t>Baeza, María Teresa</t>
  </si>
  <si>
    <t>María Teresa Baeza</t>
  </si>
  <si>
    <t>…y perentorio&gt;dex2Ó dias, comparezca ante S. S. y citada escriba-; ní^ .el pugeto ó sugetos que tengan en su poder los, autos de testamentaría de D. Mar' nuél Andrés Gjl.Rupsgas y Doña María Teresa Baeza, su consorte, vecinos que fue-¡ ron detesta ;cbr|e, qup se cptnpp.uian,de/?a5 piezas, y se Jialla,ban e^ el estudio fiel. t'-lo -- -brotaron con .motivo déI (qcendio ocür-¡ habitaba, ó él que supiese del parade-. ^ ^ ^ ra que en víst^ délo que resulté se pné-…</t>
  </si>
  <si>
    <t>Baeza, Mariano</t>
  </si>
  <si>
    <t>Mariano Baeza</t>
  </si>
  <si>
    <t>…D. Juan Larrua , D. .Tomas Montero ,'D. Antonio Enfy, D. Josef Aguilar, 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t>
  </si>
  <si>
    <t>Bahámónde, Antonio Clemente</t>
  </si>
  <si>
    <t>Antonio Clemente Bahámónde</t>
  </si>
  <si>
    <t>…iantes de Toledo,: se hallaba en 1a, Isla de León, en cuyo tíem|&gt;ó se deshizo este cuerpo, y desde.entonces ño se ha Vuelto á saber dé, él. Se suplica al que sepa de él lo avise á D. Antonio Clemente Bahámónde en Árahda de Duero. 1 Se desea saber de D. Lorenzo Chasco, natural de está corte,’ adonde se retiró Hace Un año desde la Ivla de Leóní*1 La persona que supiere de él‘ se servirá avisarlo en esta córte á D* Ventura Garclntórená en la callé del Lobo, núm. 16, q…</t>
  </si>
  <si>
    <t>Baiewsky</t>
  </si>
  <si>
    <t>…artel general pasa por Francfort, Hanau, Fulda y Leipsick para estar siempre cerca del Emperador Alejandro, que piensa seguir el camino de Francfort, Weimar, Leipsick y Berlín. El general Baiewsky manda esta columna en ausencia del feld-mariscal Barclay deTolly. La segunda columna pasará por Darmstadt, Worth, Bamberg, la Saxonia &amp;c.: la tercera por Darmstadt, Bol^enhausen , Aschañbmburgo, Wurtzburgo &amp;c.; y la cuarta por Waldthuren, Wiudsheim , Nurember…</t>
  </si>
  <si>
    <t>Baiíin, Pedro</t>
  </si>
  <si>
    <t>Pedro Baiíin</t>
  </si>
  <si>
    <t>…ente al intehtó;ry he resuelto que durante vuestra ausencia" se encargué interinamente de! despachó de ibs^ niego* icios de- mi secretaría/ de. la .Guerra’f el ¡ mariscal de campo D. Pedro Baiíin. Tendreisio entendido par» vuestra satisfacción , y á fin de que lo comuniquéis</t>
  </si>
  <si>
    <t>Baileras, Estéban</t>
  </si>
  <si>
    <t>Estéban Baileras</t>
  </si>
  <si>
    <t>Gaceta de Madrid n.º 118</t>
  </si>
  <si>
    <t>…n la Real audiencia de Sevilla, y juez de lo civil en la plaza de Cádiz, se cita, llama y emplaza á qualesquiéra personas que se consideren con dere cho contra la testamentaría de D. Estéban Baileras, vecino y del comercio que fue de aquella ciudad, para que comparezcan cpn documentos^legítimos.y fehacientes á "deducir él que les asista por sü juzgada y 'escribanía de D.- B¿TnardÓf de la Gallé en el preciso plazo de un año-, contado desde el p del corrien…</t>
  </si>
  <si>
    <t>Balado, Juan</t>
  </si>
  <si>
    <t>Juan Balado</t>
  </si>
  <si>
    <t>…de las leyes; de biendo observar sus conductas los respectivos gefes de los puntos á que han sido destinados, quienes darán cuenta al ministerio de cuanto ocurra en el particular. D. Juan Balado, músico de la Real capilla, natural y vecino de esta corte, puesto en libertad, con prevención de que no vuelva á juntarse, co mo casualmente lo hizo, con personas enemigas de S. M., pues de verificar lo estará sujeto á las penas establecidas para esta clase…</t>
  </si>
  <si>
    <t>Balaguer, Josef Antonio</t>
  </si>
  <si>
    <t>Josef Antonio Balaguer</t>
  </si>
  <si>
    <t>…lesia catedral dé'Or ihúe* la ,por muerte de D. Matías Perez á I&gt;. Antonio Mana Queypode Llñno, ca nónigo de la de Oviedo ; y la que ha vacado en fct misma catedral por muer te de D. Josef Antonio Balaguer á D. Pedro Espinosa , canónigo ¡ de' la der Huesca. = La canongía vacante en la catedral de Huesea por fallecimiento de D. Pascual López á D. Ramón Alonso Ortega, cura de lá parroquial de Val depeñas de la Sierra, arzobispado de Toledo.=La canongía que ha res…</t>
  </si>
  <si>
    <t>Balan, Ignacio</t>
  </si>
  <si>
    <t>Ignacio Balan</t>
  </si>
  <si>
    <t>645</t>
  </si>
  <si>
    <t>…mera división de Castilla la Vieja al mariscal de campo D. Fernando ButYon,'Co'n el sueldo correspondiente á subclase eñ cuartel: para la segunda división,'de Castilla da Nuevf al brigadier D. Ignacio Balan zat, coronel agre gado al regimiento de infantería 2.° d¿ la Princesa, con el sueldo qué actual-* mente goza: pará la tercera división de Andalucía al brigadier D. Andrés de Mendoza, teniente de Rey de la plaza de Ceuta, con el sueldo de 2500 rs. de vñ. mensu…</t>
  </si>
  <si>
    <t>Balay, Manuel</t>
  </si>
  <si>
    <t>Manuel Balay</t>
  </si>
  <si>
    <t>…ncisco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t>
  </si>
  <si>
    <t>Balbastro, Pablo</t>
  </si>
  <si>
    <t>Pablo Balbastro</t>
  </si>
  <si>
    <t>…an, teniente de la compañía de granaderos del 2° batallón del regimiento de Avila., que cayó pri sionero en el sitio de la ciudad de Valencia: el que lo sepa se servirá avisarlo á Don Pablo Balbastro, presbí tero, beneficiado de la parroquia de S. x\.ndrcs de dhncíl. Correspondencia auténtica de la corte de Roma con la Francia desde la inva sión del estado eclesiástico hasta el transporte del Soberano Pontífice Pió vil: con tiene las instrucciones que dió…</t>
  </si>
  <si>
    <t>Balda, Juan Francisco de</t>
  </si>
  <si>
    <t>Juan Francisco de Balda</t>
  </si>
  <si>
    <t>…’M. nombrar al P. Fr. Higinio -Duran, mercenario calzado ; y para la ración vacante én la catedral de Durango en Nueva-España por fallecimiento de D. Nicolás de Villanueva ai Dr. D. Juan Francisco de Balda, cura propio de la villa del Nombre de Dios, en consi deración á sus méritos y servicios. El Rey nuestro Señor en atención al distinguido mérito, carrera literajia y demas cualidades que adornan al P. Fr. Ramón del B. Miguel de los Santos, redentor generar de…</t>
  </si>
  <si>
    <t>Baldasano, Josef</t>
  </si>
  <si>
    <t>Josef Baldasano</t>
  </si>
  <si>
    <t>Gaceta de Madrid n.º 158</t>
  </si>
  <si>
    <t>…ez de igual clase D. Josef Villavicencio, el teniente de fragata D. Joaquín Vial, los alféreces de navio D. Ramo% Gil, D. Onorio Sierra y D. Justo Pasalagua, el alférez de fragata D. Josef Baldasano, el graduado, práctico mayor del puerto D* Manuel Hornigo, y los pilotos habilitados de oficiales D. Simón Julián y D. Francisco Morales, los cuales recomiendo á V. S. con particular empeño y eficacia, para que se sirva elevar al conocimiento de la superiorid…</t>
  </si>
  <si>
    <t>Baldrích-y-DeJdarti, Pablo</t>
  </si>
  <si>
    <t>Pablo Baldrích-y-DeJdarti</t>
  </si>
  <si>
    <t>Gaceta de Madrid n.º 160</t>
  </si>
  <si>
    <t>…ur^ gara la. de la viila-de Axpe.;~á. D.Josef, RipolLparala de-CieviJlente., -y-«á--Doa Siipeon Mayon pará^a.deíhíáViárrés.. .vad [v. r,.[ n'd .1.^4 .í/tvúi. ,&lt;A it.v»ú¿ íl -b; ob D. Pablo Baldrích-y-DeJdarti y D. Aniceto Baldrídk .y-VWianay padre é hijo, vecinos de la villiCde Vallaen Cataluña y han ofrecido á S. M. el do-</t>
  </si>
  <si>
    <t>Ballesteros, Diego</t>
  </si>
  <si>
    <t>Diego Ballesteros</t>
  </si>
  <si>
    <t>, 233 capitán de infantería de Buencs-Ayres, y á D. Josef de Landavese, te niente coronel del cuerpo de la Concordia de la Paz en el Perú; y de ca pitán á D. Jorge Cámara, D. Diego Ballesteros y D. Juan Gerónimo Suarez , los dos primeros tenientes de infantería de Buenos- Ayres , y el último de blandengues de Montevideo. Asimismo se ha servido S, M. nombrar en el regimiento de infantería el Real de Lima, existente en el Perú, con la antigüedad de 18 de Mayo de 814; capitane…</t>
  </si>
  <si>
    <t>Ballesteros, Francisco</t>
  </si>
  <si>
    <t>Francisco Ballesteros</t>
  </si>
  <si>
    <t>…plaza remitirán sus memoriales á la justicia y ayuntamiento de la ex presada villa; baxo la inteligencia que se ha de proveer en todo ei mes de Mayo. Retratos á caballo del Excmo. Sr. D. Francisco Ballesteros, D. Francisco. Ro.yiraj D. Francisco Tomas de Longa y D. Josef Manso, en medio pliego. Se.halla rán con Jos nueve publicados anteriormente en el almacén de estampas* calle-M4yor, frente 4 la casa del conde de Ofiate, 4 8 rs. iluminados y 4 4 en negro. [[.. No…</t>
  </si>
  <si>
    <t>Ballesteros, Msteo</t>
  </si>
  <si>
    <t>Msteo Ballesteros</t>
  </si>
  <si>
    <t>…ación de esta propia igle sia , vacante por muerte de D. Rafael del Mármol, á D. Josef Larena. El Rey nuestro Señor se ha dignado conceder grado de coronel de exército al teniente coronel D. Msteo Ballesteros, comandante del tercer batallón del regimiento infantería de Buenos-Ay res, agregado á la expedi ción del Rio de la Plata: idem de teniente coronel á D. Basilio da Irigoyen, sargento mayor agregado al depósito de Ultramar, á D. Fermín de la Vega,</t>
  </si>
  <si>
    <t>Balseyro, Isidro</t>
  </si>
  <si>
    <t>Isidro Balseyro</t>
  </si>
  <si>
    <t>…: pará lajdeT alcalde mayor de Viilafranca del Vierzo á D. Melchor Díaz Valcárciel Tpara la de Agui*? lar de Cimpoo á D. Pedro de Tagle Velarde; y para el corregimiento de Lerma á D. Isidro Balseyro. D. Antonio Alvarez Youtes, cura propio de la paroquial de Pascualgrande^ obispado de Avila, desea saber el paradero de Pedro Martin Gutiérrez, que fue soldado en el de milicias de esta capital, y pasando á la defensa de Zaragoza salió, prisionero de allí par…</t>
  </si>
  <si>
    <t>Balta</t>
  </si>
  <si>
    <t>…deCárlos ni, decano del Real y supre mo consejo y cámara de S. M., str presidente, y de los ganaderos é individuos del concejo D. Fermín Fernandez de la Cuesta, D. Joaquín Perez , D. Balta sar Carrillo, D. Pedro Marcelino Blanco, D. Gregorio Moreno, D. Manuel Frutos , D. Cristóbal Hernández, D. Vicente Gil AIbert,L&gt;. Josef Ramírez y D.,Bernardo González Alvarez, su procurador general. Igualmente el 30 del mismo mes se presentaron también á S. M…</t>
  </si>
  <si>
    <t>Baltasar</t>
  </si>
  <si>
    <t>…lcalde de casa y corte, refrendada de D. Luis López de Castro, escribano de provincia y comisiones, i instancia de los, señores Marqueses de Sta. Coloma se cita, llama y emplaza á D. Baltasar de la Igle sia , Joaquín Martinez, Doña Marta Gira! y D. Francisco Forvjdes, sus herede ros ó sucesores, para que en el preciso término de 20 dias, contados desdé el en' que se anuncie én los periódicos, comparezcan en el juzgado de su secretaria y es cribaní…</t>
  </si>
  <si>
    <t>Banchiere, Josef</t>
  </si>
  <si>
    <t>Josef Banchiere</t>
  </si>
  <si>
    <t>Gaceta de Madrid n.º 85</t>
  </si>
  <si>
    <t>…emperadores, no ha habido nadie que no vertiese lágrimas de regocijo 3á las que correspon dían con igual demostración las personas de la comitiva de S. S. En la casa de campo del Sr. Josef Banchiere fue recibido S. S. por los cardenales di Píetro, Somagalia, y por los ilustres prelados que componían la suprema junta de Estado, en donde se sirvió un refresco abundante; des pués del cual subió S. S. en la carroza de la corte, y acompañado de los dos irefer…</t>
  </si>
  <si>
    <t>Bandron, Diego Meñdez</t>
  </si>
  <si>
    <t>Diego Meñdez Bandron</t>
  </si>
  <si>
    <t>…allero ;del hábito de Santiago, y conseje-* ro de la Suprema, en 1692: patronos-el tixemo. Sr. conde,de forres y el P. prepó sito de S. Cayetano. _ Memoria de.Bandron: su fundador D. Diego Meñdez Bandron; quedó aneja ál mayorazgo que dejó á su hijo D. Antonio en 1 630: patronos los señores curas dé S¿ Gines y Santiago de Madrid. . . La conversación segunda sobre la utilidad política del clero y de sus rentas, que con Itf primera que ya está publicada, forma u…</t>
  </si>
  <si>
    <t>Baños, Pedro Martínez de</t>
  </si>
  <si>
    <t>Pedro Martínez de Baños</t>
  </si>
  <si>
    <t>…as, diócesis de Cuenca, vacante por muerte den D. Josef Trúpita, á D. Antonio Martínez Viaña. El Rey se ha servido nombrar para el corregimiento de letras de la ciu dad de Borja á D. Pedro Martínez de Baños: para las dos alcaldías mayo res de ia ciud¿d de Valencia á D. Josef Fernandez Quevedo y D. Ignacio Guseme: para la de la ciudad de S. Felipe de Xátiva á D. Josef Muñoz de la Hinojosa : para la de la villa de Callera á D. Fermín Sánchez y Ferriz: Íaraabernasl…</t>
  </si>
  <si>
    <t>Bañuelos, Ramón</t>
  </si>
  <si>
    <t>Ramón Bañuelos</t>
  </si>
  <si>
    <t>…erónimo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 D. Francisco Alameda, D.. Tomas Gómez Qui janó, Don Joaquín Vial ,’D. Francisco Sirera, D. Antonio dé la Rosa y D. Juan Bermuy.' ^ Ascenso…</t>
  </si>
  <si>
    <t>Bañuelos, Siiñpií</t>
  </si>
  <si>
    <t>Siiñpií Bañuelos</t>
  </si>
  <si>
    <t>…e^ y D. Dámaso Ghamoohln: á alféreces vivos y efectivos de caballería, Cón süéldó de talesjy grado de tenientes, á los guardias D. Jiian Soto , D/Vicente Hore , D. Estéban Sarrie, D. Siiñpií Bañuelos , D. Juan de la Cruz González , D. Antonio Gárcía Prado, D/ Ju lián Villacampa y D. Manuel Ubi ría : grado de tenientes á los guardias Dori Juan Nepbmuceno Roldan, D. Laureano Melena, D. Josef Sandoval, t). An&gt; • tonio Megía, É). • Eugenio Ábergoza , D. Franc…</t>
  </si>
  <si>
    <t>Baqueriza, Diego'González</t>
  </si>
  <si>
    <t>Diego'González Baqueriza</t>
  </si>
  <si>
    <t>…■■ ■ . i ■ ' • ■ . ■ • •. ■ ■ El Rey se ha servido nombrar para una canongía de la iglesia cafédraí dé Mondó nedp , vacante por fallecimiento de D. Franciscó dé Paula Serra no, a D. Diego'González Baqueriza , Con dimisión de la'canóngía.que ob-| tiene en la colegiata «dé la Coruna, en el arzobispado de Santiago; y para esta resulta á D. Francisco Aranda y Lisspn, con dimisión deí beneficio de Barriofalda que obtiene en la villa de Cisneros: para la dignidad de M…</t>
  </si>
  <si>
    <t>Bar, Julián Francisco de</t>
  </si>
  <si>
    <t>Julián Francisco de Bar</t>
  </si>
  <si>
    <t>…l , con retención'del carato qne obtiene en, la villa de Yebra, diócesis de Toledo: para otro benefició residencial de la parroquia de S. Antolin de Murcia , vacante por muerte de D. Julián Francisco de Bar* vtichi, y el préstamo de Saciñas de abaxo, que lo está: por haber fallecido igualmente D; Bartolomé López ,á D. Diego Martines de Zafra : para otro beneficio servidero de la iglesia parroquial de S. Ildefonso de Jaén ¿vacante por mberte de D. Estéban Barreda…</t>
  </si>
  <si>
    <t>Bar, Manuel</t>
  </si>
  <si>
    <t>Manuel Bar</t>
  </si>
  <si>
    <t>…ntp del- Corro, Di Antonio Roso, D. Juan Robion, I&gt;. Josef Car rabedo, D. Francisco: del Moyo, D. Josef del Rio, D. Domin go Monduiña , D. Manuel Diaz Herrera, D. Josef del Calvo, D. Manuel Bar rientes; D. Juan Robles , D. Fráncisco de los Hoyos, D. Gerónimo Fuen-?, mayor, D. Juan Becerra, D. Bernardo Tacón, D. Francisco Boneo, D. Jo sef Zorrilla, D. Santiago Regañón, D. Josef Maestre, D. Josef Olaeta■, Don Andrés Pitadaveyga, D. Ramón Bañuelos, -D.…</t>
  </si>
  <si>
    <t>Bar-r</t>
  </si>
  <si>
    <t>…l Sena inferior, Eura, Sena-y-Oisa, en la orilla derecha del Sena, Lis, Norte, Sena y Mame, Somma, Paso de Calés y Oisa 4.0 Egército ruso: Melun, cuartel general del feíd-mariscal conde Bar-r</t>
  </si>
  <si>
    <t>Baradat, Mauricio</t>
  </si>
  <si>
    <t>Mauricio Baradat</t>
  </si>
  <si>
    <t>…a, agente fiscal del Supremo Consejo de Hacienda, del gremio y claustro de |a misma universidad; el Dr. D. Josef Saiz de Rozas, presbítero, y del de la universidad de Osma; el Dr. D. Mauricio Baradat, del de la de Salamanca, y abogado de los Rea les Consejos; el Lie. D. Francisco de Sales Hernández de A riza, abogado, y teniente del Real cuerpo de Zapadores; el Lie. D. Juan García de Olias, abogado de los Reales Consejos, y D. Joaquín del Castillo, obtuvo…</t>
  </si>
  <si>
    <t>Baraorlf</t>
  </si>
  <si>
    <t>…el mando de este cuerpo, aunque solo forma una tercera parte del que antes tuvo á sus órdenes. El resto del mismo cuerpo permanecerá reuni do en el Holstein, y tendrá su mando el general Baraorlf, á las órdenes del Príncipe. S. A. lleva á Francia la mayor parte de su estado mayor. AUSTRIA. Vierta 2$ de Noviembre. Se había dicho que el cuerpo diplomático iría á Milán con el objete de residir allí mientras permaneciese la corte imperial ; pero ya se sab…</t>
  </si>
  <si>
    <t>Barba, Manuel Antonio</t>
  </si>
  <si>
    <t>Manuel Antonio Barba</t>
  </si>
  <si>
    <t>…edro Tagle Velarde; para el de Pruna á D. Josef María Moscoso y Anaya .* para eTde Zahara á D. Antonio Villareal; para el de ' Espera á D. Rafael Josef Castilla: para el de Hita á D. Manuel Antonio Barba: para el de Castrogeriz á D. Juan Pedro Navarro: para el de Almon-</t>
  </si>
  <si>
    <t>Barbacho, Lorenzo Josef</t>
  </si>
  <si>
    <t>Lorenzo Josef Barbacho</t>
  </si>
  <si>
    <t>…tecimiento tan fausto, determinó dirigir á los pies de él uir tes timonio de su lealtad , y á este efecto el dia 5 del corriente los individuos de él D. Juan Rodríguez "Valcárcei, D. Lorenzo Josef Barbacho, D. Leandro Josef Gutiérrez, D. Manuel Gonzalc-z, D. Esteban Iglesias, D. Dionisio Melendez y D. Rafael Santiso firmaron un escrito; en eicual, al mismo tiimpO' que felicitan á S. M. por so restitución al trono, esponen los servidos de un donativo, entre otro…</t>
  </si>
  <si>
    <t>Barbajosa, Juan Luis</t>
  </si>
  <si>
    <t>Juan Luis Barbajosa</t>
  </si>
  <si>
    <t>…rroco de la villa de Almaluez en la misma diócesis: para otra canongía de la misma catedral, que resultará vacante por promoción de D. Andrés Esteban Gómez al obispado de Ceuta, á D. Juan Luis Barbajosa: para otra de la catedral de León, va cante por muerte de D. Manuel Anselmo Enderica, á D. Francisco Sainz de Escalona, con dimisión del arcedianato de Medinaceli que obtiene en la de Sigüenza ; y para esta resulta á D. Melchor de Valdivielso. D. Pedro Antoni…</t>
  </si>
  <si>
    <t>Barbanegra</t>
  </si>
  <si>
    <t>…imo por la parte de Neudosf. En la noche del 25 al 26 los suizos del Huninga chico han muerto á sie te soldados y un sargento p ri mero i franceses. El gobernador de Huninga es el general Barbanegra, quien ha declarado que destruirá la ciudad deBasileá aí nfenor preparativo que vea hacer para un sitio ó bombardeo de su plaza. PAISES-BAJOS-UNIDOS. Brusélas 4 de Agosto. Está pasando por Flándes para incorporarse con el egército del Duque de Welíington un c…</t>
  </si>
  <si>
    <t>…/SUIZA,- \ ' 7 7 Berna 79 de Agosto* ORDEN DEL DIA. ,, Ayer empezó el sitio de Huninga por las tropas de las potencias alia- * das á las órdenes de S. A. I. el Archiduque Juan. El general Barbanegra, co mandante de la fortaleza, no obedece ni á su Soberano el Rey de Francia ni á ninguna otra autoridad legítima ; por consiguiente él y su guarnición deben ser considerados desde este día como enemigos de todas las naciones, y en particular de los suizos, po…</t>
  </si>
  <si>
    <t>…y Mr. de Stockmayer, general de brigada al servicio de S. M. el Rey de|Wurfém%rgVcorbnel déf un regimiento de infantería ligera, gran ¡crüz de la ^roen-civil &amp;c.; y en nombre del barón Barbanegra, mariscal de eámpo de S. M. el Rey de Francia, caballero de S. Luis &amp;c., el marques de Mecuson, comandante de ingenieros, y Mr. Schneider, capitán de artillería; unos y otros comisionados con plenos poderes de los señores generales arri ba nombrados, se han c…</t>
  </si>
  <si>
    <t>1146</t>
  </si>
  <si>
    <t>…asegura que se dirigirán á Berlín, y de allí pasará el Emperador de Rusia á Varsovia para coronarse Rey de Polonia. Según noticias de Basilea ha sido arrestado cerca de Huninga el general Barbanegra. Se atribuye esta prisión al descubrimiento que se dice haberse hecho en Huninga de un depósito considerable de armas y municiones que habra ocultado á los austríacos. El mayor ruso.Mironoff, que hirió mortalmente en Roterdam al cónsul general de la misma nac…</t>
  </si>
  <si>
    <t>Barbé-Marbois</t>
  </si>
  <si>
    <t>…donald, duque de Tarento , par de Francia ; Mr. de la Luxerne, antiguo obispo de Langres, par de Francia-; el conde Garnier,~ par de Francia; el duque de Levy, par de Francia ; el conde Barbé-Marbois, par de Francia; el conde Fontanes, par de Francia; el conde de ChóiseulGouffier, par de Francia; el conde de Lally-Tollendal, par de Francia; el vizconde de Chateaubriant, par de Francia ; el barón Anglés; Mr. Bourienne, y el conde Alexis de Noailles. 6.° El…</t>
  </si>
  <si>
    <t>Barbinegra</t>
  </si>
  <si>
    <t>…tidos-adjudicados á Jos cantones de Berna, Basilea y Neufchatel. Idem 12. Al descanso que gozábamos hace algunos días, han sucedido las mas vivas inquietudes. Anoche nos intimó el.general Barbinegra que si no se le envia ba hóy antes deh medio día la contribución pedida, mandaría inmediatamente bombardear la ciudad. A está hora (las 10 de la mañana) están sobre las ar mas las tropas de la guarnición , y esperamos algún acontecimiento.</t>
  </si>
  <si>
    <t>Barbou</t>
  </si>
  <si>
    <t>…l día 10-se embarco en Boloña «1 duque de Orleans con destino á: In glaterra , á bordo del bergantín Duque de Angulema, y al dia .siguiente sé hizo á la vela. ' ” ‘ -- El teniente general Barbou , comandante de la décimatercia división mi^T litar en Rennes , publicó ef i 5 una orden relativa á licenciar los! cuerpos de voluntarios Reales', y una proclama escitando á los -habitantes de aquella división’ á vivir en buena armonía con los militares del s…</t>
  </si>
  <si>
    <t>Barboza, Francisco Vilela</t>
  </si>
  <si>
    <t>Francisco Vilela Barboza</t>
  </si>
  <si>
    <t>…ardiente y construcción délos mejores aíambiques, por el Sr. Antonio de Araujo Travássos: 3.a sobre la perfección de los elementos de geometría,ordenados según los deBezout,por el Sr. Francisco Vilela Barboza; y 4.a la ^recapitulación histórica de los tra bajos del instituto de*la vacunación de la academia en su tercer año, por el Sr. Francisco Manuel Trigozo. También se dió cuenta de las obras nueva mente publicadas, que fueron la i.a parte del tomo 4.0 de la his…</t>
  </si>
  <si>
    <t>Barceló, Rafael</t>
  </si>
  <si>
    <t>Rafael Barceló</t>
  </si>
  <si>
    <t>…ue presentando1 documento que acredite su legitimó derecho, se des en • ■ tregarán.'- - A instancia del curador ad Iitem de los hijos menores que han quedado por fa llecimiento de D. Rafael Barceló , y en virtud de providencia del Sr. D. Josef Gar cía de la Torre , del cóñséjb de S. M., su alcalde de casa f córte . refrendada de Don C4t1os Rodríguez ;de'Moya, fcseribáno de provincia y‘comisiones, se eirá, llama y emplaza á todos los que se crean ser;aer…</t>
  </si>
  <si>
    <t>Barcelona, Juanfrancisco Masdeunatural de</t>
  </si>
  <si>
    <t>Juanfrancisco Masdeunatural de Barcelona</t>
  </si>
  <si>
    <t>…os en 8.a Se hallarán eñ laflibrería,de Martinf calle de la Cruz^iy en su almacén , calle ancha de Majaderitos, núms, Ó y;y.. y u. • ■&gt;! / ” ".... v ^ Carrtas del- célebre jesuíta D. Juanfrancisco Masdeunatural de Barcelona, i un. republicano romano acerca del detestable juramento ¿de 1^$ republicanos france» yo odio d la monarquía, ó ;bien: yo juro odió ai gobierno de los Reyes, Obra iné-dita que ofrece aí público español un amigo del autor ; un tomo en 8.° Se vende ear lalibre…</t>
  </si>
  <si>
    <t>Barcena, Isidro</t>
  </si>
  <si>
    <t>Isidro Barcena</t>
  </si>
  <si>
    <t>Gaceta de Madrid n.º 143</t>
  </si>
  <si>
    <t>1306</t>
  </si>
  <si>
    <t>…n de los demás que coacurran. , _ ; En la insigne iglesia colegial de la villa de Lerma sé halla vacante una capellar nía de numero, con cargo.de enseñar gramática, por ascenso de D. Isidro Barcena á una ración de la misma: es congrua suficiente por sus frutos y distribuciones para ordenarse el que la obtenga," y tiene asignados nuevamente por la villa y tierra loo ducados anuales y otros emolumentos, que ascenderán á 400. Los opositores han de ser pres…</t>
  </si>
  <si>
    <t>Barcena, Manuel' del Sobral y</t>
  </si>
  <si>
    <t>Manuel' del Sobral y Barcena</t>
  </si>
  <si>
    <t>…as operaciones de los enemigosf para po derles oponer la resistencia correspondiente. A este efecto el primer Cornejo de Regencia, satisfecho de la lealtad y luces del presbítero 'D. Manuel' del Sobral y Barcena, teólogo, consultor y examinador de la Nunciatura, na tural de Goatemala, en el reino de Nueva-España^, y vecino de Puerto Real,</t>
  </si>
  <si>
    <t>Barcia</t>
  </si>
  <si>
    <t>…asta, ahora con su limitadísima guarnición francesa y su guardia urbana;: y en sus in rn.ediaciptfesA.se halla de observación un cuer po de egdrcito, ruso.. El cuartel general del mariscal Barcia! de Tolli va. á trasladarse A Melun. - . , Parece que éij el depíaf^ánierftO. del. Má^iíe nó&gt;‘1qU!bdatánkmás,^itó unos 20© hqmbres, aunque todavía es; mucho, este númerorespectcA del -ápuro actual de subsistencias \ y ^iiaMpáípnerittf^dé. fétrtáges* Ante$*ae…</t>
  </si>
  <si>
    <t>Barciterrechea, Juan Josef de</t>
  </si>
  <si>
    <t>Juan Josef de Barciterrechea</t>
  </si>
  <si>
    <t>…D. Santiago Usoz y Mozzi, D. Blas Manuel de Loya, Don osef Vicente de Barrenechea, D. Simón de León Santos, D. Josef Escarano, Í). Francisco Hurtado de Mendoza , D. Pablo Ibañez , D. Juan Josef de Barciterrechea, D. Juan Quintana, el general Roche y D; Josef Pando. a Por la Mayordomía, mayor. ; j , i Llaves de gentileshombres de cámara con exercicio' al marques de Malpica,' al duque de San Fernando , al conde de Santa Colonia, al marquéis de Alcañices, al marques del…</t>
  </si>
  <si>
    <t>Barclay</t>
  </si>
  <si>
    <t>…que poner* otro egército en campaña en el Rhin de 300© hombres. —. El emperador de Rusia ha resuelto poner en acción la mayor parte de sus .fuerzas, y tiene ya. á las órdenes del. general Barclay de' 1 olljr un egército - tan brillante, que' nunca se ha visto otro igual ; su;fuerza consiste en 2215®'bbmfeyesy yiComO han agregado á él maúchós voluntarios se Hallará completo ái pesáride^ilás ba jas i de los enfermos': este egército está én marcha para e…</t>
  </si>
  <si>
    <t>1076</t>
  </si>
  <si>
    <t>…nacional. Poco después de su llegada pasó al cuartel general del egér cito ruso que está ajli hace algunos meses , y comió en el: palacio- de VauxlePenil, donde está; alojado, el mariscal Barclay de. Tolly. Se diqe, que los . rusos saldrán de allí dentro dé ocho dias* Se asegura que los Soberanos; aliados saldrán de Parisí áj mediados de Se tiembre, y que se dirigirán por Meaux¡á Vertus, enGhampaña, donde pasa rán revista al egército ruso; que está- a…</t>
  </si>
  <si>
    <t>…para estar siempre cerca del Emperador Alejandro, que piensa seguir el camino de Francfort, Weimar, Leipsick y Berlín. El general Baiewsky manda esta columna en ausencia del feld-mariscal Barclay deTolly. La segunda columna pasará por Darmstadt, Worth, Bamberg, la Saxonia &amp;c.: la tercera por Darmstadt, Bol^enhausen , Aschañbmburgo, Wurtzburgo &amp;c.; y la cuarta por Waldthuren, Wiudsheim , Nuremberg &amp;c. SUIZA. JBasile a jp de Octubre. Se continúa minando…</t>
  </si>
  <si>
    <t>Barco, Agustín del</t>
  </si>
  <si>
    <t>Agustín del Barco</t>
  </si>
  <si>
    <t>…Joaquín Aguado , Bou Ramón Palacio, D. Josef Meneses , D. Antonio Riosoto , 0. Manuel Monde* toro, D. Manuel Crespa, D. Luis María Sarasti, D. Tomas Orive, 0. Ma« jnuel Cayaleri , D. Agustín del Barco, D. Francisco Andrada, D. Juan Ltí« »ás,D. Joaquín ALvarez Maldbnado, 0. Rodrigo Sánchez Airona, D. RaU* hiel Arango, D. Lean. Grl de Palacio, D. Joaquín Villaba, 0. Antonia ¡Sén quera, 0. Manuel Zacates, D. Pedro de la Llave, 0. Josef Mariano dél Puk ar, D.…</t>
  </si>
  <si>
    <t>Barco, Manuel</t>
  </si>
  <si>
    <t>Manuel Barco</t>
  </si>
  <si>
    <t>1406</t>
  </si>
  <si>
    <t>…tencia ó fallecimiento desde aquella época, las personas que las tengan se servirán comunicarlas en el lu gar de Recuerda, de dicha provincia, á Agustín Berrojo, ó en esta corte á.Don Manuel Barco, en su librería carrera de S. Gerónimo. Se desea saber el paradero de D. Ramón Casadevilla, oficial que (ue del egérci to de Cataluña etTla guerra de 1794 * para comunicarle asuntos que le interesan. Los que lo sepan tendrán la bondad de participarlo en Madri…</t>
  </si>
  <si>
    <t>Barnet</t>
  </si>
  <si>
    <t>Wolkonsky; el teniente general conde GaetnitschefTVy el coronel general Jomini. ;‘&gt;rr De Inglaterra. El Duque de Wellington, Príncipe de Waterloo; lord Hillj lora Apsley; el general Barnet; el coronel Hervey&gt; y el coronel Hamilton. : &gt; : Ademas de los dichos se hallaron también el Príncipe Cárlos de Bavíera; el feld-mariscal Príncipe de Wrede, comandante en gefe del egército báva ro; el teniente general Reckberg; el teniente general Raglowich;…</t>
  </si>
  <si>
    <t>Barona, Juan Amonio</t>
  </si>
  <si>
    <t>Juan Amonio Barona</t>
  </si>
  <si>
    <t>…res D. Ramón Ortega,, intenden te corregidor; D. Josef Iñigo de Angulo; D. Francisco Fernandez de Castro, marques de Barrio Lucio, y coronel de caballería de los Reales exérciro:; D. Juan Amonio Barona y D. Josef León de Madrazb , montero de cámara de S. M.; regidores perpetuos D. Jacinto. Cilleruelo , D. Josef Rodrí guez Cermeño, D. Juan? Alonso de Prado, y D. Pío Rníz; diputados del común D. Manuel de Quevedo y D. Manuel Ignacio López; procuradores síndicos generales; El…</t>
  </si>
  <si>
    <t>Barrachina, Joaquín</t>
  </si>
  <si>
    <t>Joaquín Barrachina</t>
  </si>
  <si>
    <t>…lecimiento de D. Antonio Julián de Velasco y Manso, á D. Diego Velazquez. ==Una canongía de la iglesia colegial de S. Felipe de Játiva, que va có por muerte de D. Juan Cabellos, á D. Joaquín Barrachina , capellán de nú mero de la Reai armada: otra canongía vacante en la misma colegiata por</t>
  </si>
  <si>
    <t>Barradas, Josef</t>
  </si>
  <si>
    <t>Josef Barradas</t>
  </si>
  <si>
    <t>…ipáñíá de marina á cargo de su comandante el teniente de fragata Don JOáquih Santaoláya: la de la derecha, compuesta del batallón ligero de San Luis al cargó de su sargentía mayor D. Josef Barradas, piquete de Zamora dí cargo deí teniente D. Josef Miguel, compañías del regimiento i.° Ameri ca noal de t ¿o capitán D. Josef Car na 20, provincial de Fernando vií de Pueclafce D. Fernando Gortázar, 50 artilleros volantes y 30 catallós^d^Qbe^érflróicbn dbs pi…</t>
  </si>
  <si>
    <t>…recibí por el sargento ma yor D. Josef María Travesí, me puse en marcha á las nueve dé la noche des de, la hacienda de Mazaquiahua. Unida que me fue la división del sargentp mayor D. Josef Barradas, marché desde dicha hora en el mejor ordenya pesar de una cruda noche de frió, viento y agua, á las seis de la mañana me hallaba sobre la puerta de Acopinalco; y creyendo que los cerros que la forman, que estaban fortificados, pudieran ser defendidos, dispuse…</t>
  </si>
  <si>
    <t>Barragan, Antonio de Pineda y</t>
  </si>
  <si>
    <t>Antonio de Pineda y Barragan</t>
  </si>
  <si>
    <t>…estos pre mios se dirigirán hasta el 15 de Mayo de este año (término perentorio ) a! individuo de número de dicho Real cuerpo, y su secretario perpetuo por S. M. (que.Dios guarde) D. Antonio de Pineda y Barragan; y para qne.es-, tasisnemorias y trabajos puedan ser juzgados coa imparcialidad , deberán sus autores omitir en ellas sus nombres, que remitirán con expresión de;su do micilio en papel separado y cerrado, y en cuya cubierta pondrán el mote, epígrafe o leyenda…</t>
  </si>
  <si>
    <t>Barreda, Antonio</t>
  </si>
  <si>
    <t>Antonio Barreda</t>
  </si>
  <si>
    <t>…n, alcalde de Huantá , y el cura de Loricocha D. Eduardo de la Piedra, quienes los reunieron y trajeron á! su costa á :esta ciudad, en donde están á sueldo y al mando del teniente coronel D. Antonio Barreda, sin que debamos omitir el mérito del Dr. D. Manuel Navarro, que entró al frente de sus feligreses 4e Huamanguilla. El cura de Quinhua nos ofrece algunos de sá doctrina, pues los demas están con los insurgentes* repitiendo igual oferta el Dr. D. Pedro Tello,…</t>
  </si>
  <si>
    <t>Barreda, Estéban</t>
  </si>
  <si>
    <t>Estéban Barreda</t>
  </si>
  <si>
    <t>…haber fallecido igualmente D; Bartolomé López ,á D. Diego Martines de Zafra : para otro beneficio servidero de la iglesia parroquial de S. Ildefonso de Jaén ¿vacante por mberte de D. Estéban Barreda, i D. Mauricio García Puente: para otro beneficio de Tortoles, en el arzobispado de Burgos, vacante por muerte de D. Bernardo Moñirio, á D. Jiian Antonio Serrano. r •7 ' ■ ' En atención á los méritos y servicios de D. Josef Vaídés y Velasco, peí nitendario de…</t>
  </si>
  <si>
    <t>Barreda, Isidoro de Josué y</t>
  </si>
  <si>
    <t>Isidoro de Josué y Barreda</t>
  </si>
  <si>
    <t>…ara la de Saníúcar de Barrameda á D. Jacobo Vázquez García: para la primera de Córdo ba á SD. Josef García Leca: para la de Sigüenza á D. Juan Peynador y Pi no: para ia de Iguña á D. Isidoro de Josué y Barreda: para la de Leinus á D. Francisco de Paula Villareal: para la de Mónterey á D. Carlos Angulo: para la de Colmenar Viejo á D. Juan Luxigo y Pedro?a: para la de Baylen á D. Manuel Antonio Caballero: para la de Águilar del Rio Alama á D. Antonio Ramos Calderón;…</t>
  </si>
  <si>
    <t>Barrio, Francisco</t>
  </si>
  <si>
    <t>Francisco Barrio</t>
  </si>
  <si>
    <t>…us vasallos. * El Rey se ha servido nombrar para los arciprestazgos de Burgos y Si los que se hallan vacantes por fallecimiento de D. Pedro Vicente Berrio yde D. Narciso Marcos, á D. Francisco Barrio, con dimisión dé la canongía que'obtiene en la iglesia colegial dé San Quirce de aquel arzobispado: párá.la prestaméra dé la villa de íá Frontera, vacante por muerte de Don Joaquín Canosa, y la de la villa de Alconchel, qué fo está por la de D. Josef Cansecó,…</t>
  </si>
  <si>
    <t>Barrio, Maimel del</t>
  </si>
  <si>
    <t>Maimel del Barrio</t>
  </si>
  <si>
    <t>7X9 Josef Saavedra , D. Maimel del Barrio, D. Bartblómd Labrador, D. Raimun do Marín, D. Josef Fernandez de los Muros, D. Fernando Plaza, D. Isidro Cifuentes, O. Antonio Montesinos, D. Lorenzo García, D. Miguel1 Blanco* D. Francisco Sancha, D.-AntonioEstevezyD; Ildefonso Mansilla, D. Gre-f gOrio Pieo…</t>
  </si>
  <si>
    <t>Barrio, Manuel García del</t>
  </si>
  <si>
    <t>Manuel García del Barrio</t>
  </si>
  <si>
    <t>…Calvo, secretario.** Madrid 10 de Marz§ de i8ff. El dia 9 de Octubre próximo pasado tuvieron la honra de felicitar á S. M. y besar su Real mano el coronel de los Reales exércitos D. Manuel García del Barrio y D. Sebastian Solís, teniente coronel y superintendente de la fá brica de tabaco de Alicante, á nombre de la villa de Gausin; el primero de los quales dirigió á S M. el discurso siguiente: „Scñcr: Vuestra villa de Gausin, en la serranía de Ronda, que me honra con el encargó de s…</t>
  </si>
  <si>
    <t>Barrios, Juan Josef</t>
  </si>
  <si>
    <t>Juan Josef Barrios</t>
  </si>
  <si>
    <t>…de la misma clase denominado de Santo Tomé, y agregado-al de §. Martin, del lugar de Pinilla ,-y el, beneficio rural de ¿¡.Pablo de la Letre, los tres en el obispado de Zamora,* á D. Juan Josef Barrios, cura párroco de Santa María de ¡a Almudena de ésta corte, con retención de las demás rentas eclesiásticas que obtiene: para el beneficio mayor de la iglesia parroquial de la villa de Arenas, en el obispado de Avi la, vacante por muerte de D. Josef Sanz, á D.…</t>
  </si>
  <si>
    <t>Barros, Josef</t>
  </si>
  <si>
    <t>Josef Barros</t>
  </si>
  <si>
    <t>…tonio dé la Rosa y D. Juan Bermuy.' ^ Ascenso á alféreces de navio á los dé fragata D. Manuel Arechevala, Don Agustín Bocal a n, D. Matías Aldao, D, Diego Gadea, D. Antonio Mella, Don Josef Barros, D., Alonso Butrón, D.•Felipe Saavedra, D. justo Pasalagua; p. Vicente de Mesa,D. Fulgencio Anríen, D. Josef Carreño, D Manuel. Ümendia, D. Julio Ponce de León, D. Josef Marco y.Espejo, D.^joaguin Vargas Machuca, D. Josef de la Sendéja, D. Andrés Tacón, P. Jo…</t>
  </si>
  <si>
    <t>Bartheíemy</t>
  </si>
  <si>
    <t>4 12 TO de Marina; el barón de Vitrolles; eí conde Bartheíemy, par de Francia; el mariscal Macdonald, duque de Tarento , par de Francia ; Mr. de la Luxerne, antiguo obispo de Langres, par de Francia-; el conde Garnier,~ par de Francia; el duque de Levy, par de Francia ; el conde Barbé-Marbois, par de Francia; el conde F…</t>
  </si>
  <si>
    <t>Barto</t>
  </si>
  <si>
    <t>…e os corresponda, sin contravenirle, permitir, ni dar lugar á que se contravenga en manera alguna: que asi es mi voluntad; y que al traslado impreso de esta mi cédula , firmado de D. Barto lomé Muñoz de Torres, mi Secretario, Escribano de Cámara mas antiguo y de Gobierno del mi Consejo, se le dé la misma fe y crédito que á su origi nal. Dada en Palacio á 7 de Diciembre de t8i). = YO EL REY. = Yo Don Juan Ignacio de Ayestarán, Secretario del Rey…</t>
  </si>
  <si>
    <t>Bartolomé</t>
  </si>
  <si>
    <t>….mas fáciLy disimuladamente del estado de su Real escuela de Clínica, prestando á-este;tin con la mayor bé-r jnignidad y detención: atento oido á cuanto i; el ivocal i de. aquella D. Bartolomé ¿i s l Riñera y lelrpi^fesót Torres .juzg&amp;rOn dignped© itiañif^taf! á?ni t:;l"-::tEntieía[dP' icón ;efeétoLelt ReV ¿de Il*&gt; nfecesi4ád dft íprot^er.ípártfculármenté el estudio de medicina , ;se:digñó ^manifestar quéí protegería?uñ establecimiento tan interesa…</t>
  </si>
  <si>
    <t>…erá(! indecible el jubilo.que reinaba;en sus corazones y en el.de, todos ios habitantes de aquella villa y su territorio. ? ' Asimismo el Rmo. arzobispo, de Lima elEscmo, é limo. Sr. D. Bartolomé de ¡as Heras, y el cabildo, de.canónigos eje.aq^H^i iglesia metropolitana, di rigid; áS. M., con fecha de, t.t dqXteiñ]b¿£ del 400; pi^áxiinq^pasadq^ una -rropresentación, en la ¡ que, csppn¡éqd£&gt; ímceisanífes.] v{qtqs &gt; qué Jdírigieroii al ciplo.por ver de n…</t>
  </si>
  <si>
    <t>Bartqlozzi</t>
  </si>
  <si>
    <t>…aldlni. ( , „IIañ ocupado las tropas austro-toscanas á Piedimonte, Tino, Pontécorvq’y Aquino. El teniente coronel Ghequier debe hoy hacer desalojar al ene-, migo de Itri. , t]„;EL capitán Bartqlozzi cpn su compañía de dragones toscanos , y un des taca inepto efe jiúsares .austríacos, sorprendió ayer.en Pignataro^n .cuerpo d^ 2Qo napolitanos , de los cuales hirió a varios-, haciendo los demas .prisioneros* Todas la¿ noticias confirman que la familia: de:M…</t>
  </si>
  <si>
    <t>Barzola, Joaquín Tutor y</t>
  </si>
  <si>
    <t>Joaquín Tutor y Barzola</t>
  </si>
  <si>
    <t>…D. Francisco Perpiñan, barón de la Torre. Mn AlavnyGm-y V' Fránciscd Arrieta. " * ** *••••••••• J &gt; ■ ■ » * En León............... D. Tomas Diez!^Serrano. . En Soria.............. D. Joaquín Tutor y Barzola. En Bilbao........ . D. Francisco de la Mata. En Zamora.......... D. Manuel de Humara. En Salamanca..... D. Francisco dé Zuñiga y Barbosa. En Santander...... Señores Vial é hijo. * El Rey nuestro Señor se ha servido mandar que el almanak,civil para el año pró…</t>
  </si>
  <si>
    <t>Basabe, Benito</t>
  </si>
  <si>
    <t>Benito Basabe</t>
  </si>
  <si>
    <t>…o, D. Felipe Perez Acevedo, D. Ramón 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Doh Andrés Fernandez Caballero y D. Diego Prieto. - ; Ascenso á capitanes de fragata á los teniente…</t>
  </si>
  <si>
    <t>Basavey, Josef</t>
  </si>
  <si>
    <t>Josef Basavey</t>
  </si>
  <si>
    <t>…omisario de guerra P, Francisco Oleadlos de comisario de artillería honorario de guerra á D. To mas Valls y D. Antonio González, guarda, almacenes ordinarios: para estos honores á D. Josef Basavey D. Santos Aparicio, guarda almacenes estraor dtnarlos v y -para estos 4 ^os escribientes de numero D. Bernardo Quintana, D. Josef Ladrón de GuevarayiX Juan Gauche y D. Juan Maury ; y por úl timo se ha servido promover á¿omisarios éfectivos de guerra á-D. Cártos Gó mez de Soanor…</t>
  </si>
  <si>
    <t>Basco, Miguel de Trueva</t>
  </si>
  <si>
    <t>Miguel de Trueva Basco</t>
  </si>
  <si>
    <t>…pre ha mostrado á la i-ustre casa de los Borbones, el per miso de poder usar la decoración de la ñor de Lis. El Rey nuestro Señor en atención á los buenos y dilatados servicios d$ D. Miguel de Trueva Basco, tesorero genera! de correos, se ha servido con.?cederle los honores del tribunal de la Contaduría mayor de Cuentas. $. M. se ha dignado conceder su permiso á la Real maestranza de caba llería de Ronda para que sus individuos usen la escarapela roxa, como an…</t>
  </si>
  <si>
    <t>Bascones, Fernando Diez</t>
  </si>
  <si>
    <t>Fernando Diez Bascones</t>
  </si>
  <si>
    <t>…deS Ciudad- Rodrigo: de teniente coronel á D. Rafael Miguel y D. Tomas Ro drigo, capitanes del regimiento provincial de Segovia, D. Benito Bocanegra, del de voluntarios de Avila, D. Fernando Diez Bascones, D. Mariano Hernández, D. Francisco Tiburcio Sánchez y D. Juan Francisco Perez, de los batallones de voluntarios de Ciudad-Rodrigo, y D. Gabriel More no, capitán de inválidos de las compañías de Ciudad-Rodrigo : de capitán á D. Juan Henriqoez y D. Antonio Váz…</t>
  </si>
  <si>
    <t>Bassecourt, Lidé Alejandro</t>
  </si>
  <si>
    <t>Lidé Alejandro Bassecourt</t>
  </si>
  <si>
    <t>…dier D. Fernando de Sáint-Croix, sargen to mayor del regimiento de Reales guardias de infantería Waloria; nombran do para esta resulta al mariscal de campo de sus Reales egércitos D. Lidé Alejandro Bassecourt. La Real universidad de S. Antonio Portaceli de Sigüenza, deseosa de acre-' «Sitar al público su gratitud á nuestro amado Rey, su glorioso restaurador* encargó en; la apertura del curso literario á los catedráticos que se esmerasen en la enseñanza de sus resp…</t>
  </si>
  <si>
    <t>Bassecoúrt, Luis Alejandro de</t>
  </si>
  <si>
    <t>Luis Alejandro de Bassecoúrt</t>
  </si>
  <si>
    <t>…o de subteniente : se informad Escmo. 5r. Duque de Alagan de los méritos del mencionado sargento, é impuesto¡ por el sargento mayor é inspector del regimiento el mariscal de campo D. Luis Alejandro de Bassecoúrt, y por los demas oficiales de que era Stokman uno de los mas va* lientes del regimiento, que había recibido varias heridas en el campo del ho nor ; S. E. dirigiéndose á S. M. le dijo: ,,Señor, uno de los soldados mas valientes de este regimiento tiembla á la…</t>
  </si>
  <si>
    <t>Basurto, Jóséf</t>
  </si>
  <si>
    <t>Jóséf Basurto</t>
  </si>
  <si>
    <t>María, y en representación de «sta sus dos hijos D. Francisco y Doña Juana; y ha biendo presentado dócnmentos que-justifican la legítima fraternidad- de los nominar dos con' D. Jóséf Basurto, difunto,' han solicitado se les declare herederos abintestato del mismo, y en su vista S. S. ha tenido á: bien proveer el auto siguiente: ijConvoquesé cualquiera personas qué se crean con.derecho á los bienes del di funto D. Josef Basúrto.por término de 30 d…</t>
  </si>
  <si>
    <t>Basúrto.por, Josef</t>
  </si>
  <si>
    <t>Josef Basúrto.por</t>
  </si>
  <si>
    <t>…rederos abintestato del mismo, y en su vista S. S. ha tenido á: bien proveer el auto siguiente: ijConvoquesé cualquiera personas qué se crean con.derecho á los bienes del di funto D. Josef Basúrto.por término de 30 dias , para que dentro de ellos compa rezcan en el juzgado á exponer y pedir lo &lt;jue á su derecho convenga; con aperci bimiento de: que. lés. parará^ el; per juicio quehaya.lugar.” Lo que. se anuncia al pú blico á fin de que se haga,notorio, y e…</t>
  </si>
  <si>
    <t>Basynot, Mauricio</t>
  </si>
  <si>
    <t>Mauricio Basynot</t>
  </si>
  <si>
    <t>Gaceta de Madrid n.º 131</t>
  </si>
  <si>
    <t>…icial de da tesorería1 mayor general de M. Lecciones practicas, ó'nuevo método para aprender el idioma francés, dividido en 4 partes y 42 lecciones, para uso de los españoles: por D. Mauricio Basynot, ex-cura párroco francés, maestro de lengua francesa en el noble y Real seminario de S. Pablo de Valencia. La primera parte contiene una introducción general á til das las gramáticas; una cartilla muy breve para leer y pronunciar bien el francés; ia significa…</t>
  </si>
  <si>
    <t>Batanero, Manuel</t>
  </si>
  <si>
    <t>Manuel Batanero</t>
  </si>
  <si>
    <t>…nse á ser examinados D. Juan Nepomuceno Magan, guardia su pernumerario de menor edad de la Real Persona, D. Pascual Asensio, Don Josef Figuez y Cubero., D. Nicolás Diaz Lavandero, D. Manuel Batanero, D. Fernando Arranz de la Torre y D. Joaquín Amor, quienes hicieron los «pércidos que prescribe-el reglamento de esta escuela, en cuyo intermedio el*</t>
  </si>
  <si>
    <t>Bathuxst</t>
  </si>
  <si>
    <t>Gaceta de Madrid n.º 124</t>
  </si>
  <si>
    <t>…os periódicos de esta- ciudad, al publicar la instrucción rela tiva á l'a vigilancia que se. debía-tener con Bonaparte, se insertó también lacarta siguiente dei Ministro de Guerra lord Bathuxst á los lores del* almiran tazgo. „ Milores: deseo que VV. EE. tengan la bondad de comunicar al contra almirante sir Jorge Cockburn una copia de lá memoria adjunta,, que debe ser virle de instrucción, en cuanto á la conducta que ha de observar mientras que el g…</t>
  </si>
  <si>
    <t>Bau, Joan</t>
  </si>
  <si>
    <t>Joan Bau</t>
  </si>
  <si>
    <t>…Cartagena, canónigo de la misma catedral: para otro deanato de la iglesia colegial de Talayera de la Reyna, de este arzobis pado, vacante por fMecimiento de D. Josef de Castro, á D. Joan Bau tista de Arana, cura de la villa de Ataquines en el obispado de Avila: pa ra la abadía de la iglesia colegial de Lorca, diócesis de Cartagena, vacan te por muerte de D. Manuel de Robles , á D. Vicente Agustín Prieto, ca nónigo de la misma colegial; y para una…</t>
  </si>
  <si>
    <t>Bau, Juan</t>
  </si>
  <si>
    <t>Juan Bau</t>
  </si>
  <si>
    <t>…io Barona, racionero de la colegiata de Briviesca. El priorato de Roncesvalles, que deberá vacar por promoción de Don Joaquín Javier de Uriz á la iglesia y obispado de Pamplona, á D. Juan Bau tista Reta, rector del seminario conciliar de dicha ciudad. Las canongías vacantes en la metropolitana de Zaragoza por muerte de D. Juan Antonio Rosillo y D. Josef María Azpiazo á D, Josef Asensio de Ocon, canónigo de la catedral de Huesca, y á D. Francisco A…</t>
  </si>
  <si>
    <t>Bautista, Juan</t>
  </si>
  <si>
    <t>Juan Bautista</t>
  </si>
  <si>
    <t>…dirigir su memorial, relación de mé ritos y aptitud ví Ayuntamiento en el término de un roes, contado desde i.° del siuiénte Noviembre, por inano de su alcalde ordinario capitular D. Juan Bautista 'erez Bsrnabeu.f . , Por providencia del Sr. D. Josef Manuel de Arjona, del consejo de S. M*,.su alcalde de casa y corte, refrendada del escribano de provincia y comisiones D. Ma* puel López de' Rtvás, y i instancia del curador ad bona de la menor Doña Franci…</t>
  </si>
  <si>
    <t>Bautista, María</t>
  </si>
  <si>
    <t>María Bautista</t>
  </si>
  <si>
    <t>…a brevedad posible á D. Lorenzo Gómez de Aedo, oficial de la secretaría de la cámara por loperteneciente al Real patronato-, que vive calle dePreciados, núm. 6. í Sedesea saber de Doña María Bautista , viuda de D. Joaquín Martínez que'mu rió en la plaza de S. Sebastian, ó su hija Doña Rosa Martínez, cuya noticia sé ser virán comunicarla á D. Luis Urraca, carrera de S. Gerónimo, pasada la Fontana de Oro, núm.,4. ‘ r v ■ . Apuntamientos de cómo se deben est…</t>
  </si>
  <si>
    <t>Bauzáy, Vicente’</t>
  </si>
  <si>
    <t>Vicente’ Bauzáy</t>
  </si>
  <si>
    <t>…ue, *6/ Vicente Varela, D. Agustín Blondo, D. Agustwt Wautersy D. Ramón Allendey-D» BenitoOirtiz, D/ Manuel Soli$y D. Nieblas Meñaca, D¿ 'Ignacio ValleMarimon; Don Antonio Gastón, D. Vicente’ Bauzáy&lt;D¿ Pedro dePalacio,D. Joaquín de Senroa y D. Nicolás Mayorga. __ •' ¡ :n Ascenso á tenientes de navio á los de fragata D.Francisco Fernandez Mi randa, D. Santiago'Echaparret, D. DiecoVenegas, D. RamonTruHol, Don -Vicente jde "Lago y D; Josef Arn*r -y I&amp;ynaydX…</t>
  </si>
  <si>
    <t>Báviera, Real de</t>
  </si>
  <si>
    <t>Real de Báviera</t>
  </si>
  <si>
    <t>…’ i'':\~í' ffienÁ'$o/dfvfo&amp;kmbre, ■- « ■ i -• • - * L ^ * V ‘ ... &gt; *' 1 El dia 28 se dió un magnífico baylé á los Soberanos en las piezas inte riores de palacio. El viage que el príncipe Real de Báviera ha emprendido á Saltzbfcrg® no, pasará* de *5 dias» S.A.ya acompañado del mayordomo, mayordelpa* J • ' V ' j|¿,. i , , ; _ J- ^ ^ £ ; • ,'f*. \&gt; rjlacio. t -J . •; . , - i:■ c f. El baron de Anstettfia partido de aqui para Varsóvia. 151 principé dé Gjdiitzii)…</t>
  </si>
  <si>
    <t>Bayeu, Francisco</t>
  </si>
  <si>
    <t>Francisco Bayeu</t>
  </si>
  <si>
    <t>…fael Urbino, que se conservaba cuando la dibujó en S. Lorenzo del Escorial, llámada la Perla, y la otra dibujada y grabada también por Selma del cuadro del Nacimiento, pintado por D. Francisco Bayeu , grabador de cámara de S. M., que se ha lla original en el convento de S. Pascual de Aranjuez. Se propuso no publi carlas hasta que se verificase el regreso al trono de nuestro amado Rey y Sr. D. Fernando vii. La compasión y sentimiento que le causó la entra…</t>
  </si>
  <si>
    <t>Bayot, Antonio Roca y</t>
  </si>
  <si>
    <t>Antonio Roca y Bayot</t>
  </si>
  <si>
    <t>…n Víctor Navarro: para el de Chinchilla á D. Juan María Ruano: para el de Marbella á D. Marcos Cachapero:. para la vara de Purchena á Don Francisco Fernandez: para la de Tobarra á D. Antonio Roca y Bayot: para la de Adra, Berja y Dalias á D. Ramón Rodríguez Vélaseos para la de Puerto Real á D. Joaquín Pardiñas de Soto: para la de Almería á Don Manuel Perez de los Ríos: para la de la villa de Haro á D. Antonio Guar dilla: para la de Aguilar de Córdoba á D. Bla…</t>
  </si>
  <si>
    <t>Bayot, Josef Pascual</t>
  </si>
  <si>
    <t>Josef Pascual Bayot</t>
  </si>
  <si>
    <t>…para la de Badajoz á D. Antonio Jo sef Galindo: y últimamente se ha servido S. M. reponer á D. Autoría Pier nas en el corregimiento de Montilla para que le sírva por seis años: á Don Josef Pascual Bayot para que continué sirviendo por otros seis la vara de alcalde maypr de la villa de Espejo ; y á D. Pedro de Mendoza y Váz quez, alcalde mayor de Torbiscon ,tpara que siga en dicha vara los quatró ?ños que le faltan para cumplir su sexenio: para el corregimien…</t>
  </si>
  <si>
    <t>Baza, Pablo</t>
  </si>
  <si>
    <t>Pablo Baza</t>
  </si>
  <si>
    <t>…y D. Antonio Garrido, Capitanes dél tercer Batallón de la misma denominación, y á Don Francisco Huerta, Ayudante de la Plaza de Ciudad Rodrigo: al grado de Capitán á los Tenientes D. Pablo Baza, del Real Cuerpo de Artillería, 0. Tomas Yarto, D. Santiago Otero, D. Andrés Floren, D. Juan Albelda, 0'. Manuel Michel, D. Francisco Arahgo, y D. Estéban López, del Regi miento de Mallorca; á D. Félix Llano, D. Gregorio Martin, D. Gabriel Olgado, D. Josef Me…</t>
  </si>
  <si>
    <t>Bdydann</t>
  </si>
  <si>
    <t>…bistió y le derrotó enteramente, persiguiéndole hasta Jivian.__El general íRadivdjevich hace un elogio particular del teniente de feld-mariscal Crenne^víHe, y sobre todo del mayor general Bdydann, que con cuatro compañías iiostuvo un combate bríllanté: y decisivo .contra 13® hombres.v El mayor S. Ennois, del séptimo batallón de cazadoresy el capitán ScH-midt, que se distinguió^páTrticulafmenteíCon su- cáinpdfiía, y que fue. herido, merecen ambos una r…</t>
  </si>
  <si>
    <t>Bear, Joaquín</t>
  </si>
  <si>
    <t>Joaquín Bear</t>
  </si>
  <si>
    <t>…nero de la misma ca tedral; y esta resulta á D. Ruperto Sacristán, teniente cura de la Real cole giata de S. Ildefonso. = La canongía vacante en la catedral de Lugo por muer te de D. Joaquín Bear á D. Juan Pedro Miranda, cura párroco de Cabanillas en el obispado de León, y capellán del cuartel general del cuarto egército; y la tínica ración titular que ha vacado en aquella catedral á D. Benito González Hermida. := La canongía de la catedral de Jaén ,…</t>
  </si>
  <si>
    <t>Beatriz</t>
  </si>
  <si>
    <t>Gaceta de Madrid n.º 34</t>
  </si>
  <si>
    <t>…cedente. asciende á 384891 !rs. y 23 ¿ntL, de qüe deberán deducirse 89130 rs., sobre que se fundaron los dos patrón atos marcados fundar por Doña Juana Calde ra Freile, hija de la Doña Beatriz en el convento de Sta*:Clara de esta corte, y á cuyo goce y obtención de dichos patronatos está reservado igualmente el derecho, por la sentencia dé la chanciiiería á los qjie le puedan tener mcjrr que Doña Jose fa Gabriela Valdearenas. La plaza de mélico del…</t>
  </si>
  <si>
    <t>Becerra, Francisco María Osorio y</t>
  </si>
  <si>
    <t>Francisco María Osorio y Becerra</t>
  </si>
  <si>
    <t>…recanales: de Cieza á D. Felipe Antón: dé la Granja de Torrehermosa á D. Gerónimo Torrecilla de Tejada: de Villanueva de los Infantes á D. Josef Andrés de Arellano: de la Solana á Don Francisco María Osorio y Becerra: de los Santos á D. Vicente García Díaz: del Toboso á D. Francisco Juan y Cantabella: de San Mateo á Don Pedro Huerta Morales: de Almonacid de Zorita á D. Antonio Fernando Briz: de Daymiel al honorario de la cámara de Comptos D. Juan Ramón de Ibarra: de Mérid…</t>
  </si>
  <si>
    <t>Becerra, Juan</t>
  </si>
  <si>
    <t>Juan Becerra</t>
  </si>
  <si>
    <t>…D. Josef del Rio, D. Domin go Monduiña , D. Manuel Diaz Herrera, D. Josef del Calvo, D. Manuel Bar rientes; D. Juan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t>
  </si>
  <si>
    <t>Becerra, Juan Carcía</t>
  </si>
  <si>
    <t>Juan Carcía Becerra</t>
  </si>
  <si>
    <t>6</t>
  </si>
  <si>
    <t>…elona, ha venido S. M. en concederle los honores de. comisario ordenador de los Reales, ejércitos., ; ;j?. v i 'I . - ■ : . • &gt; * . • . * Atendiendo S. M. á !os.._m.éritüS^deLXic. D. Juan Carcía Becerra, y á los servicios que ha contraído durante, las últimas circunstancias, se ha dig nado concederle los honores dé auditor dé guerra de los Reales exércitos. I Habiendo1 uú zek)sa¿empleado«.ofrecido al Rey ¡gratuitamente en donati vo voluntario 80© rs. vn. en…</t>
  </si>
  <si>
    <t>Becerra.’, Manuel</t>
  </si>
  <si>
    <t>Manuel Becerra.’</t>
  </si>
  <si>
    <t>Gaceta de Madrid n.º 161</t>
  </si>
  <si>
    <t>…eti á.los pueblos de su eomprepsion en la forma referida; y de su recibo me dará V. S. aviso para noticia del Consejo* Dios guarde á V. S. muchos anos. "Madrid 25 de Mayo de 1773.=Don Manuel Becerra.’*1 ' Sin embargo de, das reglas establecidas en la circular que va inserta, so han hecho representaciones al Consejo por la Real Chanciílería de Valladolid, y algunos Intendentes, Corregidores y Justicias del Reino, manifestan do el desorden que se experimenta…</t>
  </si>
  <si>
    <t>Beckers</t>
  </si>
  <si>
    <t>…nesy qué no dio tiempo al enemigo para levantar el puente levadizo. Este entonces mandado por el general JVieriáge opuso en Sarbruck una resistencia estraordínaria; sin embargo el general Beckers consi guió apoderarse de la ciudad por asalto, y le arrojó al otro lado del puente, haciéndole prisioneros cuatro oficiales y 70 soldados. Nuestra pérdida en esta acción consiste en 100 muertos ó heridos t entre los que hay dos oficiales y el mayor Bauer, del…</t>
  </si>
  <si>
    <t>Bedoya, Juan Cuadrillero y</t>
  </si>
  <si>
    <t>Juan Cuadrillero y Bedoya</t>
  </si>
  <si>
    <t>…aría del Templo de la villa de Villalpando, en el obispado de . León , y la capellanía del numero 40 que vacó en la propia catedral por fa llecimiento de D. Ramoii García Prieto á D. Juan Cuadrillero y Bedoya.1 La dignidad de chantre vacante en la catedral de Almería por faliecir miento de D. Lorenzo Nueveiglesias á D. Diego Carlon , canónigo magistral de la misma, y la dignidad de tesorero vacante Sn la propia catedral pojr v muerte de í). Julián Perez González á…</t>
  </si>
  <si>
    <t>Bedoya, Juan Manuel</t>
  </si>
  <si>
    <t>Juan Manuel Bedoya</t>
  </si>
  <si>
    <t>…ongía doctoral que obtiene -en la de Ciudad-Rodrigo: para una canongía cardenalicia , que resultará va cante por promoción del citadb D. Josef Uraga al arcedianato de Baronceli, á D. Juan Manuel Bedoya: para la dignidad de chantre de la iglesia cate dral de Patencia, que resultará vacante por promoción de D. Gregorio Ceruelo de la Fuente al obispado de Oviedo, á D. Josef Gutierez Ortega, cu ra de la parroquia de S. Nicolás de la ciudad de Valladolid: para o…</t>
  </si>
  <si>
    <t>Begani</t>
  </si>
  <si>
    <t>Gaceta de Madrid n.º 112</t>
  </si>
  <si>
    <t>…e Gaeta. art. i.° „Et comandante de la plaza de Gaeta Bcgani la entregará á S.M. Fernando iv, Rey de las Dos Sicillas, con todo cuanto en ella se en* cierra. 2.0 „S. M. perdona al comandante Begani; pero le escluye de su servi cio y y queda al arbitrio de S. M. eí proporcionarle medios en el caso de que haya de salir del reino. 3.0 „S. M. concede á toda la guarnición, tanto soldados como oficiales* las mismas condiciones acordadas en la capitulación de…</t>
  </si>
  <si>
    <t>Beingoolea, Juan</t>
  </si>
  <si>
    <t>Juan Beingoolea</t>
  </si>
  <si>
    <t>…los tenientes D. Eusebio y D. Matias Pacheco: para igual empleo en el de caballería de Cañete ai te niente D. Rafael Rodríguez: para el mismo en el de dragones de Atidahuaylas ai teniente D. Juan Beingoolea : para la compañía de granaderos dél propio regimiento al capitán D. Fabian López Pecero: para el empleo de ayudante en las compañías sueltas de caballería de Santa al teniente D. Ma riano Mateus: para tenencias en las mismas compañías á los alféreces Don Joa…</t>
  </si>
  <si>
    <t>Belarde, Fernando</t>
  </si>
  <si>
    <t>Fernando Belarde</t>
  </si>
  <si>
    <t>…, D. Andrés Casainayer, D. Francisco Reguera , D. Antonio García, D. Pedro Pineda , D. Josef Co nejo, D^Ramon Agón', D. Manuel -Gá'stambide , D. Juan Palomero , D. Ra^ mon Oleína, D. Fernando Belarde,;D. Miguel Almagro, D. Manuel Ovan do , Ds. Bartolomé González , D. Antonio María; Mvuñoz , , Dr Miguel María Muñoz V D. Josef Sancliez, D. Mánüel Áranda ^A?tóiiiqfCpuxYlU^»inl^l</t>
  </si>
  <si>
    <t>Beliarcl</t>
  </si>
  <si>
    <t>…o el Sarre; y se apodero el dia 13 de Sarguemines. El 25 se hallaba en Chateau-Salins. El teniente general Gerard ha ido sobre Toul, de donde podrá tener .cor* lespondencia con él general Beliarcl. ' Los austríacos y los badeses han pasado por Basilea el 26. El general Lecourbe se há adelantado hácia Altkirck, y creía que le atacasen al dia si guiente. Si el enemigo recibe refuerzos, nuestras tropas tendrán que retirarse inmediatamente al campo de Befo…</t>
  </si>
  <si>
    <t>Beliard</t>
  </si>
  <si>
    <t>844</t>
  </si>
  <si>
    <t>…ba buen éxito de las providencias que había tomado, c El enemigo parece qué se acerca también a Sedan. EGERCITO DEL RHIN. Nada sabemos directamente; pero según el pliego del 24 el general Beliard dice que el general Rapp se vería probablemente atacado aquel mismo dia 6 al siguiente, y que los áústHacos y wurtemberguesés estaban pasando el Rhin desde el 20 por la mañana. EGERCITO DEL OESTE. El mariscal de campo Délaáge avisa, con fecha de 20 de Jimio,…</t>
  </si>
  <si>
    <t>…á Avesnes, Guisa , S. Quintin y Noyon. Una parti da enemiga eae’500 caballos se há presentado ahora á la vista de Cómpiegne. - • Varias noticias y avisos telegráficos del teniente general Beliard dan los detalles siguientes: El 23 un cuerpo enemigo compuesto de 23© hombres entró en Saarbruck : nuestras tropas se retiraron á Rosembruck. El 25 no hizo el eneinigo ninguii movimiento decidido hácia Forback. Un destacamento de cosacos ocupó momentáneamente…</t>
  </si>
  <si>
    <t>Bellegarde</t>
  </si>
  <si>
    <t>…on frecuencia sé oye la voz de viva el Rey. tTÁLIA. , Milán 14 de Abril* • ■ ■ •. ' ■ '■ j,f ■ , En la gaceta de esta capital del 8 se ha insertado la proclama siguiente del feld- mariscal Bellegarde. „Apenas principiaba la Europa á cicatrizar sos llagas, y las potencias reunidas en el congreso de Viena se ocnpaban con una untón extraordinaria *n establecer las bases de ui&amp; paz duradera, cuando un acontecimiento im previsto llamó á todas Us naciones, inst…</t>
  </si>
  <si>
    <t>664</t>
  </si>
  <si>
    <t>…l Rey ejri su cor respondencia cón elVirey usará del; mismo lenguage y de la misma conducta. „ Al mismo tiempo que esto sucedíanse ha impreso á la vista deí Rey.unaC; proclama del general Bellegarde para que los pueblos de Italia se sometan á sus antiguos gobiernos. ; „Esta proclama, escrita con mucho artificio, ha producido un gran efecto en Toscana , en donde se ha esparcido con mucha profusión. -; ,,Soy con el mas profundo respeto, Señor, &amp;c. zz Elisa…</t>
  </si>
  <si>
    <t>Belliard-----De</t>
  </si>
  <si>
    <t>…l duque de Cadore, el duque de Canclaux , el conde de Casablanca ,. el conde de Montesquiou, el conde de Pontecoulant, el conde Rampon, el conde de Segur, el conde de Valence y el conde Belliard-----De los sugetos nombrados se esceptuarán todos aquellos que justifiquen en el termino de un mes no haber tomado asiento en la cámara de los Paresó de haberse resistido al mandato que se les comunico para hacerlo. ; El mismo dia 24 se espidió el Real decreto sigui…</t>
  </si>
  <si>
    <t>Bello, Josef</t>
  </si>
  <si>
    <t>Josef Bello</t>
  </si>
  <si>
    <t>…D. Josef Nicolás Esre’Ia, D. Ignacio Alcázar y D. Jacinto del Rico: con la de 30 de Enero último capitán de granaderos en el propio cuerpo á D. Josef Lanao ; ídem de fusi leros á D. Josef Bello y D. Ignacio Saenz; ayudante maj'or del primer batallón á D. Josef Moreno; teniente de granaderos á D. Josef Agustín Zavala ; idem de fusileros á D. Hermenegildo Herrera y D. Manuel Guerra; Subtenientes de bandera á D. Ventura Castro y D. Josef Fernandez Pare des, y subteniente…</t>
  </si>
  <si>
    <t>Bellota, Casimiro</t>
  </si>
  <si>
    <t>Casimiro Bellota</t>
  </si>
  <si>
    <t>…l batallón denominado del General el subteniente D. Mariano Miranda; sar gento r.° Raimundo Sechas, y cabo 1 ° Gerónimo Honda Henriquez: con tusos los valientes oficiales teniente coronel D. Casimiro Bellota , y capitán D. Bartolomé Calvet. \ „Y respecto que todos los gefes, oficialidad y tropa merecen una general consideración por el relevante mérito que han contraido en una campaña tan interesante y penosa como la presente, no puedo menos de proporcionar algún…</t>
  </si>
  <si>
    <t>Belmohte, Baltasar</t>
  </si>
  <si>
    <t>Baltasar Belmohte</t>
  </si>
  <si>
    <t>…D. Antonio Josef Royo , D. Domingo Cheli y D. Cenon Gar cía: á los capitanes marques dé A-yerve , 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t>
  </si>
  <si>
    <t>Beltran, Blas Jacobo</t>
  </si>
  <si>
    <t>Blas Jacobo Beltran</t>
  </si>
  <si>
    <t>…Carrillo Mayoral» Obispo de Plasencia,. y D. Feli pe de Montoya, Obispo de Teruel: fue consagrante el Ilmq. Sr. D. Grego rio Cerueío, Obispo de Oviedo; asistentes Jos limos. Sres. D. Blas Jacobo Beltran, Obispo dé Coria, y ’D. Manuel Benito Tabernero , Obispo de Solsona; y padrinos del primero el venerable deán y cabildo de Calahorra, y en su nombre D. Pedro Vengoa y D. Josef Ignacio de Ansótegui; y del se gundo el venerable deán y cabildo de Plasencia, y en…</t>
  </si>
  <si>
    <t>Beltran, Juan García</t>
  </si>
  <si>
    <t>Juan García Beltran</t>
  </si>
  <si>
    <t>…varez,á D. Fran cisco Valle Roldan, ministro del tribunal de la Rota de la nunciatura apos tólica , con dimisión de la canongía que obtiene en la misma iglesia; y esta 'canongía á D. Juan García Beltran, cura párroco de la iglesia de S. Esteban de aquella ciudad: otra canongía de la propia iglesia catedral, vacante por muerte de D. Antonio García Maroto, á D. Matías González, teniente cura de palacio, nombrado anteriormente para una canongía de Orense; y la…</t>
  </si>
  <si>
    <t>Beltranilla, Ignacio López</t>
  </si>
  <si>
    <t>Ignacio López Beltranilla</t>
  </si>
  <si>
    <t>…ón. Un cortijo llamado de Cortes de 120 fanegas de tierra, Montefrio. J Capellanía de D, Alonso de ios Ríos, Uná casa núm. 4 en las Tendillas de Sta. Paula, Granada. Capellanía de D. Ignacio López Beltranilla. Ochenta marjales tierra cal ma de riego con olivos, pago de Vicuña, Máracena. ALMERIA. Capellanía de Dóqa Bernarda García Dueñas. Tercera párr te un molino harinero en,lá Vega. , Capellanía de D. Francisco de Ortega. Una hacienda de riego en Benádüx. Capella…</t>
  </si>
  <si>
    <t>Bena, Josef</t>
  </si>
  <si>
    <t>Josef Bena</t>
  </si>
  <si>
    <t>…Josef Ramírez y D. Gaspar Reyna, del Real Cuerpo de Artir!ería ; D. Agustín Vicente y D. Ramón de Alcalá, auxiliares dei mismo Cuerpo; D. Josef de Canga, agregado al de Zapadores; D. Josef Bena, 0. Manuel Hueso, D. Fránciscp-Yarto, D. Mariano Rosas,. D. Henrique Puga, y D. Carlos ViHarejo, del Regimiento de Mallorca; D. Ignacio Llánderas , D. Miguel Moretid, D. Gregorio del Pozo, D. Fabian de Lastra, 0. Ricardo Rey roso, Don Víctor Cabeza de Vaca, D…</t>
  </si>
  <si>
    <t>Benages, Nicolás Lamiel y</t>
  </si>
  <si>
    <t>Nicolás Lamiel y Benages</t>
  </si>
  <si>
    <t>…p Diego jMor^no Sauca de una casa, sita én ella, calle del Angel, num. 4 , marizana i 18, que,posee el citado D. Antonio Agudo: y por proyideíicia de 4 de este me$, dictada por el Sr. D. Nicolás Lamiel y Benages, ídel Consejo de S. M. enj¡el de Hacienda, Subdelegado general de los citados -bienes mostrencos , y Asesor general deGorreos, se ha mandado que rerpecito -haber tallecido el D.-Fernando Diego Sauca, é ignorarse .el paradero de •D** Antonio Agudo y- Andrade,…</t>
  </si>
  <si>
    <t>Benajes, Nicolás la Miel y</t>
  </si>
  <si>
    <t>Nicolás la Miel y Benajes</t>
  </si>
  <si>
    <t>…Diguja, vecino que fue de la ciudad de Ileon. Y habiendo estado sin curso durante la dominación francesa, y tratando de ponerlos en movimiento, se acordó entre otras cosas* por el Sr. D. Nicolás la Miel y Benajes, del coase-</t>
  </si>
  <si>
    <t>Bencomo, Santiago Josef</t>
  </si>
  <si>
    <t>Santiago Josef Bencomo</t>
  </si>
  <si>
    <t>…lesia metropolitana de Valencia, á D, Juan Pont y Tormo, cara .preben dado de la misma catedral de Orihuela: para otra canongía, vacante en la catedral de Canaria por promoción de D. Santiago Josef Bencomo á I»dig nidad de deán de la misma iglesia, á D. Santiago Key y Muñoz, canónigo deetoral de la iglesia colegial de S. Salvador de Sevilla: parí otra canongía de Ja iglesia metropolitana de Búrgos, vacante por fallecimiento de D. Pe dro Vicente Berrio, y por no…</t>
  </si>
  <si>
    <t>Bendicho, Joaquín Allue y</t>
  </si>
  <si>
    <t>Joaquín Allue y Bendicho</t>
  </si>
  <si>
    <t>…Eduardo María Saeñz de la Guardia, deán de la iglesia cate dral deJLéfida: para el deanato de la iglesia catedral de Barbastro, vacante por fallecimiento de D. Francisco Falces, á D. Joaquín Allue y Bendicho, canónigo de la misma,catedral» y para el oficio regular, dignidad de limos nero del Real monastefip.de santa María de Ripoll, de ía congregación claustral tarraconense y cesaraugnstana, á D. Frey Josef Borrell. El, Rey nuestro Señor se ha servido nombrar ing…</t>
  </si>
  <si>
    <t>Bengoechea, Juan</t>
  </si>
  <si>
    <t>Juan Bengoechea</t>
  </si>
  <si>
    <t>…bas j D. Francisco Botella,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 IX Plácido Gúell, D. Joaquín González', IX Juan García-,…</t>
  </si>
  <si>
    <t>Beni</t>
  </si>
  <si>
    <t>…la: parroquial de S. Miguel y San Julián de la expresada'CÍüdád deiValladolid^paraunacanongía qneresuita ▼acanteen da iglesia i metí ópoli tan a' de ■ Zárago ¿a porp ¿ó mo cion de D. Beni to Fernandez Navarreteal Seanato de la misma, á D. Antortio MaeHa , director del seminario' sacerdotal de S. Cárlosde la expresada ciudad de Zara goza : para lina ración» vacante en la catedral de Córdoba pór fallecimientó de D. Juan de Roda, á D. Juan Miguel…</t>
  </si>
  <si>
    <t>Benitez, Félix</t>
  </si>
  <si>
    <t>Félix Benitez</t>
  </si>
  <si>
    <t>…de Colmenar Viejo á D. Juan Luxigo y Pedro?a: para la de Baylen á D. Manuel Antonio Caballero: para la de Águilar del Rio Alama á D. Antonio Ramos Calderón; y para la de Leganes á D. Félix Benitez. Para el corregimieno de Alcaraz á D. Andrés Josef Amat: para el de $. Clemen te á D. Josef Matías Eguizabal: para el de Toro á D. Juan de Dios Alon so: para el de Medina del Campo á Di Manuel Josef Sánchez Fano: para la vara de Valladoh^J á D. Fermín Fernand…</t>
  </si>
  <si>
    <t>Benitez, Francisco de Robles y</t>
  </si>
  <si>
    <t>Francisco de Robles y Benitez</t>
  </si>
  <si>
    <t>…de Agosto. Ef día jr de Julio próximo pasado tuvo la honra de presentarse á S. M. 9. y besar su Real mano en nombre de da villa de Yunquera en ,e’l reino de Granada , el bachiher D. Francisco de Robles y Benitez , el cual espuso los estraordinarios servicios de aquellos vecinos, y felicitó á 5. M. por su feliz restitución al trono de las Empañas. Asimismo el jueves 3 ✓di Agosto tuvo fa honra de besar í‘a mano á S.. M. el presbítero Dr. D. Josef Gutiérrez de Arroyo, c…</t>
  </si>
  <si>
    <t>Benito</t>
  </si>
  <si>
    <t>…oyo del Puerco, en la provincia de Extremadura, celebra feria en ios dias 25 , 26 y 27 y 28 de Setiembre de cada año. Se halla corrtentéíá fábrica,de alfombras qüe tiene.en Cuenca D. Benito! Cañales. : ; En vírtiid de Real facultad *e rencfe una casa solar sita en la calle de la Puebla de esta corte, señalada con los n#meros..? 2 y 23 «le la manzana 554, tasada en 15105 ó rs. vn, y pa/aVtt remate SQ ha señalado el dia 16 (|el*cófnenie'á las 12 e…</t>
  </si>
  <si>
    <t>Benito, Antonio González</t>
  </si>
  <si>
    <t>Antonio González Benito</t>
  </si>
  <si>
    <t>…có por muerte de D. Josef Sanz Negro, á D. Josef de Lucas Ramos: para el beneficio préstamo de Birbadiilo, diócesis de Salamanca, vacante por muerte de D. Josef Sancho Velasco, á D. Antonio González Benito, cura del lugar de Coca de Huebra en el mismo obispado: para otro beneficio servidero de Baños, en el obispado de Jaén, vacante por muerte de Don Juan Gutiérrez, á D. Josef Antonio Borrego Sotomayor, cura párroco de Truxillanos: para otro beneficio servidero…</t>
  </si>
  <si>
    <t>Benito, Frutos de Alvaro</t>
  </si>
  <si>
    <t>Frutos de Alvaro Benito</t>
  </si>
  <si>
    <t>…vÍYtud de providencia del Sr. LX Joaquín Almazan, del consejo de S. M., teniente-corregidor de esta villa,"'•y juez de comisión en virtud de Reales órdenes para hacer efectivos de D. Frutos de Alvaro Benito, ausente al presente ,152 546 rs. y 4 mrs. vn. metálico, resto de 402546 rs. y 4 mrs. vn; que percibió con otros de las yerbas del valle de la Alcudia, se ha mandado con citación del defensor judicial gue se le ha nombrado sacar, á pública subasta por término…</t>
  </si>
  <si>
    <t>Benito, Gil de S. Juan</t>
  </si>
  <si>
    <t>Gil de S. Juan Benito</t>
  </si>
  <si>
    <t>…rcia á D. Manuel Deñamayor y Echavarri. Para el corregimiento de letras de Linares á D. Josef Julián de Ortega: para el de Anduxar á D. Juan Bautista Aiberola: para el de Olmedo á Don Gil de S. Juan Benito: para la vara de alcalde mayor de Málaga á D. Vicen te de Tormo y Pont: para la de la Isla de León , de tercera ó superior clase, á D. Ignacio Yañez Rivadeneyra; y para la de Badajoz á D. Antonio Jo sef Galindo: y últimamente se ha servido S. M. reponer á D.…</t>
  </si>
  <si>
    <t>Benito, Josef Puerta</t>
  </si>
  <si>
    <t>Josef Puerta Benito</t>
  </si>
  <si>
    <t>…Valenzuela: para la de Huecija á D. Andrés Rodríguez Valenzuela: para la de Villalpando á D. Hipólito Gil Hernández: para la de Jorquera á D. Domingo Puertas*, para la de Aillon á D. Josef Puerta Benito: para la del Carpió á D. Ignacio Gil de Sagredo: para la de Potes á D. Joaquín González Ramírez: para la de S. Esteban á D. Domingo Fer nandez : para la de Soto-Palacios á D. Juan González Bravo: para Gober nador Justicia mayor de Valde-Caballeros, y Juez pri…</t>
  </si>
  <si>
    <t>Bénjumeda, Manuel</t>
  </si>
  <si>
    <t>Manuel Bénjumeda</t>
  </si>
  <si>
    <t>…ro, D. JuanOliver, D. Timoteo Connelli, D. Juan Mitlan , D. Manuel Cortas,, D. Francisco'Velasco , D. Alejo González, D. josef Lázaro Vallejo, D. Ramón Carreño, D. Matias Case ro, D. Manuel Bénjumeda * D. Gerónimo Muñoz, D. Sisto Fajardo, D. Ma-„ miel Fernandez Rey na, D. F raneisco Bonet, D. Josef María de Novoa, Don Miguel Mir, D. Antonio Cidron , D. Santos Cremona, D. Josef Joaquín Ayestáiran, D. Vicente Ordoño, D. Raymundó de Unzaga, D. Manuel Arangu,…</t>
  </si>
  <si>
    <t>Bennigsen</t>
  </si>
  <si>
    <t>…opas se di rijan á marchas forzadas al Baxo-Rhin, á las órdenes del príncipe Biucher, á quien ha nombrado general en gefe de ellas. „El exército ruso ael Vístula y el que manda el general Bennigsen han recibido igualmente órdenes para marchar sin dilación á Alemania. Estos exércitos serán reemplazados por el que está á las orillas del Niemen. ? ,, El Rey de Baviera ha prometido poner sobre las armas 40© hombres al mando del príncipe Wrede, y ha dado ya…</t>
  </si>
  <si>
    <t>…s por donde se hacia el comercio, é intercep tan las comunicaciones con lo interior de Turquía. ■ En las fronteras de la Servia se halla un cuerpo de egército ruso. Se cree que el general Bennigsen irá á mandarle.</t>
  </si>
  <si>
    <t>…,.que, acaba de entrar en Polonia, ocupa una gran parre de este reino i algunos regí mié ntos.se han eneamiftadp á las fronteras de Turquía. &lt;/.**. • ? ?c?í: &gt;V: &lt; -.-A El general conde Bennigsen está ya mandando el egército¡ que se halla en las fronteras de la Moldavia, y tiene su cuartel general en Modulew cerca ,del .Dniéster.---' -id.-.. ; ; ... ■ AUSTRIA. b í ■ ’ ' ¡ • 1 Air c- •: f &lt;-j Viejt29 de'Octubre. . ^ V ' L , i i l &gt; \. C *„.. • ' i ^ ‘…</t>
  </si>
  <si>
    <t>Bentinck</t>
  </si>
  <si>
    <t>…rleans. Idem 2 i. En la cámara de los pares hizo ayer lord Grenville una mocion relativa i la reunión de Géíiova al rey no ale Cerdeña, y pidió que se presentasen las proclamas de lord Bentinck y del general Dairyrapíe. Pero habiendo hecho observar el lord canciller que esta iriocion hecha en este momento acarrearía una revelación prematura de ciertos objetos de la mayor impor tancia , retiró su proposición el lord Grenville. En la cámara de los com…</t>
  </si>
  <si>
    <t>…ajador de Murat , para contrapesar el mal efectodeestos descubrimientos , habia presentado una larga esposlciop de la conducta de su amo; pero habiéndole comunicado esta memoria á lord Bentinck y al general Nugent, fue rebatida por ellos punto por punto. Sin em bargo / el coWgreso no tqmpninguna resolución positiva contra Murat, y desde líiegó ie* dejái-on las;Már&lt;pas de Ancona; pero bien pronto se le vio que ptétéhdiá ¿stendérsé haVita el Po.i—Con…</t>
  </si>
  <si>
    <t>Bentink</t>
  </si>
  <si>
    <t>406</t>
  </si>
  <si>
    <t>…fortaleza de Gratz, adonde han conducido también á Gerónimo Bonaparte, que fue preso en Trieste. Por noticias recibidas de Liorna se sabe que varias tropas inglesas al man do del lord Bentink se dirigen á Saboya, y que el rey de Cerdeña ha to mado las medidas mas enérgicas para asegurar sus fronteras de Italia. El dia 8 había llegado ya á Génova el lord Bentink. Por la via de Suiza hemos recibido de Italia noticias de que las tropas napolitanas re…</t>
  </si>
  <si>
    <t>Bentinkque, William</t>
  </si>
  <si>
    <t>William Bentinkque</t>
  </si>
  <si>
    <t>…ead, creyendo que debía hacer algunas observaciones sobre tan im portante cuestión, hizo ver que la conducta de los ministros estaba en contradiccion con las instrucciones dadas á lord William Bentinkque prometío á los genoveses que el i.° de Enero de 1815 regiría su antigua constituí cion, y en lugar de efectuarse esta promesa, llegó de Viena el protocolo# que puso á los genoveses baxo la dominación de su mayor enemigo. Y asi en orden á Génova la conducta de…</t>
  </si>
  <si>
    <t>Beortegui, Josef</t>
  </si>
  <si>
    <t>Josef Beortegui</t>
  </si>
  <si>
    <t>…or de la villa de Paredes de Nava á D. Juan García Monsalve: para la dePeñaíiei á D. An tonio Prieto: para la de Plasencia á D. Francisco María Sánchez Castilla: para la de Igea á D. Josef Beortegui,; y para la de Alburquerque á D. An tonio Ayala. Para el corregimiento de Albacete á D. Antonio Fernandez BriV: para el de^Paradas á D. Tomas Marcos Varona: para el de Mayorga á Don Anastasio Pí nos y Palos: para el de Jadraque á D. Andrés Casaux: para el de…</t>
  </si>
  <si>
    <t>Ber</t>
  </si>
  <si>
    <t>…io, Sr. D. Ventura de Navia; hallán dose en la dispersión de la misma, ocasionada por un terrible temporal; soli citó y pasó á la qüe marchó contra Panzacola á las órdenes del Sri D. Ber nardo Calvez en clase de ayudante de aquel general; en 'él'sitio dé la expre sada plaza tuvo el mando del cuerpo dé cazadores, con que contuvo y rechazó á los'enémigos en las obstinadas salidas que hicieron en 28 de Marzo, i¿, 22, 24, 25 y 26 de Abril de 1781…</t>
  </si>
  <si>
    <t>…geros, y D. Pablo Puente, del Real Cuerpo de Artillería: grado de Capitán á D. Antonio Salazar, D. Antonio Toxo, Don Xavier Pimentel y D. Ramón Osores, del Provincial de Santiago; D. Ber nardo Becerra, del de Betanzos; D. Joaquín López Varela, D. Antonio Guerrero, D. Josef Guerrero, D. Juan de Castro, D. Juan López, Don Pedro Santistéban y D. Josef Novoa, del de Lugo; D. Luis Blanco, Don Pedro Iglesias, D. Pedro Ruiz Peña, D. Pedro Rodríguez,…</t>
  </si>
  <si>
    <t>…Juan Cuicheyro, D. Pedro Lado, D. Pedro Gonzá lez, D. Blas Iglesias, D. Domingo Boullon y D. Josef Villaverde, del Provincial de Santiago; D. Andrés González, D. Josef Valcárcel, D. Ber nardo Amado, D. Manuel Martínez y D. Francisco Espiñeyra , del de Lu go; D. Pedro Tineo, D. Juan Puente, D. Josef Antunio Rodríguez, Don Simón Fernandez, D. Teodoro Arce, D. Juan Guasa, D. Juan Malagon, E&gt;. Cosme Arias, D. Francisco Sierra, D. Diego Osorio y…</t>
  </si>
  <si>
    <t>…misma iglesia por muerte de D. Pablo Re cio y Tello á D. Bonifacio Tosantos, lectoral cíe la de Sto. Domingo de la Calzada; la capellanía Real que resulta vacante por promoción de D. Ber nardo Alarcon á D. Columbano de Poz y Gal indo, cura de la parroquial de S. Lorenzo de esta corte, y otra capellanía de la espresada Real capilla, vacante por muerte dé D. Antonio Terri, á D. Josef Zorrilla de la Roería. La dignidad de maestrescuela que vacó…</t>
  </si>
  <si>
    <t>…niente cura de Santa Eufemia Ja Real de laciudad 4^ Orense, para el de S. Pedro, de Quizanes en la niisma diócesi., v Teniendo el Rey en consideración los importantes servicios de D. Ber nardo Palacios áfavor de la buena causa en ta guerra pasada , y principalmen te el generoso,sacrificio que hizo de su vida, sufriendo la pena de garrote én l|i plaza de S. ( Francisco de Sevilla por no descubrir al gobierno intruso los compañeros vecinos de.…</t>
  </si>
  <si>
    <t>Beramendi, Antonio</t>
  </si>
  <si>
    <t>Antonio Beramendi</t>
  </si>
  <si>
    <t>…iéndose sabido que la falúa de S. S. estaba en el Stnrla, todo el mundo se dirigió hácia aquella parteé y principalmente i o buques españoles que se hallaban en este puerto con el caballero D. Antonio Beramendi, cónsul de S. M. Católica, que con tal objeto había tomado opor tunas disposiciones, á los quafcs se unieron bien pronto otros varios buques genoveses. El estruendo del cañón, el repique de las campanas, el tremolar de las banderas de todas las naciones, la m…</t>
  </si>
  <si>
    <t>Beramendi, Garlos de</t>
  </si>
  <si>
    <t>Garlos de Beramendi</t>
  </si>
  <si>
    <t>…nforme á su original en tamaño del natural; y siendo la obra-digna del premio , satisfará ademas todo su valor, con el generoso objeto de dedicarlo á este cuerpo patriótico. EISr. D. Garlos de Beramendi, intendente de los Reales exércitos, 310 rs. á la joven que acreditando haber sido alumna del referido establecimiento de ianar del Aibaycin, desde él año de 1800 preci samente hasta el dé la fecha , presente mejor hiladas dos libras de lana del país. BI Sr.…</t>
  </si>
  <si>
    <t>Bercher, Cristóbal</t>
  </si>
  <si>
    <t>Cristóbal Bercher</t>
  </si>
  <si>
    <t>…ara la de Enguerá á D. Manuel Alonso Hernández: para la de Castellón de Nules á D. Luis Castroverde: para la de Ayelo de Maiférit á D. Antonio !Lorca Herrera: para la de Mogente á D. Cristóbal Bercher: para la de Al tea á D. Miguel Sanz Aparicio, y á D. Antonio Taboada para la de Liria. El Rey nuestro Señor se ha servido admitir con aprecio el donativo que «1 ayuntamiento de la villa de Cartáya há hecho de la cantidad de 844^11 rs. de que le es deudor el C…</t>
  </si>
  <si>
    <t>Beresfort</t>
  </si>
  <si>
    <t>…ará el cuerpo que ha de permanecer en Francia. Se dice que el egér cito ingles , á las órdenes del Duque de Weilington, se acantonará del modo siguiente: la caballería mandada por lord Beresfort, en Nantes : la primera división del egército, en París; Anteuil, Passy &amp;c.: la tercera en SaintCloud, Sevres, Neuilly, Boloña &amp;c.: las tropas de Nassau, en Ecouen, Luzarches &amp;c.: la quinta división en Meulan : la sexta en S. Germain, Poissy &amp;c.: la séptima e…</t>
  </si>
  <si>
    <t>Berga, Armengol</t>
  </si>
  <si>
    <t>Armengol Berga</t>
  </si>
  <si>
    <t>…ad de capiscol, vacante por muer te de D. Silvestre de Leis y Sántiyan, á D. Andrés Solans; y la. dignidad de arcediano mayor dé la misma, vacante por muerte de D, Josef Gómez , á Don Armengol Berga. = La dignidad de abad, primera silla de la colegiata de nues tra Señora de Covadonga, diócesis de Oviedo, vacante por fallecimiento de D. Manuel González de la Granda, á D. Francisco Escandon : la canongía que vacó en aquella catedral por fallecimiento de D.…</t>
  </si>
  <si>
    <t>Berihudez, Juan Agustín Ccan</t>
  </si>
  <si>
    <t>Juan Agustín Ccan Berihudez</t>
  </si>
  <si>
    <t>…tienden'el francés. - ’ 1 '■ ' * Diccionario histórico dé losmas ¡lustres profesores de las bellas artes, en Espaga, publicado por la Real academia de S. Fernando, y compuesto por D. Juan Agustín Ccan Berihudez: seis tomos en 8.° marquillá. La academia , que con creci dos desembolsos dio á luz esta obra, única en su especie, con el solo ínteres de dar á conocer.el sobresaliente mérito de nuestros ingenios españoles, y el camino que llevaron para el acierto en las ar…</t>
  </si>
  <si>
    <t>Berlanga, Agustín</t>
  </si>
  <si>
    <t>Agustín Berlanga</t>
  </si>
  <si>
    <t>…co,Mora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 los sargentos primeros D. Juan Pedro Boullu, D. Miguel Campillo, D. Juan López, D. Manuel de Pedro, Don Pedro Perez y D. Domingo Anguiano. ] Circulares ael minister…</t>
  </si>
  <si>
    <t>Bermejo, Antonio García</t>
  </si>
  <si>
    <t>Antonio García Bermejo</t>
  </si>
  <si>
    <t>200</t>
  </si>
  <si>
    <t>…ma. , Sermón sobre el miiterio de la inmaculada Concepción de María Santísima, pre dicado al Rey nuéstro Señor y. Sermos. Sres. Infantes el dia 14 de Diciembre de 1814 por el Lie. D. Antonio García Bermejo, cura párroco de ia villa, de Pinto, en el arzobispado de Toledo. El orador demuestra en él que la España fue entre todas las naciones la primera y la mas zelosa en promover la piado a creencia y culto de este misterio, presentando pruebas de ello por un orde…</t>
  </si>
  <si>
    <t>…alle de las Carretas, á 16 rs. en rústica y i8 en pasta..- . •'/ ! ... , :. ■ •••• Historia ci. ií, política y religiosa de Pió yt? traducida del francés al castellano por el Lie. D. Antonio García Bermejo, cura de Pinto, ep el arzobispado de To ledo. El rigor con que Napoleón prohibió estarobra luego que se publicó en Fran cia es el mejor argumento de su mérito, El autor, al misino tiempo que describe los trabajos, las persecuciones, las calamidades, la fortal…</t>
  </si>
  <si>
    <t>Bermejo, Cristóbal</t>
  </si>
  <si>
    <t>Cristóbal Bermejo</t>
  </si>
  <si>
    <t>…nando Plaza, D. Isidro Cifuentes, O. Antonio Montesinos, D. Lorenzo García, D. Miguel1 Blanco* D. Francisco Sancha, D.-AntonioEstevezyD; Ildefonso Mansilla, D. Gre-f gOrio Pieoir, D. Cristóbal Bermejo ,D. Francisco López, D. Francisco Arahuetes i D. Joaquín Escorriguela, D. Francisco Biatela y D. Nicolás Viguri (*.). 1 Asimismo se lia servido S. M. conceder en el ministerio de Cuenta y Ra zón de-dicho, cuerpo los hoi^qr^ de'int^ndéínte de. provincia al com…</t>
  </si>
  <si>
    <t>Bermejo, Juan</t>
  </si>
  <si>
    <t>Juan Bermejo</t>
  </si>
  <si>
    <t>…de S.M. , *e citav ílama y emplaza á Braulio do,Arribas, vecino que (ue cíe essí 6 por medio de procurador ‘¿ion póder bastante á deducir sii derecho en los autos principiados por’D. Juan Bermejo ¿ vecino de esta corte, duefio de dicha? casi ta hona, contra el Braulio de Arribas ; con apercibimiento•que pasado cl nominado término se tomara la prOvidencia quesconvenga. ^ &gt;n\i or z w.:&gt;s;s¿:í au ¡ib Por el presente se cita ¿Jlamn y? emplaza: áblasíperso…</t>
  </si>
  <si>
    <t>Bermejo, Juan Díaz</t>
  </si>
  <si>
    <t>Juan Díaz Bermejo</t>
  </si>
  <si>
    <t>…ciudad de Salamanca, y re sidente en esta corte callé dé la Salud, casa núm. 7, cuarto 2.fue delatado á S. M. por medio de cierto escrito firmado al parecer en la misma corte poít D. Juan Díaz Bermejo, á 9 de Junio último, atribuyéndole los horrorosos crímenes de ser uno de los mayores enemigos de S, M. y de la tranquilidad ública; que por él padecieron muchos de los que estuvieron presos en el S.etiro; que en el tiempo de las llamadas Cortes fue él que ma…</t>
  </si>
  <si>
    <t>…o viere con venirle sin perjuicio dé los procedimientos que de oficio se siguen en el mi nisterio: sobre este:último,particular, con cuyo objeto desea saber el paradero del citado D. Juan Díaz Bermejo* c ' • i* Estiban Alvarez dé Neira, tratante en tocino , y salchichero de S. M., fue delatado de perturbador de la tranquilidad pública, y propalador de voc ees contrarias á la soberanía, que tan justamente reside en S. M.; y por re sultado del espediente que…</t>
  </si>
  <si>
    <t>Bérmudez, Josef</t>
  </si>
  <si>
    <t>Josef Bérmudez</t>
  </si>
  <si>
    <t>…. Santiago Gómez, del tercer Batallón de ídem; á D. Francisco Topete y D. Juan de Acuña , Ayudantes de dicha plaza ; á D. Juan Galeas , agre gado al Estado Mayor de la misma', y á D. Josef Bérmudez, del Batallón de Urbanos : al grado de Teniente á los Subtenientes D. Josef Ramírez y D. Gaspar Reyna, del Real Cuerpo de Artir!ería ; D. Agustín Vicente y D. Ramón de Alcalá, auxiliares dei mismo Cuerpo; D. Josef de Canga, agregado al de Zapadores; D. Josef…</t>
  </si>
  <si>
    <t>Bermuy.', Juan</t>
  </si>
  <si>
    <t>Juan Bermuy.'</t>
  </si>
  <si>
    <t>…e Roca, D. Francisco de la Rosa, D. Alonso Tiscar* P. Manuel Tosta, D. Francisco Alameda, D.. Tomas Gómez Qui janó, Don Joaquín Vial ,’D. Francisco Sirera, D. Antonio dé la Rosa y D. Juan Bermuy.' ^ Ascenso á alféreces de navio á los dé fragata D. Manuel Arechevala, Don Agustín Bocal a n, D. Matías Aldao, D, Diego Gadea, D. Antonio Mella, Don Josef Barros, D., Alonso Butrón, D.•Felipe Saavedra, D. justo Pasalagua; p. Vicente de Mesa,D. Fulgencio Anríen…</t>
  </si>
  <si>
    <t>Berna</t>
  </si>
  <si>
    <t>…lico pata,su inteligencia* t; , v ¡ vJ. 1 Por sentencia de la’chmciííjeria dé valladolíd de 2 2 de Mayo de 1807 está re servado el derecho á los hijos,*nietos y biznietos d i Lie. D. Berna;do Pérez de Herrera, por-el ■■qti«^puedatt-*tSi^í^W¿í-|dft'díd^‘!^7y/7rífs. y,,3 2 mrs., cor es pondiente á Doña Beatriz Freile contra el ‘estado del marquesado de FTomista, y á I01 réditos vencidos y mandados pagar *por Jlá sentencia;; cuya caridad unida á l…</t>
  </si>
  <si>
    <t>Berna, Antonio</t>
  </si>
  <si>
    <t>Antonio Berna</t>
  </si>
  <si>
    <t>…nte de provincia. El Rey nuestro Señor se ha servido nombrar boticario mayor de sus Reales exércitos á D. Agustín Josef Mestre, que lo es de su Real cámara. Habiendo e! presbítero D. Antonio Berna!, vecino de Granada, ofreci do á S. M. por un efecto de patriotismo el donativo de 4620 rs. y 10 mrs. vn., que ha heredado de su tio D. Lucas Portillo, teniente que fue de ca ballería de Santiago, y agregado al estado mayor de la plaza de Cartagena, como asim…</t>
  </si>
  <si>
    <t>Berna-</t>
  </si>
  <si>
    <t>…D. Santiago López Gascón, D. Ambrosio Mar tínez, ÉX C^ayemnp Ojezalde,; D.-Antonio Delgado, D. Gaspar Jover, Don NJarciso,Felipe, IX Josef Vilíavieencio, D. Cristóbal del Aguila, D. Berna-? Fe Chinchilla,, D. Manye! Carrasco, D. Tomas López, D. Miguel Bueno, JX Juliani Lop£z dq Ansó ¿'Di* Antonio Martínez, D. Eleuterio Munida, Don Á^anueí Andrada , !)» Domingo Blanco, D. Lorenzo Martínez, D. Isidro QJi* vares , D. Tomas Zamora, L&gt;. Benito Reehe…</t>
  </si>
  <si>
    <t>Bernabé, Joaquín Gil de</t>
  </si>
  <si>
    <t>Joaquín Gil de Bernabé</t>
  </si>
  <si>
    <t>…o Prieto. - ; Ascenso á capitanes de fragata á los tenientes de navio D. Ramón de Eulate , D. Tomas Cortés, D. Pedro Bucheli, D. Sebastian Paez de la Cadena, D. Francisco Lafita » D. Joaquín Gil de Bernabé, D. Gregorio Roldan , Don Redro de Nava, iD; Miguel Araoz, D.: Juan Echenique, *6/ Vicente Varela, D. Agustín Blondo, D. Agustwt Wautersy D. Ramón Allendey-D» BenitoOirtiz, D/ Manuel Soli$y D. Nieblas Meñaca, D¿ 'Ignacio ValleMarimon; Don Antonio Gastón, D. V…</t>
  </si>
  <si>
    <t>Bernad, Joaquín</t>
  </si>
  <si>
    <t>Joaquín Bernad</t>
  </si>
  <si>
    <t>…,: confesor de S. M.j y honores de ministro dél Consejo Real a D. Josef ¿María Despujol, sumiller de cortina de S. _ M. y, capellán mayor de; las Descalzas Reales de esta corte: á D. Joaquín Bernad y t Vargas,,. corregidor político de. la ciudad de Córdoba, honores de ministro de capa y espada del consejo: dedas Orde nes: á. D, Manuel Antonio Caballero del Pozorhonores de fiscali.de! crimen de la audiencia dé Sevilla, y le ha; nombrado S. M. para que si…</t>
  </si>
  <si>
    <t>BernaI, Juan</t>
  </si>
  <si>
    <t>Juan BernaI</t>
  </si>
  <si>
    <t>s. M. se ha servido nombrar para el deánato primera silla de la iglesia catedral de Segovia, vacante por fallecimiento de D. Juan BernaI(L&gt; de Quiros, á D. Tomas Cartagena, canónigo de la misma catedral: para otro deanato de la iglesia colegial de Talayera de la Reyna, de este arzobis pado, vacante por fMecimiento de D. Josef de Castro, á D. Joan Bau tista de Arana, cura de la villa de Ataquin…</t>
  </si>
  <si>
    <t>Bernal, Juan Antonio</t>
  </si>
  <si>
    <t>Juan Antonio Bernal</t>
  </si>
  <si>
    <t>…nandez de Lorca: para la de Pedraza á D. Marcelino García Ocaña: para la de Peñaranda de Duero á' D. Agustín Monge: para la de Coca á D. Diego Henriquez: para la de Nava del Rey á D. Juan Antonio Bernal: para la de Utrera á D. Miguel de Salazar y Sandobal: para la de Aguilar del Rio Alhama á D. Juan Ricardo Lozoyo: pa ra la de Castro del Rio á D. Antonio María Navarro: para la de Villarejo de Fuentes á D. Juan Roza Ridoces: para la de Lerin a D. Francisco Mi…</t>
  </si>
  <si>
    <t>Bernal, Manuel</t>
  </si>
  <si>
    <t>Manuel Bernal</t>
  </si>
  <si>
    <t>…que se sorteasen, y fueron adjudicados á D. Juan Andrés Estudillo, á D. Josef Zarzuela, á D. Francisco de Paula Silva, á D. Juan Vidal, á D. Manuel Manzorea, á D. Manuel Silva y á D. Manuel Bernal, ampliándose después á todos hss restantes; El ayuntamiento de dicha ciudad, satisfecho del zelo y traba jos‘de D. Francisco Girón en los re sultados de dichos exámenes, y á fin de estimular al adelantamiento, acordó que se. entregase .un estuche matemático ,…</t>
  </si>
  <si>
    <t>Bernaldez, Francisco de Paula Domínguez y</t>
  </si>
  <si>
    <t>Francisco de Paula Domínguez y Bernaldez</t>
  </si>
  <si>
    <t>…ubdelegacion á usar de su derecho; con apercibimiento que pasado dicho término sin haberlo hecho, les parará el perjuicio que haya lugar.- * Se desea saber el paradero ó suerte de D. Francisco de Paula Domínguez y Bernaldez, ayudante del regimiento de caballería 2.0 de Santiago, que en la perdida de -la plaza de Valencia del Cid, hallándose á las inmediatas órdenes del Excmo. Sr. capitán general D. Joaquín Blake, fue prisionero de guerra; de cuya plaza, según noticias extrajudic…</t>
  </si>
  <si>
    <t>Bernar, Diego</t>
  </si>
  <si>
    <t>Diego Bernar</t>
  </si>
  <si>
    <t>€\2 . promoción de tí. Josef Asensio de Oéon á la metropolitana de Zaragoza á I&gt;. Tomas Castillo Larroy* ; La canongía vacante en la. de Burgos por muerte de D. Diego Bernar do de Oruña á D. ífélix Rojo, fiscal eclesiástico del mismo arzobispado;; la que ha resoltado vacante en la propia metropolitana por ascenso de D. Marr tin Ramírez de la Piscina á la abadía de la colegiata de Alfaro á D. Manuel Hercilla , y la ración que. ha…</t>
  </si>
  <si>
    <t>Bernarda</t>
  </si>
  <si>
    <t>…r de esta villa , y por la escribanía del número de D. To mas de Sancha y Prado, D. Juan Poves, vecino de esta corte, como conjunta pernwom de Btma-Lticfedtoeurto-, y apoderado de Doña Bernarda, Doña Isabel y Doña</t>
  </si>
  <si>
    <t>Bernardo</t>
  </si>
  <si>
    <t>…qoríftcas que á.D* Josef González, ha tenido á biei» S.Méácceder^f esta pretensión en sü primera parte; mandando igualmente quq Cn la parroquia Qntniüm Sanctorum de Sevilla, donde D. Bernardo fue bau-, tizado, se ponga una jiápida que manifieste y perpetúe las circunstancias su heroica jmuerte, ja que debe igualmente apocarse alanargéfv df;sq partida, de bautismo, y que se publique está resolución en íá gaceta dgj.gobiernopa'-, xa el mismo fin de…</t>
  </si>
  <si>
    <t>Bernardo, Pedro</t>
  </si>
  <si>
    <t>Pedro Bernardo</t>
  </si>
  <si>
    <t>84* D. Ramón García 1400 rs. importe dé un caballo que entrego para el ¿g¿rcito: D. Pedro Bernardo de la Peña 10830 rs. , reditos de vales : D. Silvestre Navarro , D. Simón dé Segoyia y D. Juan Canturry 17352 rs. y 20 mrs. en 69 recibos de suministros á tropas, y de¡ 2 marcos 7 onzas y 2 adarmes en plata labrada: D. Miguel Blany 2032 rs. vn.: D. Rafael Die…</t>
  </si>
  <si>
    <t>Bernedo, Ramón González de</t>
  </si>
  <si>
    <t>Ramón González de Bernedo</t>
  </si>
  <si>
    <t>12:) 6 debo omitir hacer el mas justo elogio ert abono de la firme y circunspecta constancia del Sr. D. Ramón González de Bernedo, coronel del primer regí{ciento, de su muy benemérito comandante el coronel D. Julián de la Llave, y sargento mayor del mismo el de igual clase D. Mariano Novoa, como tam bién del , singular porte del capellán presbítero D. Tomas Zúñiga, pues han sellado honr…</t>
  </si>
  <si>
    <t>Berosdin</t>
  </si>
  <si>
    <t>…al en gefe el teniente general Dokloroff._— 7.3 divi sión de infantería, teniente general Kapzeuiteh___ 24.a división id., teniente general Radls__ -27.a división id., el teniente general Berosdin____3.a divi sión, de dragones , mayor general Alereyelf. Este cuerpo compone la derecha, y marcha sobre Francfort y Maguncia. Las .cabezas de estas columnas están llegando en este momento á Cobourg___Gefe del estado mayor de este, cuer = ¡po el general Pountt…</t>
  </si>
  <si>
    <t>Berrio, Pedro Vicente</t>
  </si>
  <si>
    <t>Pedro Vicente Berrio</t>
  </si>
  <si>
    <t>…desvela su benéfico corazón por la felicidad de sus vasallos. * El Rey se ha servido nombrar para los arciprestazgos de Burgos y Si los que se hallan vacantes por fallecimiento de D. Pedro Vicente Berrio yde D. Narciso Marcos, á D. Francisco Barrio, con dimisión dé la canongía que'obtiene en la iglesia colegial dé San Quirce de aquel arzobispado: párá.la prestaméra dé la villa de íá Frontera, vacante por muerte de Don Joaquín Canosa, y la de la villa de Alcon…</t>
  </si>
  <si>
    <t>Berthier</t>
  </si>
  <si>
    <t>…Hay con siste en dos muertos y 21 heridos, incluso el teniente Boileau, que recibid una cuchillada peleando en persona con el Sabá. Hace dias que se había asegurado la muerte del príncipe Berthier, que posteriormente había sido confirmada ; pero ahora por el correo de Alemania se han recibido de ella las particularidades siguientes, que refiere una gaceta dé Alemania.= Baml erg 4 de Junio. Hacia tiempo que se observaba en el príncipe Berthier cierta mu…</t>
  </si>
  <si>
    <t>Bertliier</t>
  </si>
  <si>
    <t>…" ^7v?.r.''í':7;7: áleÍiáí^ía. :'y\ \zp;.,p z:b Bamberga ,3 de Mayo• Ha vuelto á esta ciudad la priñcesá dé Wagram con su familia, á quien no permitieron pasar por Witteinberg. El príncipe Bertliier se halla también aquibien observado por la policía.^ - v:; r - ! 1 ; l &lt;■ ■ f,; -V.y . -\Z'Z' ‘ ,Z'-^ • .Ayer* resolvieron? las ciudades anseáticas* por medio dé sus. diputados re unidos aqui j la unión de sus contingentes , lo cual se deseó en lá ultima guer…</t>
  </si>
  <si>
    <t>Bertrán, Josef</t>
  </si>
  <si>
    <t>Josef Bertrán</t>
  </si>
  <si>
    <t>…nte por muerte de D. Juan Manegat, á D. Domingo Cassiot, director del hospicio de la espresada ciudad de Gerona: otra canongía que vacó por fallecimiento de D. Ma riano Bátaller á D. Josef Bertrán, cura de Llorat , pueblo de aquella diócesis i y la que vacó también en ia referida iglesia por muerte de D. Josef Brandia á Don Jospf Arnauto, eura párroco de Bañólas, en dicho obispado. = La canongía vacante en la iglesia metropolitana de Zaragoza por muert…</t>
  </si>
  <si>
    <t>Bertrand</t>
  </si>
  <si>
    <t>…o acostumbró de tal modo á los cruceros ingleses á ver su ban dera, que no- hicieron caso de su pequeña esqnadra, que salió de noche. Bonaparte dexó en Portoferrayo á la muger del general Bertrand , á la hermana del general Droust, y generalmente á todos los franceses con quiénes no contaba para un golpe desesperado. Dixo á algunos qué sola mente iba á Orbitelio á tratar con su cuñado Murat, el quar parece que ni? siquiera salió de Nápoles, y que no ti…</t>
  </si>
  <si>
    <t>…los heridos, pues de lo contrario dicen que se verán con sentí-miento obligados á enviar ¡los heridos á las casas de los pudientes, qué se ha gan sdrdós á estas insinuaciones. El general Bertrand, que está aqui prisionero de guerra, no es el qué acompañó á Napoleón á la isla de Elba sino un hermano suyo. Los regimientos de infantería* Inglesa que mas sufrieron en la desesperada1 acción del dia 16 fueron el 42’.° y 44.a De estos el primero, hallándose…</t>
  </si>
  <si>
    <t>Bértrand</t>
  </si>
  <si>
    <t>…É. que tenga á bien recibir el homenage de/mi profundo respeto, zs.ii.deRigny." ; n; ‘ Lista de los principales per sonages que se han embarcado con Napoleón*, El teniente general conde Bértrand, mayordomo mayor de palacio, su muger y tres hijos ; él teniente general duque de Róvigó el teniente génetal Lallemand ; el mariscal, de campo barón Gorgáud , édeéání de Napoleón ; reí mariscal de campó Montholon-5emQnviíl¿;, idea», y .sit mugér y tmhijo; fél…</t>
  </si>
  <si>
    <t>…ión, sino que también aprontaron bastante dinero. Enviaron á los países estrangeros á Thibaudeau, el cual recorrió la Italia, Suiza , Alemania y los Países-Bajos , y se vio con el general Bertrand en Ñapóles y en Florencia.'Entonces ya estaba Murat in formado del secreto; y parece que Luciano y Josef Bonaparte también die ron mucho dineró. En el mes de Diciembre se esploró el ánimo de los solda dos, y los conjurados quedaron enteramente satisfechos. -L…</t>
  </si>
  <si>
    <t>Besart, Ramón</t>
  </si>
  <si>
    <t>Ramón Besart</t>
  </si>
  <si>
    <t>…o, á D. Ventu ra Josef Mas mit ja, arcediano de Alpuente en la catedral de Segorve: la ca nongía de la colegiata de Sta. Ana en la misma ciudad dé Barcelona, vacante pot muerte de D. Ramón Besart, á D. Juan Gerardo Fosch. = En ia cate dral de.Mondoñedo una canongía, que vacó por muerte de D. Silvestre Ro dríguez, á D. Juan de Ceñal, cura de la parroquial de Sta. María de Pinera, diócesis de Oviedo; y la que obtuvo D. Manuel de la Fuente en la propia c…</t>
  </si>
  <si>
    <t>Bessieres</t>
  </si>
  <si>
    <t>Enterado' el Rey del generoso modo de proceder que tuvo el general Bessieres, comandante de Armas de la plaza de Landau, con todos los pri sioneros de guerra españoles que fueron destinados á dicha fortaleza, ha ve nido en concederle la gracia de cruz; supernumeraria de la Real y distingui da orden española de Cárlos m. En atención á…</t>
  </si>
  <si>
    <t>Beyens, Alejandro</t>
  </si>
  <si>
    <t>Alejandro Beyens</t>
  </si>
  <si>
    <t>…de fragata A los alféreces de navio D. Josef Rodríguez, D. Francisco.; Guiral, D. Ignacio de Rojas, D¿ Antonio Garrapedo, D. Fran-t pisco Ruiz Caballero;, D. Juári. Villavrcencio, D. Alejandro Beyens, D. Vi-, pente Méndez-, ,D..Ántontp del- Corro, Di Antonio Roso, D. Juan Robion, I&gt;. Josef Car rabedo, D. Francisco: del Moyo, D. Josef del Rio, D. Domin go Monduiña , D. Manuel Diaz Herrera, D. Josef del Calvo, D. Manuel Bar rientes; D. Juan Robles , D. Frán…</t>
  </si>
  <si>
    <t>Beyro, Pedro</t>
  </si>
  <si>
    <t>Pedro Beyro</t>
  </si>
  <si>
    <t>…ro: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 Francisco Espiñeyra , del de Lu…</t>
  </si>
  <si>
    <t>Biake, Joaquín</t>
  </si>
  <si>
    <t>Joaquín Biake</t>
  </si>
  <si>
    <t>…de Junio de 1815. 2. a Bien enterado el Rey nuestro Señor de que el egército de Galicia, no íolo se distinguió teniendo á su cabeza de generales en gefe á los capitanes ge?nerales D. Joaquín Biake y marques de la Romana, sino que continuó dis tinguiéndose igualmente bajo el mande de "V. E. en los repetidos ataques que tuvo con los enemigos, particularmente cuando estos en Agosto de 1811 intentaron penetrar en Ja provincia de Lugo para ocupar la costa y…</t>
  </si>
  <si>
    <t>Bían-ohi</t>
  </si>
  <si>
    <t>…y QjiiWo- r .- ..f!:í -.-ITALIA. ■ • ■'dvy ’ . - ■ T b." . ■ 'j i ' i .v - i’i&gt; ' .;_..w7 r.-. Florencia ij de Mayo. y Luego que entró en territorio napolitano el téniente de feld-mariscal Bían-ohi hizo circular la proclama siguiente: : - ^ r r: A tos k*bitánte$ del reina doNápolex. „ A la llegada de las tropas áús* ¿tt Vpefitr©;territdrioLdecláro,á:pesar dé que nadie habrá que no lo¡ se¿prépiabk; El «gército austríaco no se acerca a vosotros sino para…</t>
  </si>
  <si>
    <t>Bianchi</t>
  </si>
  <si>
    <t>…cito de este proceder indigno y contrario al derecho de gentes, me aprovecho de la misma ocasión para anunciarle tam bién el primer suceso feliz de la guerra——El teniente de feld- mariscal Bianchi ha creido que debia en honor del exército esperar con la vanguardia de nuestra ala izquierda un combate, que se realizó el 4 del corriente cerca del puente que hay delante de Módena. Mas de 200 prisioneros, un numero mucho mayor de muertos y heridos, y la her…</t>
  </si>
  <si>
    <t>…ito austríaco. •' i, Bl ¿neniígo avanzó hace algunos dia§ con bastantes fuerzas H i cía Fer rara1, intentando apoderarse de la cabeza del puente de Occhio Bello ; pero el teniente general Bianchi le hizo una diversión por el flanco izquierdo , en la que, aunque tuvo alguna corta pérdida,obró siempre con una imrepid z ex traordinaria, y consiguió grandes ventajas—El día 10 avanzó una co'umna á lasórdenes del general conde de Starheiuberg hácia Carpí,y…</t>
  </si>
  <si>
    <t>…ito entró el 12 del pasado en Arézzo, y partió’ el 23 para Perusa ,7 adonde; llegó el 26 ; en el mismo día se juntó el grueso del mismo egército/precedido de su general en gefe el barón Bianchi. Entre esta tropa se hallan uñ batallón del Duque de Módena y rin regimiento de dragones déi Duque de Toscana. _ La vanguardia del grueso del exércitq mahdada por eb general condede Sta remberó &gt; que ^había llega do * Perusabel - i 5 ,CfiHrió^lnmediatámeiite…</t>
  </si>
  <si>
    <t>…entes: • „E1 2 del corriente reunió Murat .cuatro, de sus divisiones entrcAncona y Jesi;, y se di rigió á Macerara con .intención de, atacar y "batir al teniente cíe feld-mariscal barón Bianchi, que al mismo tiempo avanzaba de Foligno por Sérravalle sobrei Tóíentino. —- El enemigo dio varios ataques el 2 y 3; pero todos se le frustaron, porque el exército austríaco sostuvo sus posiciones con mucho valor hasta el anochecer * en cuyo tiempo llegó ¡á.…</t>
  </si>
  <si>
    <t>…edettp y en Porto-Í ormo. mas de 1® prisioneros. : :-yj ..... ; ^ v_.-; ;jíj .t./r ^Mientras la diyision del teniente general híphr persigue al enemigo, elfruesQ, deí egéreito del mariscal Bianchi sigue adelantándose sobre Áquila y Ópoli.” ■■•*... -7 El oficial que ha traído esta, noticia dice que á su salida el cuartel genecal de las tropas imperiales se estaba sentando en Pópoli. v •" •.••• v. o:; ■: : r ■;: ; , • ■ • , ■■ ■ , • ¿ '* &gt; *::•.»ir» ....…</t>
  </si>
  <si>
    <t>…ces del enviado, se halla en Florencia por algunos diasí. ' ’ Ayer por la mañana recibió por estraordinario el caballero de Lebzeltern ías siguientes noticias , que le comunicó el general Bianchi. . ^ ^dpoleS" 23 de Mayo. , „El convenio militar hecho el 20 del corriente con el general comandante deí egército úápólitaho,hó íliéobservado en rigor has-^ ta que. me vi obligado á apoderarme ae Ñapóles.en la ynoche del 21 en vez' del 2^. *■ ' . 1 ;'"'i/: A■…</t>
  </si>
  <si>
    <t>- ?6i Del 20:de Mayo. El general Cárfcascdsa llegó aquí esta mañana á las ocho t y conferenció con el mariscal Bianchi en presencia de lordBurghersh, y la sesión se concluyó á la^Cdátrclda lá tatáé-, después de haberse conve nido en los artículos siguientes: i.° „,El 21 del corriente el egército combi nado entrará en Capua. 2.0 El 22 se situárá en las alturas de Ñapóles. 3.°…</t>
  </si>
  <si>
    <t>Gaceta de Madrid n.º 83</t>
  </si>
  <si>
    <t>777</t>
  </si>
  <si>
    <t>777 rat está en Ñapóles. El general Bianchi ha declarado que consentirá en que vaya á los estados hereditarios de Austria, en donde se determinará su suer te futura; pero no se ha recibido ninguna contestación suya.ssBürghersk* Tratado militar. „ Los infrascritos, después de haber cangeado los plenos p…</t>
  </si>
  <si>
    <t>…n del legitimó" soberano del país el Sr. D. Fernando iv.—.Después de las ventajas conse guidas por el general Nugent, de que hablé en mi último oficio, recibió el teniente de feld-mariscal Bianchi el 18 una carta del duque de' Gallo, pi diendo una conferencia para Comunicarle proposiciones dei mariscal Murat___ Esta conferencia sé aplazó para el día: siguiente ; y él general Bianchi quiso que asistiese yo &amp; elíá en nombre de la.‘ Inglaterra , como se v…</t>
  </si>
  <si>
    <t>Gaceta de Madrid n.º 138</t>
  </si>
  <si>
    <t>…llegar aqui el cuartel general y todas las oficinas del Príncipe dé Schwartzemberg. Se cree que inmediatamente Á su llegada se reducirán las tropas al estado de paz. - . El feld- mariscal Bianchi ha sido nombrado general en gefe del cuerpo austríaco que ha de quedar en Franciateniendo á sus órdenes á los genera les Radesky, Stuttesheim y Nieppery. ' ; Escriben de Gallasch que los turcos .fortificad todos los puntos del BajpDanubio, y se apresuran á ha…</t>
  </si>
  <si>
    <t>Bianchl</t>
  </si>
  <si>
    <t>…DEL JUEVES 8 DE JÜNÍODEr8if; .■ i ..i i. i í - v v .iv ij ;.. ITALIA. i Í .' . J, . . ' ; J i * ) 1. i ■' i ’■ 1. Milms de M^yo. ir* J-J- .i.- ij.;; Han llegado aquí noticias del-general Bianchl que alcanzan hasta el f del corriente: en pellas participa la victoria decisiva ^que consiguió con tropas in feriores en número á las aelenemigoentreAnconay Jesi los dias 2 y 3, No sé duda que Miiratse halló en esta acción concias divisiones dé Ambrosio, Lecc…</t>
  </si>
  <si>
    <t>Biatela, Francisco</t>
  </si>
  <si>
    <t>Francisco Biatela</t>
  </si>
  <si>
    <t>…o* D. Francisco Sancha, D.-AntonioEstevezyD; Ildefonso Mansilla, D. Gre-f gOrio Pieoir, D. Cristóbal Bermejo ,D. Francisco López, D. Francisco Arahuetes i D. Joaquín Escorriguela, D. Francisco Biatela y D. Nicolás Viguri (*.). 1 Asimismo se lia servido S. M. conceder en el ministerio de Cuenta y Ra zón de-dicho, cuerpo los hoi^qr^ de'int^ndéínte de. provincia al comisario orde nador P, Andrés Gallegos : los nde combario ordeñador al comisario de guerra P, Francisco Oleadlos d…</t>
  </si>
  <si>
    <t>Biedma, Josef Rodríguez</t>
  </si>
  <si>
    <t>Josef Rodríguez Biedma</t>
  </si>
  <si>
    <t>…. M. nombrar á D. Fermín Gil de Linares, Fiscal de la audiencia de Estremadura, para la fiscalía del Consejo de Navarra, y para la plaza de Fiscal de la audiencia de Estremadura á D. Josef Rodríguez Biedma: para la de Alcalde del crimen de la misma audiencia á D. Juan Modesto de la Mota: para otra de Alcalde de la Cuadra de Sevilla á D. Blas Arahuetes: para Oidor de la chanciliería de Valladolid á D. Josef Martínez Areta, Al calde del crimen mas antiguo de ella…</t>
  </si>
  <si>
    <t>Bignon</t>
  </si>
  <si>
    <t>…á Ja Cámara los siguientes artículos del tratado. &gt; „Hoy 3 de Julio de 18*5 los comisionados nombrados por los coman dantes en gefe de los respectivos egércitos, á saber es: ,,El barón Bignon, encargado del despacho de Negocios estrangeros. J¿1 conde Guilleminot, gefe.del estado mayor general del egército francés.—. Y el conde B.óndij prefecto del departamento del Sena, revestidos todos de los plenos poderes de S; E. el mariscal príncipe de Eckmüh…</t>
  </si>
  <si>
    <t>BiJaumont, Cristóbal de</t>
  </si>
  <si>
    <t>Cristóbal de BiJaumont</t>
  </si>
  <si>
    <t>…l Lajeunesse y Catalina su hija y de NÍuría Prudencia Campion,de nación judíos; el padre, de edad de 42 años , nació en Cont*sélIés;¿ -departamento del Másela, y fue su padrino el conde Cristóbal de BiJaumont, corregidor de Vilieneüvey y la madrina madama Ana FrártéisCa Mothes de Blanche: de la hija, de edad de ty; años j fce padrino M. J. B. Maydieu Bartagnac, administrador de la íabñca d&amp; dicha iglesia , y madrina Catalina Maydieu* _ El dia siguiente</t>
  </si>
  <si>
    <t>Biucher</t>
  </si>
  <si>
    <t>…es.de caballería, y á un numeroso tren de artillería. „ S. M. el Rey de Prusia ha dado orden de que todas sus tropas se di rijan á marchas forzadas al Baxo-Rhin, á las órdenes del príncipe Biucher, á quien ha nombrado general en gefe de ellas. „El exército ruso ael Vístula y el que manda el general Bennigsen han recibido igualmente órdenes para marchar sin dilación á Alemania. Estos exércitos serán reemplazados por el que está á las orillas del Niemen.…</t>
  </si>
  <si>
    <t>…de positivo qual es el contingente de la Prusia , no obstante noticias fidedignas aseguran que contribuirá con 220® hombres, de los quales 50® están ya en movimiento al mando del mariscal Biucher.</t>
  </si>
  <si>
    <t>Biucher, Príncipe de</t>
  </si>
  <si>
    <t>Príncipe de Biucher</t>
  </si>
  <si>
    <t>…ue residen actualmente en París» Idem ra. Las tropas prusianas que ocupaban i Versalles y sus inmediaciones mar chan sucesivamente , y se dirigen hacia Senlis y Compiegne. £1 féld-mariscal Príncipe de Biucher salió ayer para su cuartel general de Compiegne. Del 13 al 14 debe salir de París, una fuerte columna de tropas prusianas. Los; voluntarios holandeses han salido, de Francia para volver, á su patria. El sexto, cuerpo prusiano , acantonado en eldia en. la Baja…</t>
  </si>
  <si>
    <t>Bizarro, Josef</t>
  </si>
  <si>
    <t>Josef Bizarro</t>
  </si>
  <si>
    <t>…n Escribano,, cura párroco de la villa de Viñuesa , obispado de Gsma: para la ración qué ha resultado vacante en la iglesia colegiata de Bayona, reyno de Galicia^ por promoción de D. Josef Bizarro á otra prebenda de la misma clase en la iglesia metropolitana de Santiago, á D. Francisco de Zúñiga, cura vica rio de S. Vicente dé Mañufé: para el arciprestazgo de la Rioja, en el obispado de Calahorra, vacante por fallecimiento de D. Juan Tueros, á D¿ Ignac…</t>
  </si>
  <si>
    <t>Bjiucher</t>
  </si>
  <si>
    <t>…«volver la espalda aVenemi-&gt; go, se convirtió desde aquel momento.la batalla en una derrota completa. ,,Ppr par.e de los prusianos la victoria ha sido completa ,y:según avisaba el mariscal Bjiucher á las ronce, de ja noche; iba en- seguimiento, del enemigo, habiéndole tomado 6o cañones,/muchos] (prisioneros? y bagage. Este media dia estaba yuen,.Charferoiv i tío -- - o*. - :*&gt; ?rb , h „Por parte del lord WeUi.ngton las piezas, tomadas pasan de 8o, y tod…</t>
  </si>
  <si>
    <t>BLacherhai, Príncipe</t>
  </si>
  <si>
    <t>Príncipe BLacherhai</t>
  </si>
  <si>
    <t>…ges y municiones. En el /dia'í se. Habla ,del cange del bajá con Gzúpiei^/á quien tienen preso los turcos en * ■ .. . .. .Zwornich! . . - - ,, ALEMANIA. Hánkóver 24 de 'Agesto, El mariscal Príncipe BLacherhai recibido deS.Miuna condecoración, que solo el podrá llevar.,. y;?es:la cruz dé hierro en una estrella:dé diamantes. ' í . v» Augsburga i.0 de Setiembre, .. otos il -Según laá últimas noticias de Italia Luciano Bonaparte hasj&gt;edido permi so al Rey de Cerdeña p…</t>
  </si>
  <si>
    <t>Blake, Joaquín</t>
  </si>
  <si>
    <t>Joaquín Blake</t>
  </si>
  <si>
    <t>Í74 ~ , ARTICULO DB OFICIO. Circular del Ministerio de Guerra, Al Capitán General de los Reales Exércitos D. Joaquín Blake comnnico con esta fecha lo siguiente: „ Ha oido el Rey nuestro Señor con agrado la exposición de V. E. de 12 de Abril último» en que manifiesta el valor y bizarría con que se portó el pequeño Exército de Aragón» que baxo las inmediatas órdenes de V. E. combat…</t>
  </si>
  <si>
    <t>Gaceta de Madrid n.º 129</t>
  </si>
  <si>
    <t>…pro ó en contra, pueda hacerlo bajo su firma en el término de un mes , dirigiéndose á la comisión establecida por la Real orden citada, y cuyo presidente es el Excmo. Sr. capitán general D. Joaquín Blake. Instrucción que debe observarse en la separación de Rentas Reqlps y res tablecimiento del sistema anterior al Real decreto de 2 § de Setiembre de iyp&lt;) 3 prevenido por el de j/ de Agosto de 181$. art. i.° La organización de las oficinas principales de la cor…</t>
  </si>
  <si>
    <t>…y Bernaldez, ayudante del regimiento de caballería 2.0 de Santiago, que en la perdida de -la plaza de Valencia del Cid, hallándose á las inmediatas órdenes del Excmo. Sr. capitán general D. Joaquín Blake, fue prisionero de guerra; de cuya plaza, según noticias extrajudiciaies, salió para Francia con los que les cupo igual suerte: asimiV nao de las que hayan: tenido de su hermano D.; Manuel Domínguez y Bernaldez, ;que fuet.prisionero en la batalla de Ocaña, si…</t>
  </si>
  <si>
    <t>Blakecuando</t>
  </si>
  <si>
    <t>…&gt;’&gt;'/■':y; 4 Se desea saber el paradero (fe IX Julián Perez Merino, que hallándose eñ Va-f lencia en Noviembre de 181 1 sirviendo el destino de médico de egército ai malí-' do del general Blakecuando los franceses intentaban entrar en aquella plaza se re* tiró con,pasaporte de aquel gefe para restablecerse en la Mancha, y regresando á és ta corte salió de elU en fines de Febrero de: 1812, y con el designio de incorpo rarse á otro egército ‘español se diri…</t>
  </si>
  <si>
    <t>Blan, Diego Martin</t>
  </si>
  <si>
    <t>Diego Martin Blan</t>
  </si>
  <si>
    <t>…ra canongía de Oviedo á D. Juan Antonio Fuero,: arcediano de la iglesia* de Chiapa , en la provincia de Goatemala; y la ración que vacó por fallecimiento de D. Melchor de Cuesta á D. Diego Martin Blan co : el beneficio servidero de la ciudad de Cazorla, que vacó por muerte de D. Alejandro Ufano, á D. Juan Gómez de la Torre: otro beneficio servide ro vacante en la parroquia de S. Pablo de Ubeda por muerte de D. Manuel Aguayo á D. Gaspar Montejano.=El benefi…</t>
  </si>
  <si>
    <t>Blanco, Andrés</t>
  </si>
  <si>
    <t>Andrés Blanco</t>
  </si>
  <si>
    <t>…D. Cipriano Alvarez, D. Mariano López y D. Andrés Garrido,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t>
  </si>
  <si>
    <t>Blanco, Bonifacio López y</t>
  </si>
  <si>
    <t>Bonifacio López y Blanco</t>
  </si>
  <si>
    <t>. . . óvi Josef Díaz á D. Marcos Antonio Rodríguez Soldevilla. ±¿ El arcíprestazgo cíe Nágera , diócesis de Calahorra vacante por muejte ée IX Joset Palacios, á D. Bonifacio López y Blanco « cura párroco de &amp; MigueideNágera.=El arctprestazgo dei valle deOjeda, en el obispado de Patencia , vacante por fa llecimiento de EX Manuel García Cañizares, á D. Cristóbal de Castro" Perez, beneficiado de preste de la parroquial de Prádanos. = El beneficio…</t>
  </si>
  <si>
    <t>Blanco, Francisco Herrero</t>
  </si>
  <si>
    <t>Francisco Herrero Blanco</t>
  </si>
  <si>
    <t>…a cíe Cartaya á D. Joaquín Fernandez Duran: para la de Mansilla de las Muías á D. Evaristo Linares: para la de Alcañices á D. Francisco de Paula Grande: para la de Cien pozuelos á D. Francisco Herrero Blanco: para la de Salva tierra á D. Manuel del Pozo: para la de la Bañeza á D. Bartolomé García Terrón: para la de Nájera á D. Josef Eladio Garcés: para la del Ferrol y la Graña á D. Vicente García Díaz: para la de Sta. Cruz de Múdela á Don Antonio Pimentel y Valen…</t>
  </si>
  <si>
    <t>Blanco, Lucía</t>
  </si>
  <si>
    <t>Lucía Blanco</t>
  </si>
  <si>
    <t>…usál, calle de Milaneses, núm. 10; en Zaragoza á D. Fermín Erro, calle de San, Pablo, núm. 39; en Pamplona i D. Matías Iribarren, administrador del hospital. General; en Lumbier á Doña Lucía Blanco, ó al .párroco de la misma. Obras escogidas de 0. Francisco Que vedo Villegas, en las que se hallan incluidos sus célebres sueños: 4 tomos en 8.° en dos volúmenes á 28 rs. en pasta.zzVida del gran Tacaño, del mismo*, un tomo en 8.° á 8 rs. en pasta.=Poesías e…</t>
  </si>
  <si>
    <t>Blanco, Luis</t>
  </si>
  <si>
    <t>Luis Blanco</t>
  </si>
  <si>
    <t>…o Becerra, del de Betanzos; D. Joaquín López Varela, D. Antonio Guerrero, D. Josef Guerrero, D. Juan de Castro, D. Juan López, Don Pedro Santistéban y D. Josef Novoa, del de Lugo; D. Luis Blanco, Don Pedro Iglesias, D. Pedro Ruiz Peña, D. Pedro Rodríguez, D. Isidro del Rio, D. Antonio Arias, D. Manuel Quiñones, D. Carlos Mota, D. Auto-</t>
  </si>
  <si>
    <t>Blanco, Pedro Marcelino</t>
  </si>
  <si>
    <t>Pedro Marcelino Blanco</t>
  </si>
  <si>
    <t>…Real y supre mo consejo y cámara de S. M., str presidente, y de los ganaderos é individuos del concejo D. Fermín Fernandez de la Cuesta, D. Joaquín Perez , D. Balta sar Carrillo, D. Pedro Marcelino Blanco, D. Gregorio Moreno, D. Manuel Frutos , D. Cristóbal Hernández, D. Vicente Gil AIbert,L&gt;. Josef Ramírez y D.,Bernardo González Alvarez, su procurador general. Igualmente el 30 del mismo mes se presentaron también á S. M., y le fe licitaron con igual motivo en…</t>
  </si>
  <si>
    <t>Blanco, Silvestre</t>
  </si>
  <si>
    <t>Silvestre Blanco</t>
  </si>
  <si>
    <t>…én quera, 0. Manuel Zacates, D. Pedro de la Llave, 0. Josef Mariano dél Puk ar, D. Josef Arias Saavedra, 0. Antonio Hoscoso , Salvador Moreno* Vicente Vázquez, D. Tomas Dolagaray, D. Silvestre Blanco , D.&lt; Pedrof Valera, D. Santiago Piñeiro, D. Juan de Mata Marina, 0. Fernando Ruiz&gt; 0, Fulgencio de Toro, D. Andrés Costa, 0.: Manuel Guillelmi ;0.^Jüañ Pé rez Dd vi la, 0. Antonio Primo de Ribera, D. Miguel Coca ySandovalt0bn Juan Pernee de León, 0. Juan Lóp…</t>
  </si>
  <si>
    <t>Blanes, Miguel Antonio</t>
  </si>
  <si>
    <t>Miguel Antonio Blanes</t>
  </si>
  <si>
    <t>…ar últimamente, á D. Juan Benito Hermosilla, Regente de la audiencia de Oyiedo, y para la segunda a D. Manuel de Ondarza, Regente de lá de Sevilla: para la Regen cia dé Astúrias á D. Miguel Antonio Blanes, Oidor de la audiencia de Gali cia: parala de Sevilla á D. Torcuato Antonio Collado: para la fiscalía de lo civil de la misma audiencia de Sevilla á D. Francisco Gómez Fernandez, Fiscal de lo criminal ; y para esta resulta á D. Manuel Caballero. El inspector…</t>
  </si>
  <si>
    <t>Blany, Miguel</t>
  </si>
  <si>
    <t>Miguel Blany</t>
  </si>
  <si>
    <t>…les : D. Silvestre Navarro , D. Simón dé Segoyia y D. Juan Canturry 17352 rs. y 20 mrs. en 69 recibos de suministros á tropas, y de¡ 2 marcos 7 onzas y 2 adarmes en plata labrada: D. Miguel Blany 2032 rs. vn.: D. Rafael Diez Andrade 664 rs. y 16 mrs. mrnm*mmm, ■ .... .... .. .................................. .. : ■—................ Dos continu telones de las sentencias dadas por la comisión nombrada por S. M. Véndense juntas en el despacho de la impr…</t>
  </si>
  <si>
    <t>Blas</t>
  </si>
  <si>
    <t>…melb, obispo dé Oviedo; y Don Fr. Miguel Fernandez j del órdéñ dé S. Fraficiscoi , obispo in partibus dé Marcópolis, auxiliar y coadministradór de Quito. Flie consagrante él lima. Sr. D. Blas -Jacobo Beltrán i obispo de Ibizaj y electo de Coria: asistentes los limos. Sres. D. Antonio Joaquín Peréz, ‘ obispo- de la Puebla de los An geles; y D. Manuel Benito y Tabernero, obispo de Solsoná ;:y padrinos los Escmes. Sres. condes de Ofiate y de Villarié…</t>
  </si>
  <si>
    <t>Blasco, Matías</t>
  </si>
  <si>
    <t>Matías Blasco</t>
  </si>
  <si>
    <t>…L de las Ríos, D. Juan López , 0. Luis Rodríguez , 0« Manuel Ravanera., D. Antonio Ar de rius, D. Juan Molina, D. Manuel Pedtet: de tenientes á los. subtenientes D. Luis Carrillo, D. Matías Blasco, 0. Francisco Villalobos *D. Josef Gar cía Malo, D. Sipnon ie Cárlos, 0, RafaelCisneros., 0. Joaquín Antíllon, D. Josef Oimedllía , 0. Luis.Cortey, 0. Manuel Montero., .0. Manuel Pío Moreno, D. Andrés Carbáileiro, B. Manuel de Mutiasy D. Angel Ruá?^Don</t>
  </si>
  <si>
    <t>Blayé</t>
  </si>
  <si>
    <t>…el departamento. Los dis tritos del subprefecto tendrán comandantes particulares á las órdenes de un comandante superior del departamento; ^ „E1 distrito de Lesparre, que tenia el comandante Blayé , queda en eíl dia confiado al general Donna- - ^ „ El distrito de Libourne permanecerá bajo ti mando del coronel Du chaste!. ' . . ' r """ „ Los distritos del Reole y Bazas están al mando del general Faticher. ( í, La ciudad de Burdeos: y isuf partido5 queda…</t>
  </si>
  <si>
    <t>Blazquez, Juan Rosendo</t>
  </si>
  <si>
    <t>Juan Rosendo Blazquez</t>
  </si>
  <si>
    <t>…teriormente pata el arciprestázgo de la catedral de Guadix. = El beneficio servidero de la villa de Alba de Termesdiócesis dé Salamanca, vacante por muerte de D. Antonio Alonso, á D. Juan Rosendo Blazquez , cura castrense de la plaza de Alcántara. = La dignidad de arcedia no de Borriol en la iglesia de Torfosa, vacante por dimisión de D. Santiago* Antonio Méndez, deán de la catedral de Solsona, á D. Francisco! Castañedo, canónigo de Jaén. = La canongía vacante…</t>
  </si>
  <si>
    <t>Blocher</t>
  </si>
  <si>
    <t>…erse hasta el Rhin por el lado de la¡Suiza. GRAN BRETAÑA. Londres 79 de Abril. Está nombrado sir Carlos Stewart para embaxador extraordioario de esta corte cerca de Luis xvm. : El general Blocher está en Loxémburgo, donde se establecerá el cuar tel general del exército prusiano. El general Alten , que manda á los hanoverianos, tiene su cuartel general en Leuze. Las tropas inglesas ocupan des de Veurne hasta Courtray. El duque de Wellington ha pedido l…</t>
  </si>
  <si>
    <t>…el tercer cuerpo, fti marídódel general Thielman ,' había sido .atacado cercádeWavrcporgrandé* fuerzas enemigas, contra, las cuales disputaba con empeño la posesión de .j.E.1 feld-mariscal Blocher oyó esto con serenidad, porque sabia que en el puí&gt;to en donde se hallaba, y no en otro , era en donde debía decidirse la suerte del combate: una lucha mantenida sin intermisión, y con el mismo em peño, y continuada con tropas de. refresco, era solo la que po…</t>
  </si>
  <si>
    <t>Blondo, Agustín</t>
  </si>
  <si>
    <t>Agustín Blondo</t>
  </si>
  <si>
    <t>…D. Sebastian Paez de la Cadena, D. Francisco Lafita » D. Joaquín Gil de Bernabé, D. Gregorio Roldan , Don Redro de Nava, iD; Miguel Araoz, D.: Juan Echenique, *6/ Vicente Varela, D. Agustín Blondo, D. Agustwt Wautersy D. Ramón Allendey-D» BenitoOirtiz, D/ Manuel Soli$y D. Nieblas Meñaca, D¿ 'Ignacio ValleMarimon; Don Antonio Gastón, D. Vicente’ Bauzáy&lt;D¿ Pedro dePalacio,D. Joaquín de Senroa y D. Nicolás Mayorga. __ •' ¡ :n Ascenso á tenientes de navio…</t>
  </si>
  <si>
    <t>Bloomfield</t>
  </si>
  <si>
    <t>…A. Londres 24 de Octubre. SS. AA. II. los Archiduques de Austria salieron ayer de Douvres en co ches del Príncipe Regente y han llegado á Londres. A pocos minutos de su llegada el coronel Bloomfield fue, como gentilhombre de cámara del Prín-r cipe Regente, á felicitarlos en nombre de S. A, R. - Es de creer que se haya concluido el alboroto de los marineros de New-</t>
  </si>
  <si>
    <t>Blucher</t>
  </si>
  <si>
    <t>Gaceta de Madrid n.º 52</t>
  </si>
  <si>
    <t>…n á las órdenes del general ruso E¿relay;de Tolly , junta mente con 80® rusos, que por ahora formarán la reserva; y,en.Cambio de esto, tres cuerpos rusos obrarán á las órdenes del mariscal Blucher, manda dos por los generales Wintzingefodéy Wozonyott y .Yerinoloft. £1 cuerpo de ,$oQ prusianos 9 ó acaso de mas 9 situado en el Ruin ai mando del general Kleist 9 está ya pronto á obrar. i £1 público está aquí muy contento con saber que en Viena han firmado…</t>
  </si>
  <si>
    <t>…en Narni. .■ - ■■■)■ ,-^r? -.o.v v-- : /..-.i PAISES^BAJOS-UNIDOS. Tirlemont j de Mayo. El duque de Wellington ; comandante.engefe del egército aliado én los^ Países-Bajos , y el príncipe Blucher* generalísimo de los egércitos: prusianos» han llegado hoy aquí casi á un mismo tiempo, acompañados de muchos ge nerales y oficiales superiores. Estos dos &gt; guerreros se apearon en . la fonda del Plat de Etain, en donde tuvieron una conferencia de dos hora*,…</t>
  </si>
  <si>
    <t>639</t>
  </si>
  <si>
    <t>…rganización de su egército: el 13 había recibido pliegos de Viena, cuyo contenido se ignora-* ba. El Príncipe de Orange ha establecido su cuartel geneiel en Sottingen. El del feld-mariscal Blucher estaba todavía en Lieja, y .las fuerzas prusia-* ñas se aumentaban de dia en dia en las inmediaciones de aquella ciudad, ea do ade se esperaba ver reunidas á fines , de ésta semana las tropas destinadas alas primeras operaciones contra la Francia. El presiden…</t>
  </si>
  <si>
    <t>…de tres millones de francos y millón y medio á Dunkerque.—El egercito frail ees del norte está acantonado entre el Sambra y Mosa» y ocu pala atención del duque de Wellington y del príncipe Blucher , »lo&amp; cuales, se .dice quelite* nen 700 piezas de artillería y 200® hombres en aquella frontera de Francia. Se ha publicado en Viena una acta frrmadá por todos los plenipotencia rios sobre la siguiente cuestión, remitida á examen de una comisión „Si á. vista…</t>
  </si>
  <si>
    <t>Gaceta de Madrid n.º 80 (extraordinaria)</t>
  </si>
  <si>
    <t>…ie*¡^&gt;o que 4 Emperador setrasbdócon sa iesrrfl á Floro. L$&amp;^0T$nma$4$L mariscó Gfoachy,de$pocs que hubieran pasada de Ffo¿ «o, descnbríeronel ejercito enemigo mandado por el feld-mariscal Blucher^ oye ocupaba «en su Izquierda las aba ras del molino de JBussy y el lugar Sombre., y «stpodiefido $9 «aballaría mucho trecho sobre el camino de Kaf imit,: su derecha estaba ea Saint-Ámand, ocupando este gran lugar con Iber ias respetable^., y ¡teniendo delant…</t>
  </si>
  <si>
    <t>771</t>
  </si>
  <si>
    <t>…aba-dé su parte. El barón Vincent ha salidor herido, y el general Pozzó -recibió ti na " : "y •,'f; ? ‘ 'contusión. \ '■'..-.a i: -7 „No haría justicia á mis sentimientos , ni al mariscal Blucher , nial' egér cito prusiano ^:sliho^atilS:buy^^r'&amp;b|bliz&gt;iesuha'd^' de esté terrible dia* al cordial y oportuno auxilio íqné tecihí'dé éllós. ¿ 9 í . i ! ~ . r ; y ?, L#: ope ración del "general ;Bu lo w sobre éF fla nco enemigó fiie de las mas decisivas ; y a…</t>
  </si>
  <si>
    <t>…tem prano volvió á ganar parte del terreno que había perdido, consiguiendo ha cerse dueño de la comunicación' que desde Nivelles y BrUsélas se dirigía á la posición que ocupaba el mariscal Blucher. *i7 * * * * „ Entre tanto habla yo mandado que todo el egército marcháse sobre Quatre-Bras; y la quinta división ; al mando dei tentéhte general S. Tornas Pictonf llegó cerca de las dos y media del día, seguida del cuerpo de tropas</t>
  </si>
  <si>
    <t>mandadas por el duque de Brunswick, y después por el contingente de Nassau. „ A este tiempo comenzó el enemigo un ataque contra el príncipe Blucher con todas sus fuerzas, escepto los cuerpos primero y segundo, y un cuerpo de caballería á das órdenes del general Kellerman, con el q'uál atacó nuestro puesto de Quatre-Bras. ,,El egército prusiano mantuvo su posición con su acostumbrado valor y constancia co…</t>
  </si>
  <si>
    <t>…e nos impedía ser flanqueados por aquella parte, y en frente del centro izquierda ocupábamos la quinta de La-Haye-Salnte. Por nuestra / izquierda nos comunicábamos con el mariscal príncipe Blucher en Wavre por Ohaim ; y el mariscal me había proníetido, en caso de verme ata cado, socorrerme con uno 6 mas cuerpos según lo creyese necesario. „ El enemigo reunió su egército, á escepcion del tercer cuerpo enviad» a observar al mariscal Blucher, en una serie…</t>
  </si>
  <si>
    <t>…espués de obscu recer, y entonces se cesó á causa de la fatiga de nuestras tropas, que habián estado empeñadas por espacio dé 12 horas, y por hallarme yo en el mismo camino con el mariscal Blucher , quién me aseguró de'su intención de seguir al enemigo en la noche: hoy me ha enviado á decir que ha cogido en Genappes 60 cañones pertenecientes á Ja guardia imperial, y muchos carruages, bagages &amp;c. pertenecientes á Bonaparte. ^ „ Me propongo moverme hoy e…</t>
  </si>
  <si>
    <t>…de á caballo los deshicieron tan completamente, que apenas hubo quien pudiese huir. No ha sido menor tampoco la bizarría con que se han portado las tropas prusianas, y el valiente príncipe Blucher que tan diestra mente las ha conducido á la victoria, ni el de ios demas cuerpos que han te nido parte en estas gloriosas batallas, las mas sangrientas sin duda que han visto los tiempos modernos. Es imposible espresar el ruido mil veces duplica do de la inme…</t>
  </si>
  <si>
    <t>…al fren te de sus valientes tropas. Dos divisiones de tropas inglesas han sufrido cstraordinanamente. Escribo en el campo de batalla, y continuando mi mar cha-persiguiendo con el mariscal Blucher á Napoleón, que huye precipita damente con sus tropas. Las tropas de la Bélgica se han portado con un va lor estraordi na rio.” Idem d las 10 de la mañana. Acaba de llegar el coronel Wauthier, edecán del Príncipe de Orange, enviado por S. A. R. con el parte s…</t>
  </si>
  <si>
    <t>…egemplo, no quedó ya duda de que su intención era separar la línea inglesa de la prusiana, y dirigirse Sobre Brusélas. Entonces el lord Wellington se unió con todas sus fuerzas al mariscal Blucher, y atacando entrambos á los franceses , les obligaron después de dos dias de una terrible lucha á retirarse á su línea. Parece que los franceses se adelantaron hasta Genappe á unas 15 millas dé aqui; pero debieron permanecer muy poco tiempo e» aquel punto, pu…</t>
  </si>
  <si>
    <t>…riscal príncipe de Eckmühl (Daveust), co mandante del egército francés de una parte , y el mayor general el barón Müflin, revestido de los plenos poderes de S. A. el íeld-mariscal príncipe Blucher, comandante en gefe del egército prusiano , y el coronel Henvey, .revestido de los plenos poderes de S. E. el duque de 'Wellington,. comandan te en gefe del egército. ingles de la otra, han convenido en los artículos se guientes: art. i.® Habrá una suspensión…</t>
  </si>
  <si>
    <t>…después que se apoderó de Charleroi, dirigió su mar* *cha conta F leu rus; pero no pudo desalojar al gene ral Ziethen, que se man tuvo en posición cerca de este punto. t ,,E1 reíd-mariscal Blucher, juzgando qué muy en breve se dana una ba talla , hizo que los tres cuerpos ae su egército se dirigiesen á SombrefF, á le gua y media de Fleurus, adonde el dia 15 debían llegar los cuerpos segundo ty¿ tercero^X *ljdia¿t6?eí cuarto* „E1 Lord Welíingtón había r…</t>
  </si>
  <si>
    <t>…el de nuedo que es posible concebir, y la firmeza que manifestaron fue sin igual, porque cada^ uno ponía toda su confianza en sus propias fuerzas" solamente. ,,En este dia el feld-mariscal Blucher se vio en el mayor peligro, porque UOiTiQ^n una carga que dió, con la caballería hubiesesido■)rechazado, y se yiese perseguido por los 'coracesros franceses, al huir, una bala de fusil le hirió el caballo, el cual dio á correr desbocado hasta que cayó muerto,…</t>
  </si>
  <si>
    <t>…n se(decidió su ruina.;iy allí tambiemfue caí donde j en medio.de la obscuridad; dé la noche por una feliz casualidad, se encontraron por praneta vez después de la batalla el feld-mariscal Blucher y el Lord' Wellington, y se abrazaron &gt; y mutuamente se dieron el parabién como vencedores. Por esto pues, y para memoria de la alianza que existe entre la nación inglesa y la prusiana en memoria de la unión de sus egércitos, y de larrecíproca confianza y, au…</t>
  </si>
  <si>
    <t>…Rey la sumisión de las tropas de mar y tierra dé Brest, en don de se ha tremolado la bandera blanca con beneplácito y regocijo de los ve cinos de la ciudad. Se asegura que el feld-mariscal Blucher va á establecer su cuartel general á Chartres. El primer cuerpo del egército^ prusiano mandado por el general Zíethen, que guarnecía á París, ha salido para la Nórmandía. El sesto cuer po de este egército, mandado por el general Trauenzien , ha llegado al dep…</t>
  </si>
  <si>
    <t>…s enemigos á su izquierda, ó en dirección a St. Diez ó á Biüyeres. • ! El mariscal ha recibido urden del Príncipe Schwarzénbferg, en virtud de avisos del Duque de Weliington y del mariscal Blucher, de avanzar rápida mente. Parece qtle las autoridades de Nanci piden al Príncipe Wrede que man tenga el ¡orden en la ciudad. El general Czernicheff se encontró á la izquierda del Mosela, entre Metz y Longvióñ V con úti cuerpo de enemigos que se componía de un…</t>
  </si>
  <si>
    <t>…alons so bre el Mame por el teniente general conde Czernicheíf, con algunos cosados y otras pocas tropas ligeras, donde cogió al enemigo seis piezas, y con tinuó á unirse ó con el mariscal Blucher ó con el Duque de Wellington. El Príncipe Wrede ha avanzado por el camino real de Strasburgo á Pa rís , y estaba en St. Dizier cuando yo salí últimamente de allí. Ruta del cuartel general de los Emperadores* El 27 de Junio en Spira: 28 en Rheinzabern: 29 en W…</t>
  </si>
  <si>
    <t>…pasado órdenes á sir Jorge Cockburn , co mandante del navio Northumberland, para que le conduzca inmediatamente á la isla de Sta. Elena. El bizarro sir Hudsonelowe, amigo del feld-mariscal Blucher , está nombrado para custodiar á Bonaparte en la isla , que es el punto mas seguro donde pueda permitirse vivir á este perturbador del mundo, quien será tratado como un general prisionero. Se asegura que ¿no se le permitirá llevar las riquezas que ha traído c…</t>
  </si>
  <si>
    <t>…era de la nueva galería que ocupa S. A. R. Monsieur. _ • - % Lord Welíington ha estado esta mañana en S. Denis á pasar revista á al gunos cuerpos ingleses. S. E. comió ayer coa el general Blucher en Versailes,</t>
  </si>
  <si>
    <t>…un -correo que ha enviado ai Archiduque Cários á-Maguncia , el cual debe llevarle instrucciones; • Escriben de Aquisgran que ademas dé los vivos dolores que: padece en el brazo él general Blucher tiene frecuentes accesos de fiebre. Este general pa rece que está muy fatigado de la última campaña; sin embargo, habiendo sentido algún alivio en sus males, se puso eh camino la mañana del 4 para Berlín-. &lt; - ■ ' ■■ ‘ " .r ? v r.vi ■ ■: .f ---v . ‘ Las tropa…</t>
  </si>
  <si>
    <t>Blucher, Príncipe</t>
  </si>
  <si>
    <t>Príncipe Blucher</t>
  </si>
  <si>
    <t>914</t>
  </si>
  <si>
    <t>…uiente: ¡ : • . „ Por un oficio del consegero de Estado Mr. Ribbentrop&gt; intendente general del egército del bajo-Rhin, su fecha en París á 15 de Julio, he sabido que S; E. el feld-mariscal Príncipe Blucher, poco despues.de su entrada en Paris; mandó que todas las obras de artes y literatura robadas por los franceses en los estados de Su M. prusiana;;fuesen reclamadas y conducidas, á los; parages. de donde habiajg sido es traídas» Para la egecuCipn de esta orden…</t>
  </si>
  <si>
    <t>…debían recibir en especie. Las viudas y los hijos de los sol dados muertos en campaña, ó de resultas de sus heridas, gozarán también del mismo beneficio. S. M. ha regalado al feld-mariscal Príncipe Blucher 50® escudos, y al general Gneiseneau 25®. ITALIA. Milán 24 de Octubre. $. A. R. la Princesa de Gáles ha hecho adornar con mucha magnificencia la casa de campo que ocupa á orillas del la^o de Comino, y ha mandado cons truir á sus expensas un camino que va desd…</t>
  </si>
  <si>
    <t>Blucher, Príncipe de</t>
  </si>
  <si>
    <t>Príncipe de Blucher</t>
  </si>
  <si>
    <t>…ene intención de fortificar la ciudad de Plasencia, en el caso de que permanezca en su actual estado la ciudadela de Alejandría. PAISES-BAJOS-UNID Aquisgran 2 de Diciembre El feld-mariscal Príncipe de Blucher permanece aquí todavía. Acaba de publicarse un Real decreto, mandando que se erijan en las igle sias monumentos en honor de los valientes guerreros muertos en el cam po de batalla. El decreto señala dos clases: 1. de los que hayan muerto eger cutando una haza…</t>
  </si>
  <si>
    <t>Bluclier, Príncipe</t>
  </si>
  <si>
    <t>Príncipe Bluclier</t>
  </si>
  <si>
    <t>…mismas tropas, las cuales se han dirigido háciá el Calvados y la Mancha. Se dice que va á reunirse en los contornos de esta capital una gran parte del egército prusiano , y que el mariscal Príncipe Bluclier establecerá; en Versailles su gran cuartel general* I Escriben de Grc-noble, con fecha del 20 de este mes, que estaban pasan do 8© austríacos por el departamento del Isere con dirección á Italia. Después de una resistencia muy obstinada se rindió Ja plaza de…</t>
  </si>
  <si>
    <t>Bluett</t>
  </si>
  <si>
    <t>…itán Manday ; el Orates r de 36, capitán Cochrane; el Spartan, de 36, capitán Homby;. el Detiree* de 36 * capitán Wooldridge; el Antelia, de 36, ca pitán Ptoby; el Leven r de..... capitán Bluett; el Perseas %de..... capitán A’Coust, y otros quatro buques menores. Ha llegado de Ostende á Margatte un paquete, que salió el 26,, y por él se ha sabida que el 24 había llegada allí S. M. Luis xvm, acompañado de tres mariscales, y que de un dia á. otro esper…</t>
  </si>
  <si>
    <t>Bobadilla, Gregorio</t>
  </si>
  <si>
    <t>Gregorio Bobadilla</t>
  </si>
  <si>
    <t>…agones de Azangafo al coronel graduado de milicias y comandante dé esquadron D. Sebastian'Benavente: para las compañías tercera y de granaderos én el de infantería de Caxamarca ai teniente D. Gregorio Bobadilla , y al capitan D, Miguel López Varéla: para compañías en el de dragones de Mages á los tenientes D. Eusebio y D. Matias Pacheco: para igual empleo en el de caballería de Cañete ai te niente D. Rafael Rodríguez: para el mismo en el de dragones de Atidahuaylas…</t>
  </si>
  <si>
    <t>Bocal, Agustín</t>
  </si>
  <si>
    <t>Agustín Bocal</t>
  </si>
  <si>
    <t>…a, D.. Tomas Gómez Qui janó, Don Joaquín Vial ,’D. Francisco Sirera, D. Antonio dé la Rosa y D. Juan Bermuy.' ^ Ascenso á alféreces de navio á los dé fragata D. Manuel Arechevala, Don Agustín Bocal a n, D. Matías Aldao, D, Diego Gadea, D. Antonio Mella, Don Josef Barros, D., Alonso Butrón, D.•Felipe Saavedra, D. justo Pasalagua; p. Vicente de Mesa,D. Fulgencio Anríen, D. Josef Carreño, D Manuel. Ümendia, D. Julio Ponce de León, D. Josef Marco y.Espejo,…</t>
  </si>
  <si>
    <t>Bocanegra, Benito</t>
  </si>
  <si>
    <t>Benito Bocanegra</t>
  </si>
  <si>
    <t>…mayor entonces del primer batallón de voluntarios deS Ciudad- Rodrigo: de teniente coronel á D. Rafael Miguel y D. Tomas Ro drigo, capitanes del regimiento provincial de Segovia, D. Benito Bocanegra, del de voluntarios de Avila, D. Fernando Diez Bascones, D. Mariano Hernández, D. Francisco Tiburcio Sánchez y D. Juan Francisco Perez, de los batallones de voluntarios de Ciudad-Rodrigo, y D. Gabriel More no, capitán de inválidos de las compañías de Ciudad-R…</t>
  </si>
  <si>
    <t>Bocanegra, Benito Rubio de</t>
  </si>
  <si>
    <t>Benito Rubio de Bocanegra</t>
  </si>
  <si>
    <t>459 Plasencia, vacante por maerte de D. Manuel Oliva, á D. Benito Rubio de Bocanegra, debiendo de habilitarse con la competente di pensa para su ob tención por el impedimento de bigamia: para una media- ración de la igle sia catedral de Segovia, vacante pór fallecimiento de D** Joan Sánchez,"á D. Policarpo de la Puente: para el priorato claus…</t>
  </si>
  <si>
    <t>Bocanegra, Francisco Plácido</t>
  </si>
  <si>
    <t>Francisco Plácido Bocanegra</t>
  </si>
  <si>
    <t>…erte dé D. Antonio Terri, á D. Josef Zorrilla de la Roería. La dignidad de maestrescuela que vacó en la iglesia metropolitana de Granada por fallecimiento de D. Josef de Robles' á D. Francisco Plácido Bocanegra, canónigo doctoral de la misma iglesia; la dignidad de prior, vacante por muerte de D. Geroteó Bringas de la Torre, á D. Andrés García Mellado, canó nigo de la iglesia colegial de S. Isidro de esta corte, y la canongía que ha va cado por muerte de C. Manuel D…</t>
  </si>
  <si>
    <t>Bocharen</t>
  </si>
  <si>
    <t>…se á Meilleríe delante dé las primeras columnas austríacas, habían abierto momentáneamente á los franceses las ciudades de Thoiion y Evian. Los franceses restaban mandados! por el coronel Bocharen * y su fuerza consis tía en dos compañías del i regimiento núm. 42.°, dos dél 563.% de unos 150 aventureros y de. un canon; ¡ Entre los muertos franceses se han encontrado dos de sus oficiales, y . son muchos dos heridos qué han sido conducidos á Evían. La fu…</t>
  </si>
  <si>
    <t>Bodoy, Claudio</t>
  </si>
  <si>
    <t>Claudio Bodoy</t>
  </si>
  <si>
    <t>Gaceta de Madrid n.º 133</t>
  </si>
  <si>
    <t>…astilla la Nueva, dada con acuerdo de su auditor de guerra, se cita, llama y emplaza á los hijos, he rederos y acreedores del comisario ordenador honorario de los Reales egércitos Don Claudio Bodoy, del comercio que fue de la ciudad de Valencia, vecino de esta corte, para que dentro de 30 días, contados desde esta fecha, que por tres términos' sé les señalan, y el último perentorio, acudan por sí ó por medio de persona que les represente á usar dé su de…</t>
  </si>
  <si>
    <t>Boileau</t>
  </si>
  <si>
    <t>…dartes, y tuvo entre sus tropas muchos heridos, dé los cua les algunos se ahogaron en el rio Bagnutee. La pérdida del capitán Hay con siste en dos muertos y 21 heridos, incluso el teniente Boileau, que recibid una cuchillada peleando en persona con el Sabá. Hace dias que se había asegurado la muerte del príncipe Berthier, que posteriormente había sido confirmada ; pero ahora por el correo de Alemania se han recibido de ella las particularidades siguien…</t>
  </si>
  <si>
    <t>Boissi-de-Anglais</t>
  </si>
  <si>
    <t>…riscal duque de Elchingen (Ney ),.el mariscal Suchet, el mariscal duque de Conegliano (Moncey), el mariscal duque de Treviso ('M^rtier), el conde de Barral, arzobispo de Tours, el conde Boissi-de-Anglais , el duque de Cadore, el duque de Canclaux , el conde de Casablanca ,. el conde de Montesquiou, el conde de Pontecoulant, el conde Rampon, el conde de Segur, el conde de Valence y el conde Belliard-----De los sugetos nombrados se esceptuarán todos aquellos qu…</t>
  </si>
  <si>
    <t>Bombelles</t>
  </si>
  <si>
    <t>…bzeltern para Petersburgo; el príncipe de Kaunitz para España; el general conde Neipperg para lurin; elbafon Steigcntesch para Copenha gue; el barón de Wessembargo para Munichj^el conde Bombelles para Stockoímo el barón Schauensteín para Cássel y Hannóyer; el príncipe Jablonowski para Sicilia, y el conde de Tautmansdorf para Saloma. Se ha circulado en esta ciudad Ja lista siguiente de las tropas que están marchando contra Francia. Rusos 22)$; austríac…</t>
  </si>
  <si>
    <t>Bonajpas, Agustín</t>
  </si>
  <si>
    <t>Agustín Bonajpas</t>
  </si>
  <si>
    <t>…primeras poesías que ¡se han-publicado en¡ España eíx obsequia del Rky nuestro, Señor Fernando yi.i dcBorboííuesde su feliz entrada [y Tiene ¡a;en Valencia hasta el presente: ppr D. Agustín Bonajpas^^y pasero,.agerjta $9 los Real.es. consejos. Se,hallará n 3 re?. eniaíjl*rei;ía :4* Gjíá* retas. ^ " Colección de 12 estampas y una portada en ¿cuartilla de marca mayor, grabadas 1or bupn protesor, que representan las principales suertes de una corrida de tor…</t>
  </si>
  <si>
    <t>Bonaparte</t>
  </si>
  <si>
    <t>…de comunicar al contra almirante sir Jorge Cockburn una copia de lá memoria adjunta,, que debe ser virle de instrucción, en cuanto á la conducta que ha de observar mientras que el general Bonaparte esté á su cuidado. —_Confiando-una* comisión taíí importante á oficiales ingleses, el Príncipe Regente cree inútil hacerles saber su deseo sincero de que ño se1 eiwplfceh? en la custodia del general Boñaparte providencias mas severas que las necesarias para c…</t>
  </si>
  <si>
    <t>1164</t>
  </si>
  <si>
    <t>…embre. El contrá-al mirante sir Jorge Cockburn recibió las instrucciones siguien tes, Con arreglo á las cuales debía conducirse mientras Bonaparte estuviese á su cargo. „Cuando el general Bonaparte salga del Belerofonte para pasar á bordo del Northumberlandt será el tiempo mas oportuno para que el almirante Goékburn haga reconocer los efectos que aquél haya traido. ,,E1 almirante permitirá que se lleve á bordo del Jsorthumberland el equipage , vino y co…</t>
  </si>
  <si>
    <t>…le acompañan están sujetas i las mismas estipulaciones. „ El mando de las tropas que le han de custodiar estará á cargo del go bernador, sobre lo que recibirá instrucciones. „ El general Bonaparte debe estar siempre acompañado por un oficia! nombrado por el almirante , ó si fuese necesario por el gobernador. Si se permire al general pasar de los límites donde se hallen los centinelas apostados, deberá el oficial que le acompañe llevar consigo á lo meno…</t>
  </si>
  <si>
    <t>Gaceta de Madrid n.º 162</t>
  </si>
  <si>
    <t>…ra hospitales.’ Total 226 buques , que componen 36 menos que el mes pasado. El bergantín de guerra Julio ha dado la vela para Sta. Elena con pliegos para e! almirante Cockburn. El general Bonaparte no ha enviado carta alguna por la embarcación que ha venido de Sía. Elena, y prohibió escribir á los que le acompañan. Los papeles holandeses del 2 hablan de la partida del Príncipe heredero de Orange el 29 del anterior para Berlín, de donde debe pasar á Pete…</t>
  </si>
  <si>
    <t>Boneo, Francisco</t>
  </si>
  <si>
    <t>Francisco Boneo</t>
  </si>
  <si>
    <t>…iña , D. Manuel Diaz Herrera, D. Josef del Calvo, D. Manuel Bar rientes; D. Juan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 D. Francisco Alame…</t>
  </si>
  <si>
    <t>BoneüiJ, Francisco Mallo</t>
  </si>
  <si>
    <t>Francisco Mallo BoneüiJ</t>
  </si>
  <si>
    <t>…on-entrada á D. Juan Pablo de Priego, ai conde de Santiago Ca11 maya, á DV Antonio Manuel Montenegro y Correa , á D. Josef de Óvando y Adorno , al marques de la Vega de Armijo y á D. Francisco Mallo BoneüiJ iPiazas de mayordomos de semana á D. Miguel Desmaisieres, al conde der Cumbrehermosa, á D. Josef Losada, al marques de la Regalía y á D. Anto nio Francisco de Lecumberri y Azcué. (Se continuará.) - ^ ó . i</t>
  </si>
  <si>
    <t>Bonfigli</t>
  </si>
  <si>
    <t>…ayer á esta ciudad. En la noche del 16 ai 17 salió de aquí una columna de tropas de 300 cazadores con dos piezas de campaña y un fuerte destacamento de dragones á las órdenes del coronel Bonfigli, dirigiéndose á las costas, con el objeto de esterminar los cuerpos de bandidos que infestan estas provincias. Ñapóles 18 de Agosto. Queriendo S. M. arreglar la fuerza armada á la población del reino, y proporcionar al estado la fuerza y seguridad necesarias,…</t>
  </si>
  <si>
    <t>Bonifacio</t>
  </si>
  <si>
    <t>…de £ 150 pesos á favor de D. Bonifacio Doz, importe 811 rs. y 8 mr$. Enero, núme ro 217, ídem de 13 vales Reales de i 150 pesos á favor de D. Jayme Doz, y cor responden á su hijo D. Bonifacio, 1173 rs. y 8 mrs. Enero, núm. 91, ídem de un ▼ale de 300 pesos ídem ídem, 180 rs. y 17 mrs. Enero, núm. 42, id:m de uno ídem de 600 pesos ídem de ídem, 361 rs. Mayo, núm. 163, ídem de 9 ídem de 600 pesos ídem ídem, 3 149 rs. Mayo, núm. 272, ídem de 8 ídem de…</t>
  </si>
  <si>
    <t>Bonifaz, Josef Isidro</t>
  </si>
  <si>
    <t>Josef Isidro Bonifaz</t>
  </si>
  <si>
    <t>…laza y D. Josef Cíemente Merino; para otra en el de infantería de Caxámarca ai teniente D. Juan Francisco de Arana i para tres tenencias en el propio regimiento á los subtenientes D. Josef Isidro Bonifaz, D. Fernán* do Loredo y D. Pedro Ürteaga: para una subtenéncia en el mismo cuerpo ai cadete D. Narciso de Boniiaz y Castañeda : para dos subtenencias de ban dera en el expresado regimiento ádos cadetes. D. Juan Josef García Perez y D. Manuel Pascual de la Roc…</t>
  </si>
  <si>
    <t>Bono, Francisco</t>
  </si>
  <si>
    <t>Francisco Bono</t>
  </si>
  <si>
    <t>…D.'Manuel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Josef Marín, D. Josef Alcázar, Dr Josef de Cast…</t>
  </si>
  <si>
    <t>Bor, Francisco de</t>
  </si>
  <si>
    <t>Francisco de Bor</t>
  </si>
  <si>
    <t>…y por su gloria é independencia. El zelo infatigable por el mejor servicio del Rey y por el esplendor de su marina Real, y élca-1 bal desempeño de los mandos y comisiones que tuvo D. Francisco de Bor ja,* deben haber hecho más sensible su pérdida , especialmente para dos marinos1 que pudieron apreciar su mérito y sus conocimientos. 1 ARTICULO DE OFICIO. , j ■ ■ ■ ■ ■ - % ' ; Kj Con motivo de los dias del Rey nuestro Señor se ha servido S. M. hacer las gra…</t>
  </si>
  <si>
    <t>Bórdon, Antonio</t>
  </si>
  <si>
    <t>Antonio Bórdon</t>
  </si>
  <si>
    <t>sales, D. Diego.Carbonell,D. Antonio Bórdon$,D. Ignacio Velazquez,Don Andrés Ramos, D. . Josef Velez, D. Francisco Contreras, D. Manuel Auñon, Dt' Josef Palillos, D. Antonio Acosta, D» Francheo Menduiña, D. Julián Senessens^iD* Josef AraüjoyD. Antonio Rute, D. Manuel Santander, D. Josef Domínguez , D.…</t>
  </si>
  <si>
    <t>Borgara, Josef</t>
  </si>
  <si>
    <t>Josef Borgara</t>
  </si>
  <si>
    <t>…, D. Josef González, D. Pedro Iribarren, D. Joaquín Rodríguez, y JX Francisco Manso, del tercer Batallo.n de ídem; D. Francisco Picado, Ayudante de U plaza dé. Ciudad-?Ro drigo, y D. Josef Borgara y D. Jqaa Fermín Castillejo., del Batallen de Urbanos de la misma: al de Subtenientes á los Sargentos Ó. Francisco Ca lleja, JD. Isidro Cifuentes, y D. Manuel Lozano., det Real Cuerpo"de Arti llería; y á D. Angel Martin , E&gt;. Cayetano del Cás.tiliío, D. Josef Quenedí, D. Basilio Moran,…</t>
  </si>
  <si>
    <t>Borghese, Camilo</t>
  </si>
  <si>
    <t>Camilo Borghese</t>
  </si>
  <si>
    <t>…dirección á poniente, á cuyo bordo iba la división austríaca que se em barcó en Nápoles , - . El gobierno sardo ha secuestrado los bienes que habia dado Napóleoivea el Piamonte al príncipe Camilo Borghese en cambio de monumentos pre ciosos que poseía este. PAISES-BAJOS-UNIDOS. i Ambires 8 cU Agosto. ¡ Por decreto de S. A. S. el duque de Holstein-Oldenburgo se. ha manda-* do poner embargo á todos los buques que usen del pabellón de Oldenburgo, y no se hallen co…</t>
  </si>
  <si>
    <t>Borilbách</t>
  </si>
  <si>
    <t>. 579 ^ .... •da , el conde de t'íéipperéf mando al capitán conde de Thurn que le siguiese con medio escuadrón de húsares , á las órdeucs del capitán Borilbách y d&lt;*í teniente primero Kiss, det regimiento -del Príncipe Regenté', sostenido de dos compañías del batallón n.° de cazadores, de una partida de Wiedrum-Kel y de un destacamento de caballería. ~ Ea rápida y bien calculada operación del conde de Thüfn , del es…</t>
  </si>
  <si>
    <t>Borja, Francisco de</t>
  </si>
  <si>
    <t>Francisco de Borja</t>
  </si>
  <si>
    <t>…ho lo que la España* par no perder á su adorado FEKííAiíba vil que-Dios guarde. El Rey , en consideración .á los méritos y servicios del capitán general que fue de la* Real armada D. Francisco de Borja ', y Condescendiendo con ía solicitud de steviuda- la, marquesa dei Casa-^TiU^^ lperánitiáj qué se'exhuma sen las cenizas de aquel general, haciéndole su entierro público eii la iglesia de.$¡ Francisco de la ciudñd?;d©qCai;tageúa con* todos-los hoiiorefeimiEt…</t>
  </si>
  <si>
    <t>Borrell, Frey Josef</t>
  </si>
  <si>
    <t>Frey Josef Borrell</t>
  </si>
  <si>
    <t>…de la misma,catedral» y para el oficio regular, dignidad de limos nero del Real monastefip.de santa María de Ripoll, de ía congregación claustral tarraconense y cesaraugnstana, á D. Frey Josef Borrell. El, Rey nuestro Señor se ha servido nombrar ingeniero general de sai Reales exércitos, plazas y fronteras al capitán general de los mismos Don’ Joaquín Blake, en consideración'á sus distinguidos servicios y conocimien tos militares. ... ./ En el regimiento i…</t>
  </si>
  <si>
    <t>Bossuet, Jácóbo Benigno</t>
  </si>
  <si>
    <t>Jácóbo Benigno Bossuet</t>
  </si>
  <si>
    <t>…gradas de S. Felipe: las de Madrid hasta el 10 del presénte, y las dé fiiera hasta el 18 del mismo. ! . ^ ■ Del conocimiento de Dios y de sí mismo óbra póstiiina del Timo. ,SÍr. -D. Jácóbo Benigno Bossuet, obispo de Meaux, y traducida al castelIanb pór D. Alonso Ruiz de la Pina. Son bien conocidas en el orbe literario las obras ae ésfe célebre autor, y por lo tanto no necesita esta de recomendación, pues sütitulo basta pata conocer el mérito de ella, en la cua…</t>
  </si>
  <si>
    <t>Botella, Francisco</t>
  </si>
  <si>
    <t>Francisco Botella</t>
  </si>
  <si>
    <t>…, D. Josef Araujo, p. Josef Rovirat, D. Antonio Sierra , D, Josef María Lauquer, D. Josef Dá^ viía, ,D&lt;Antonio Alvare^, D, Joaquín Asensio, D. Benito Ibañez, D. Anto nio Casbas j D. Francisco Botella, D. Josef Rasero , D. Josef Joaquín de Corres, D. Manuel González la Madrid , D. Santiago Regoli, D. Pedro Moreno, D. Celedonio Navarro, D. Josef Faura, D. Juan Bengoechea, D. Ra fael Aleson, D. Santiago Mateos, D. Gregorio Mateo , D. Felipe Crespo, JuanAnton…</t>
  </si>
  <si>
    <t>Boullon, Domingo</t>
  </si>
  <si>
    <t>Domingo Boullon</t>
  </si>
  <si>
    <t>…ones,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 Francisco Espiñeyra , del de Lu go; D. Pedro Tineo, D. Juan Puente, D. Josef Antunio Rodríguez, Don Simón Fernandez, D. Teodoro Arce, D. Juan Guas…</t>
  </si>
  <si>
    <t>Boullu, Juan Pedro</t>
  </si>
  <si>
    <t>Juan Pedro Boullu</t>
  </si>
  <si>
    <t>…D. Francisco Doyega , D. Agustín Berlanga y D. Manuel Serrano. . ^ ¡1 En el regimiento Real de Zapado resMinadores«?1 ¡ 1 ‘ Grados también de subtenientes á los sargentos primeros D. Juan Pedro Boullu, D. Miguel Campillo, D. Juan López, D. Manuel de Pedro, Don Pedro Perez y D. Domingo Anguiano. ] Circulares ael ministerio de Guerra, El Rey nuestro Señor, que. procura estender sus paternales desvelos á to das las rolases del estado, y desea que los oficiale…</t>
  </si>
  <si>
    <t>Bourman, Rafael Vicente</t>
  </si>
  <si>
    <t>Rafael Vicente Bourman</t>
  </si>
  <si>
    <t>…lazagarre, D. Diego Henares y Tienda, D. Diego Miguel Bravo, Don Antonio vidaurreta, D. Juan Zarate, D. Josef Irunciaga, D. Josef Perez Quintero, D. Joaquín Martínez de Medinilla, D. Rafael Vicente Bourman,’ D. Ignacio Josef de Combo, D. Joaquín García' Mellado, D. Josef Gerau de Arellano , E&gt;; Juan López Fraga , p. Manuel de Lardizabal y Montoya , Ba rón de Castieí, D. Santiago Usoz y Mozzi, D. Blas Manuel de Loya, Don osef Vicente de Barrenechea, D. Simón de…</t>
  </si>
  <si>
    <t>Boutelou, Claudio</t>
  </si>
  <si>
    <t>Claudio Boutelou</t>
  </si>
  <si>
    <t>…cticas de agricultura todas las ventajas que es posible sacar de un método bien entendido y apoyado so bre la experiencia y los conocimientos especulativos del arte, quiero que el profesor D. Claudio Boutelou se encargue de fórinár' un almanak ó manual de jardineros, en que bajo un orden sencillo , breve, y que esté al alcance de todos , se den y expliquen las reglas que su largo egercicio y estudios le ha yan hecho reconocer por mejores en la práctica de la agric…</t>
  </si>
  <si>
    <t>Boyer</t>
  </si>
  <si>
    <t>Gaceta de Madrid n.º 126</t>
  </si>
  <si>
    <t>…gidos á Sir Crokor, anunciando con fecha de 10 de Agosto la capitulación de la isla de Guadalupe. El principal artículo de esta capitulación dice que el almirante conde Linois, el general Boyer y todas las tropas de línea francesas se enviarán á Francia como prisioneras de guerra, y á disposición del duque de Wellington.” ,7 T: Los buques ingleses se acercaron tanto á la costa para el desembarco dé las tropas que no perdieron un solo hombre.__ Algun…</t>
  </si>
  <si>
    <t>…la Bélgica. Se asegura que el general Drouet, conde de Erlon, ha sido arrestado en París , donde vivía oculto. El contra-almirante Linois, gobernador de la isla de Guadalupe, y el general Boyer, comandante de las tropas de aquella isla, se hallan ar restados. El famoso Schulmeister, espía pagado por la policía de Bonaparte, y el eonvencionista Malarme , subprefecto de Maubeouge, arrestados por los pru sianos, deben ser juzgados en Wesel por un conse…</t>
  </si>
  <si>
    <t>Bpütelou, Claudio</t>
  </si>
  <si>
    <t>Claudio Bpütelou</t>
  </si>
  <si>
    <t>…Novillo, dalle de la Concepción Géróníma. “ Tratado de la huerta , en que se explica el método de cultivar toda clase de hor¿ tal izas. Segunda edición, corregida y aumentada por D. Claudio Bpütelou, profe sor de agricultura y de botánica: tu* tomo en 4.0 Se hallará en la* librería de Casti-* lió, frente á las gradas de S. Felipe, y en da de Tieso, calle de las Carretas. Oran do'el crédito de que justamente goza el autor de esta obra dentro y fuera de Es…</t>
  </si>
  <si>
    <t>Braan</t>
  </si>
  <si>
    <t>…de edad acudan á alistarse en las milicias, confor me está prevenido por la ley de 27 de Febrero y decreto de S. M. de 2$ de Marzo. Igual orden se ha dado también en Amsterdam. El almirante Braan está nombrado comandante de una esquadrilla de fragatas y Buques ligeros, que van á dar la vela para cruzar delante de Fiesinga y en la embocadura del Escalda. PIA MONTE. Génova j de Abril► No es fácil explicar los sentimientos encontrados de piedad y satisfa…</t>
  </si>
  <si>
    <t>Braca, Miguel de Lerin</t>
  </si>
  <si>
    <t>Miguel de Lerin Braca</t>
  </si>
  <si>
    <t>…de Sanabria á D Manuel Ibiza y Heredero: para la de Benavente á D. Josef García Timarte: para la de Hinójosa del Duque á D. Eugenio JavaIquinto; para la de Calahorra en Granada á D. Miguel de Lerin Braca monte: para el corregimiento de Reynosa á D. Josef Hervás: para la vara de Ubrique á, D. Julián Ruiz Marín: para la de Oiiva á D. Josef Fernandez Villamil: pa- , ra la ce Villafranca del Vierzo á D. Antonio Piernas : para la dé Rivadavia á D. Martin Rodríguez…</t>
  </si>
  <si>
    <t>Brandi, Mariano</t>
  </si>
  <si>
    <t>Mariano Brandi</t>
  </si>
  <si>
    <t>…elipe Neri, que presenta los corazones de los fieles á la Santísi ma-Trinidad por medio de María Santísima, en pliego de marca mayor, dibujada por D. Mariano Maella, y grabada por D. Mariano Brandi. Se hallará á 10 rs* eti el almacén de estampas de la calle Mayor, frente á la casa del conde de Oñate. EN LA IMPRENTA REAL.</t>
  </si>
  <si>
    <t>Brandia, Josef</t>
  </si>
  <si>
    <t>Josef Brandia</t>
  </si>
  <si>
    <t>…gía que vacó por fallecimiento de D. Ma riano Bátaller á D. Josef Bertrán, cura de Llorat , pueblo de aquella diócesis i y la que vacó también en ia referida iglesia por muerte de D. Josef Brandia á Don Jospf Arnauto, eura párroco de Bañólas, en dicho obispado. = La canongía vacante en la iglesia metropolitana de Zaragoza por muerte de D. Baltasar Vénages á D. Pedro Satue, abad mitrado de la colegiata de Zafra , diócesis de Badajoz. =íLa media-raeion v…</t>
  </si>
  <si>
    <t>Brause</t>
  </si>
  <si>
    <t>…n estado aqui dos meses de guarnición han sa lido hoy para Aquisgran, y mañana esperamos dos' batallones de infantería de la misma nación , que pasan al mismo destino,al mando del general Brause. Se están preparando y construyendo con la mayor actividad, tanto aqui como en Dusseldorf, barcos para que pasen el Rhin un número considerable de tropas. PAISES-BAXOS. Gante 2,3 de Marzo. Las cartas de Lila anuncian que había llegado á aquella ciudad el dia…</t>
  </si>
  <si>
    <t>Bravo, Antonio</t>
  </si>
  <si>
    <t>Antonio Bravo</t>
  </si>
  <si>
    <t>…secretario de dicho!Real cuerpo, cuyas dotacio nes seráií proporcionadas á su habilidad, precediendo el correspondiente examen. " Se desea saber eFparadero, ó si es vivo ó muerto, D. Antonio Bravo , natural de S." Andrés de Lourizan, jurisdicción dé Pontevedra, en el rcyno de Galicia. Fue cadete en el segundo batallón déla Union en el año de 1809, y en él se mantuvo hasta la batalla de Alba de Termes, en la que fie dispersó. En el año de 1811 es tuvo é…</t>
  </si>
  <si>
    <t>Bravo, Diego Miguel</t>
  </si>
  <si>
    <t>Diego Miguel Bravo</t>
  </si>
  <si>
    <t>…r., D. Josef Vareta y Montero, Barón de Gastellnou de Momech , Don Burges Camac, D. Josef Montenegro , D. Ventura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Josef Gerau de Arellano , E&gt;; Juan López Fraga , p. M…</t>
  </si>
  <si>
    <t>Bravo, Francisco</t>
  </si>
  <si>
    <t>Francisco Bravo</t>
  </si>
  <si>
    <t>…. Josef Domínguez , D. Josef!Montero y D. Pedro .Trasierra , D. Frandsco Olmo:,* Don Fermí n Meneos^ «Dv VénturaiRiesco ,D. Josef Muñoz § D. Luis Gorrichátegui,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t>
  </si>
  <si>
    <t>Bravo, Joaquin Vicente López</t>
  </si>
  <si>
    <t>Joaquin Vicente López Bravo</t>
  </si>
  <si>
    <t>…en el arzobispado dé Santiago; y para una capellanía, vacante en la Real capilla de Granada por premoción de ,D. Manuel Elízalde á una canpngía de la iglesia catedral de Málaga, á Don Joaquin Vicente López Bravo. El Rey nuestro Señor ha venido en conceder cruz supernumeraria de la Real y distinguida orden española de Carlos m á D. Cários Do wnie, te niente coronel de la Legión extremeña; á D. Josef Amat y Robles, corre gidor de la ciudad de Alcántara ; á D. Alonso Go…</t>
  </si>
  <si>
    <t>Bravo, Juan de Acedos</t>
  </si>
  <si>
    <t>Juan de Acedos Bravo</t>
  </si>
  <si>
    <t>…dmitirá la que hiciere. s , • Ei Sr. E&gt;. Jqaquin de Almazan, del consejo de 5. M., teniente de corregidor de esta heroica villa, á pedimento de los síndicos de la testamentaría de D. Juan de Acedos Bravo, agente que fue de negocios en esta corte, ha señalado para la cele bración de nueva junta de acreedores é interesados á Ta misma testamentaría el do mingo 14 de Enero del año próximo venidero de 1816, á las 10 de su mañana, en’ liña de las salas del Excmo. a…</t>
  </si>
  <si>
    <t>Bravo, Juan González</t>
  </si>
  <si>
    <t>Juan González Bravo</t>
  </si>
  <si>
    <t>…Benito: para la del Carpió á D. Ignacio Gil de Sagredo: para la de Potes á D. Joaquín González Ramírez: para la de S. Esteban á D. Domingo Fer nandez : para la de Soto-Palacios á D. Juan González Bravo: para Gober nador Justicia mayor de Valde-Caballeros, y Juez privativo ae las Reales dehesas de los Guadalupes á D. Pedro León de la Plaza Segura: para la de Portillo á D. Garlos Covarrubias: para la de Gimena á D. Josef Mateos y Valle: para la de Garrobillas…</t>
  </si>
  <si>
    <t>Bravo, Matías</t>
  </si>
  <si>
    <t>Matías Bravo</t>
  </si>
  <si>
    <t>…arde á V. muchos años. Madrid 29 de Agosto de 1815. En consideración ¿ la adhesión á la justa causa que constantemente ha manifestado en la época de la guerra pasada el presbítero D. Matías Bravo, y á la prisión que sufrió por oponerse sus idéas á las de las llamadas Cortes; se ha dignado S. M. nombrarle secretario de la colecturía general de Espolios y Vacanres, admitiéndole la cesión de una canongía con que anteriormen te habia sido agraciado en la…</t>
  </si>
  <si>
    <t>Brayer</t>
  </si>
  <si>
    <t>…ocupaba en el Berry, y desde el 31 de Julio no ha habido noticia alguna de la dirección que na tomado. . í Escriben de Tours que éstos últimos días ha desaparecido porla noche el general Brayer. 'Farece que los prusianos han tomado la resolución de considerar como prisioneros ae guerra y transportar mas allá del Rhiri á los militares france ses de todos grados que se encuentren en París sin autorización especial. A estas disposiciones rigurosas ha d…</t>
  </si>
  <si>
    <t>Brenier</t>
  </si>
  <si>
    <t>…lando la bandera blanca, y sometiéndose á S, M. sin rendirse á las tropas estrangeras. Mr i Lebertre y el capitán de navio Roussen han venido á París comi sionados por el teniente general Brenier y por el contra-almirante Cosmau á rendir al Rey la sumisión de las tropas de mar y tierra dé Brest, en don de se ha tremolado la bandera blanca con beneplácito y regocijo de los ve cinos de la ciudad. Se asegura que el feld-mariscal Blucher va á establecer s…</t>
  </si>
  <si>
    <t>Bretaña, Alexis de Noailjes.ssGran</t>
  </si>
  <si>
    <t>Alexis de Noailjes.ssGran Bretaña</t>
  </si>
  <si>
    <t>…Cortes. , ,t Austria. a= El príncipe Metternich. = El barón de Wessemberg. s=E s-r paña. = Pedro Gómez Labrador. = Francia, zz El príncipe Taíleyrand. = El duque de Dalberg. == El conde Alexis de Noailjes.ssGran Bretaña.^.Qan-, carty. izCathcart. == Stevo&amp;rt. ^Portugal. = Jjil conde de Pálmela.5= Saldanha. = Lko. ;= Prusia^s: Él ptrftyipe de jjardemberg.^ Mi baron de Humboldt. =sRusia.=¿/ conde de RasomoTVskf.zz Él conde de &amp;tackciberg.~ El conde de Nesselrode. =sSuecia. ==…</t>
  </si>
  <si>
    <t>Bretón, Manuela Heras y</t>
  </si>
  <si>
    <t>Manuela Heras y Bretón</t>
  </si>
  <si>
    <t>…u fallecimiento una razón justificada, se le gratificara con 200 rs. vn., ó en Madrid en la librería de Villa, plazuela de Sto. Domingo, ó en la ciudad de Arnedo, en la Rioja, por Doña Manuela Heras y Bretón, á quienes podrá dirigirse la noticia. ■; Se desea saber el paradero de D. Josef Gorris Pradas y Castillo , que se hallaba empleado por S. M. en Santiago de Queretaroi-y de “quien no se tiene noticia hace mas de seis años, y teniendo que comunicarle asuntos,…</t>
  </si>
  <si>
    <t>Brie, Matías</t>
  </si>
  <si>
    <t>Matías Brie</t>
  </si>
  <si>
    <t>…del regimiento de Velez-Málaga, que se halló en la acción de Ocaña de 1809. Se suplica i fós ofi ciales', cadetes y denlas personas que la sepan se sírvan participarla en Madrid á D. Matías Brie^a ,* qué vive en la. calle de S; José, núm. 15, esquina a la de la a Huertas, y en i Toledo áLD.) Juan Fernandez de Alfonso \y Gándara, canónigo de aquella santa iglesia primada. j - - j EN LA IMPRENTA REAL.</t>
  </si>
  <si>
    <t>Brigueviile</t>
  </si>
  <si>
    <t>…general Excelmans dice que no hay guarismo para contar los valientes que «e han distinguid^- Señala particularmente ai teniente general Strolz; á los generales Berthe, Vieent; al coronel Brigueviile., que está gravemente herido; á, iqs, de igual clase Saintr Amand ,1 del 5de dragones; Chaillpt, del 15.°; Si* monnet, del i.° de cazadores; Fatídoas , del 6.w; Schmidt, del 8.°, y al co ronel Poaüni, dél.44.0 ¿.'.'j &gt; '•&lt;;&gt;... -y-n ", Se. han hecho en estas…</t>
  </si>
  <si>
    <t>Briine</t>
  </si>
  <si>
    <t>…rmaban parte del egército deí Loira, y cuya presencia ha po dido inspirar alguna inquietud. . &gt; . v El general Lamarque se ha entregado á disposición del gobierno. : ídem iá. . El mariscal Briine i qüe había salido de Tolon con pasaporte de Mr. de Riviere, fue conocido en Aviñon por el pueblo, y esteisé álboíotó inmedia ta mente* Bru ne ■ ba jó- del: coche y se refugió eti ,u na; posada :. ei prefecto que le había ya visto, y; aún aconsejado qué Conti…</t>
  </si>
  <si>
    <t>Bringas, Antonio</t>
  </si>
  <si>
    <t>Antonio Bringas</t>
  </si>
  <si>
    <t>…tivos créditos lá mayor parte de los acreedores, faltando únicamente que pagar D. Antonio Perez, D. Pedro Delgado, D. Antonio1 Blascuaga, D. Vicente Domínguez , Denvórat hermanos, D. Antonio Bringas,D. Sebastian de Aldama, Di Domingo Nava, Don Manuel Gerónimo dé Bringas con los cinCo gremios mayores, Enrior y Corrier, Bretón, Landay Viguri, y D. Bartolomé Cornejo, á quienes por no haberse pre sentado no se les ha satisfecho su haber respectivo ¿ que asce…</t>
  </si>
  <si>
    <t>Bringas, Francisco Arnaez y</t>
  </si>
  <si>
    <t>Francisco Arnaez y Bringas</t>
  </si>
  <si>
    <t>cisiones los derechos de alcabalas adeudados-por la venta dé una casa propig del Duque de Alagdn que compró D. Francisco Arnaez y Bringas en papel-* moneda de la misma clase; se ha servido S. M. resolver que tales derecho* ahora y en lo sucesivo se paguen en metálico con respectó ál valor verdadero de las cosas que los adeuden como si fueran también, apreciadas en metálico; y que para fijar est…</t>
  </si>
  <si>
    <t>Bringas, Geroteó</t>
  </si>
  <si>
    <t>Geroteó Bringas</t>
  </si>
  <si>
    <t>…ropolitana de Granada por fallecimiento de D. Josef de Robles' á D. Francisco Plácido Bocanegra, canónigo doctoral de la misma iglesia; la dignidad de prior, vacante por muerte de D. Geroteó Bringas de la Torre, á D. Andrés García Mellado, canó nigo de la iglesia colegial de S. Isidro de esta corte, y la canongía que ha va cado por muerte de C. Manuel Domínguez y Haro en dicha iglesia metropo litana* á D. Manuel Cano y Tené, racionero de ella; otra canon…</t>
  </si>
  <si>
    <t>Bringas, Julián</t>
  </si>
  <si>
    <t>Julián Bringas</t>
  </si>
  <si>
    <t>…y Laprada r é igualmente se ha 'servido reponer- en el de las quátro villas dé la: Hoya de Málaga ,' su Capital Cohín, á D. Jaari Florencio de Guzman, y en la vara de Santander i D. Julián Bringas: ha prorogado en el dé- Betanvos á D. Manuel Bernardino Perez: en el de Carrion* de los Condes á Don Juan Antonio Rama y Arcas: en el de Bujalance' á O. Salvador Seirrano; y en la vára de alcalde mayor de Vera y Moxacar á D. Josef María Mu ñoz de Guzman. i. i…</t>
  </si>
  <si>
    <t>Briones, Pedro</t>
  </si>
  <si>
    <t>Pedro Briones</t>
  </si>
  <si>
    <t>…"rlos ÍMariri ,f D. 'Aquiíinb Otolá ,(D&gt;í Josef Sálas-, ©. Antonio Bolu* fer, D. Cipriano Castro ; D. Josef Tovar y D. Josef González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t>
  </si>
  <si>
    <t>BriV, Antonio Fernandez</t>
  </si>
  <si>
    <t>Antonio Fernandez BriV</t>
  </si>
  <si>
    <t>…ra la de Plasencia á D. Francisco María Sánchez Castilla: para la de Igea á D. Josef Beortegui,; y para la de Alburquerque á D. An tonio Ayala. Para el corregimiento de Albacete á D. Antonio Fernandez BriV: para el de^Paradas á D. Tomas Marcos Varona: para el de Mayorga á Don Anastasio Pí nos y Palos: para el de Jadraque á D. Andrés Casaux: para el de Sisante y Vara de Rey d D. Marcos Espinosa: para el de Ponferrada á p. Luis de Lemus Gil de Taboadá ; y para el…</t>
  </si>
  <si>
    <t>Briz, Antonio Fernando</t>
  </si>
  <si>
    <t>Antonio Fernando Briz</t>
  </si>
  <si>
    <t>…isco María Osorio y Becerra: de los Santos á D. Vicente García Díaz: del Toboso á D. Francisco Juan y Cantabella: de San Mateo á Don Pedro Huerta Morales: de Almonacid de Zorita á D. Antonio Fernando Briz: de Daymiel al honorario de la cámara de Comptos D. Juan Ramón de Ibarra: de Mérida á D. Joaquín María de Egui^uren: de Dos-Barrios á D. Jorge Ferrer: de Segura de la Sierra á D. Diego Crespo de León! de Porcuna á D. Josef Antonio de Oscoz y Recarte: de Totan…</t>
  </si>
  <si>
    <t>Bruñ, Josef</t>
  </si>
  <si>
    <t>Josef Bruñ</t>
  </si>
  <si>
    <t>…n expresar én las mencionadas listas el pueblo de su residencia, y remitirlas francas de porte, sin lo cual nó serán admitidas. Estas y las de Madrid se dirigirán á la librería de D. Josef Bruñ, frente á las gradas de S. Felipe: las de Madrid hasta el 10 del presénte, y las dé fiiera hasta el 18 del mismo. ! . ^ ■ Del conocimiento de Dios y de sí mismo óbra póstiiina del Timo. ,SÍr. -D. Jácóbo Benigno Bossuet, obispo de Meaux, y traducida al castelI…</t>
  </si>
  <si>
    <t>Bruna, Justo Rodríguez Hurtado de</t>
  </si>
  <si>
    <t>Justo Rodríguez Hurtado de Bruna</t>
  </si>
  <si>
    <t>…a de Roa á D. Josef Fernandez Almansa: para la de Ronda, á D. Fernando López de Sagredo: para la de Alcañiz á D. Manuel Valonga Zaidin: para la de Casares y su ruebla de Manilva á D. Justo Rodríguez Hurtado de Bruna: para la de Sanlúcar la Ma yor á D. Juan Ribera: para la de Calasparra á D. Josef Antonio Picazo: para la de Jumilla á D. Francisco Morales de los Ríos: para la de Velorado á D. Cosme Moreno y Mérida: para la de la villa del Prado á D. Luis Fran cisco Sanz Te…</t>
  </si>
  <si>
    <t>Bruñe</t>
  </si>
  <si>
    <t>…Todos los habitantes del departamento del Isere han sido desarmados de orden de las autoridades austríacas. Idem $ de Agosto. Se ha sometido últimamente á 1-a autoridad del Rey-el mariscal Bruñe, comandante en gefe de Tolon, con los oficiales y tropa que tenia á sus órdenésl ESPAÑA. . . , . Mrdrid /&lt;T de Agosto. El; dia 2 de Diciembre próximo pasado tuvieron la honra de presentarse á S. M. en nombre, y representación de la villa de Peñaranda de Bráca…</t>
  </si>
  <si>
    <t>…gion de Honor. . • En Aviñon y Mompeller los militares-retirados y las autoridades del tiem po de Bonaparte son el objeto del mal tratamiento del pueblo. Después del asesinato del mariscal Bruñe, ha llevado por las calles de Avinón dos figutas de paja que representaban a Bonaparte, y Juego !se han quemado en medio de la plaza pública. A la salida .del correo "último ya -principiaba árresta blecerse la tranquilidad. ' Escriben de Tolon que la noticia…</t>
  </si>
  <si>
    <t>Brunswick, Carlos de</t>
  </si>
  <si>
    <t>Carlos de Brunswick</t>
  </si>
  <si>
    <t>…e Enero, S. A. Rtf el duque de Brunswick ha hecho un tratado con el rey de Di namarca, en cuya virtud S. M. debe pagar en dinero el valor de los efectos que pertenecían ai difunto duque Carlos de Brunswick, qué murió de las heridas que recibió. ? &gt; uu. . . 'M El gobierno ingles ha concedido medio sueldo á los oficiales del cuerpo brunswickes que se licenció á fines del ano pasado , concediéndoles ademas permiso para poder entrar al servicio de este Soberano, co…</t>
  </si>
  <si>
    <t>Brunswick, Duque de</t>
  </si>
  <si>
    <t>Duque de Brunswick</t>
  </si>
  <si>
    <t>…de, hija del patriota, muerto en acción de guerra. Xa estraceíon siguiente se egecutará el 18 de Setiembre próximo. ARTICULO DE OFICIO. Con motivo del fallecimiento de S. A. S. el Sr. Duque de Brunswick, ha resuelto el Rey que se vista la corte de luto por ocho dias con media negra, que empezarán á contarse desdé el lunes 21 del corriente. Por el Sr. Secretario interino del Despacho de la Guerra se ha comunicado al Ministerio de Seguridad pública, con fecha…</t>
  </si>
  <si>
    <t>Brusellecoman</t>
  </si>
  <si>
    <t>…i-.v: ■ Francfort 29:,de Agosta. Ayer llegó aquí de París el conde de Noaüles ¿ embajador de Francia cen ca de la corte de Rusia. , , f 4 El Rey de Wurtemberg ha nombrado al mayor general Brusellecoman dante dél castillo de Eli syangen, donde se cree que fijará su residenciar Geró nimo Bonaparte. ! ^ . - ./ . . j 1 ia* 7 Se han principiado ya á hacer los preparativos para la sesión de la Dieta del imperiovque debe abrirse el i.° de, Noviembre próximo,; Pare…</t>
  </si>
  <si>
    <t>Bstéban, Fernando</t>
  </si>
  <si>
    <t>Fernando Bstéban</t>
  </si>
  <si>
    <t>…on objeto de incorporarse á un egército ó partida de guerriUü para defender la patria; y no sabiéndose actualmente su existencia y para dero, se suplica al que le^ sepa lo avise i D. Fernando Bstéban, ofi^iaf ^de ir conta duría del Crédito público de Badajoz.</t>
  </si>
  <si>
    <t>Btacfcney</t>
  </si>
  <si>
    <t>…os désástrbsósiyÜno de dichos destacamentos Se retiró, a Ñutía, -habiendo sido muértó el capitán Sibiey que lo mandaba t el otro hizo tamf* bien,sil retirada con mucha perdida. El capitán Btacfcney que lo mandaba y su segundo fueron también muerfÓS*—- Con esta noticia ¡re pusieron en mar cha todas ks tropas del general Marley , y «e cree que el enemigo se retirará al otro lado de los pantanos.” ■ ■ — , ‘ - FRANGÍA., ,, , p, :&gt;-7 ' París 21 de Agosto. ■…</t>
  </si>
  <si>
    <t>Bu, Diego</t>
  </si>
  <si>
    <t>Diego Bu</t>
  </si>
  <si>
    <t>…ndo, D-Joaquiñ !de Castañeda» D. Juan Francisco Püi¿t D. Ramon Hcrrera yíCfüzat, D. Francisco Millau, D. Vicente Fran cisco1 de ¡Voz , Martin Francisco Triarte, D. Josef Sartorio, D. Diego Bu trón, D. Francisco Ciscar, D. Josef Mollinedo, D. Fermín Esterripa y D. Francisco de Paula Osorio. -Ascenso á capitanes de navio áTos de fragata D. Francisco Man¡on, Don Faustino Gnimii,: D. Rafael• Lobo, D. Pedro Acevedo, D. Juan de Vargas Lana, D. Jacinto R…</t>
  </si>
  <si>
    <t>Bubna</t>
  </si>
  <si>
    <t>…, aunque no en tanto nú mero porr falta de caballos en las postas. 1 * El ú!trúío cbi'teb que acaba de llegar ha traido la noticia de que el exército aüstriaco, á Las‘ órdenes del general Bubna , ocupa ya los Alpes, junta* ' * ••Ufente con el sardo; r-jr:° -,t:r El exército prusiano del Rhin constará de 180® hombres, mocha parte del qual está ya en movimiento.—.Las tropas rusas, que no habían pasado toda vía de Dantzick, han heúhó alto, -y espetan ó…</t>
  </si>
  <si>
    <t>…con la noticia del desembarco de Napoleón en Francia había baxado un 15, ha vuelto- i subir al igual de como estaba. Xas tropas de aquí están todas marchando hacia Francia » y el general Bubna á la cabeza de un cuerpo considerable se ha adelantado ya sobre las fron teras de aquel reyoo. Las noticias que se han recibido hoy de Francfort son de que la decla ración que el 13, del corriente firmaron en el congreso los ministros de las potencias que lio…</t>
  </si>
  <si>
    <t>Gaceta de Madrid n.º 92</t>
  </si>
  <si>
    <t>S&amp;fr’ ~'í ... La. poilclon que ocupan los egéjrcitos aliados según los .partes que diaria mente *c reciben aquí es la siguiente: : J El conde Bubna ha pasado Mons-Cenis; el general Quimont ha entrado en (pi4ebrá y en]Xión; S. A. R. el‘archiduque Fernando ha entrado én Ve^ souT y Langres ; los cuerpos que mandan el Príncipe de Hohenzollerñ y «f conde Gerónimo Colloredo han pasado el Rhin en Basilea, y han…</t>
  </si>
  <si>
    <t>…al de caballería barón de Frimont las siguientes noticias, que eran las mas lisonjeras. El 15 se puso én marcha para pasar el Simplón y atravesar el Valais, al mismó tiempo que ei general Bubna iba al monte Cenis. Entre tanto el enemigo salió de Chamberí y ocupó á Aíontmeillers: al mismo; tiem po el general Dessaix se: hábia Ade lantado hasta cerca deGinebra con algunos miles de hombres y bloqueó esta ciudad; tomó á Carouge y pasó el-Arve: entre tan…</t>
  </si>
  <si>
    <t>…, merecen ambos una recomendación honorífica. J ■ 1 El general Dessaix se retiró en seguida á Garrouge ; el general de caballe ría Frimont debió haber llegado ayer á Ginebra, y el general Bubna se ha-** .liará y a también en la altura dé Saboya. - • ESPAÑA. :';i" 31 J &gt; ' , Madrid 3irde\Julio. ElRey nuestro Señor ha recibido de S. S. Pío vn una carta, cuya tra ducción es la siguiente: ,,Carísimo Hijo nuestro en Jesucristo, salud y apostólica bendici…</t>
  </si>
  <si>
    <t>…de la evacuación del valle.del Atve por el enemigo. En el mismo dia fue Ginebra ocupada, y el enemigo arrojado de las alturas de Savonen con •pérdida considerable. J. I El general conde Bubna pasó el 28 el monte Cenis con la mayor parte de su cuerpo. El 29 se halló al enemigo en posición en la cabeza ae puente de Arli, cerca de Conflans, que ocupaba con 3® hombres. Mientras el gene-jal sardo Dandesaine con sus tropas y las piamontesas ocupaba al e…</t>
  </si>
  <si>
    <t>Bubna, Conde de</t>
  </si>
  <si>
    <t>Conde de Bubna</t>
  </si>
  <si>
    <t>…lgunos de ellos tienen hasta 6© plazas. Treintaíjr seis batallones austríacos están también en marcha para venir á Italia. Hace algunos dias que se halla aquí el teniente de fe id-mariscal Conde de Bubna, el cual se cree que Vaya a mandar el ala izquierda d la vanguardia del egército de Italia.' . El 6 del corriente marchó para el Piamonte el teniente de feld-tnariscal Radisvojevlch. Se dice que la muger de Murat irá desde Trieste á Gratz , y que per manecerá…</t>
  </si>
  <si>
    <t>Bucheli, Pedro</t>
  </si>
  <si>
    <t>Pedro Bucheli</t>
  </si>
  <si>
    <t>…brera, D. Francisco Labandeyra, Doh Andrés Fernandez Caballero y D. Diego Prieto. - ; Ascenso á capitanes de fragata á los tenientes de navio D. Ramón de Eulate , D. Tomas Cortés, D. Pedro Bucheli, D. Sebastian Paez de la Cadena, D. Francisco Lafita » D. Joaquín Gil de Bernabé, D. Gregorio Roldan , Don Redro de Nava, iD; Miguel Araoz, D.: Juan Echenique, *6/ Vicente Varela, D. Agustín Blondo, D. Agustwt Wautersy D. Ramón Allendey-D» BenitoOirtiz, D/ Ma…</t>
  </si>
  <si>
    <t>Bueno, Miguel</t>
  </si>
  <si>
    <t>Miguel Bueno</t>
  </si>
  <si>
    <t>…jezalde,; D.-Antonio Delgado, D. Gaspar Jover, Don NJarciso,Felipe, IX Josef Vilíavieencio, D. Cristóbal del Aguila, D. Berna-? Fe Chinchilla,, D. Manye! Carrasco, D. Tomas López, D. Miguel Bueno, JX Juliani Lop£z dq Ansó ¿'Di* Antonio Martínez, D. Eleuterio Munida, Don Á^anueí Andrada , !)» Domingo Blanco, D. Lorenzo Martínez, D. Isidro QJi* vares , D. Tomas Zamora, L&gt;. Benito Reehel, D. Gaspar Nogueruela, Don Luis Medinilla , D. Pedro Medinilia, D,…</t>
  </si>
  <si>
    <t>Bueno, Pedro Gutiérrez</t>
  </si>
  <si>
    <t>Pedro Gutiérrez Bueno</t>
  </si>
  <si>
    <t>…to edificio, no dexan absolutamente que desear á la persona mas delicada. De la análisis prolixa de estas aguas, verificada por el sabio y bien co nocido por sus tareas literarias D. Pedro Gutiérrez Bueno, resulta que su temperatura está á 42 grados del termómetro de Reaumur, y que cada libra de agua de 16 onzaN tiene en disolución 25 granos de muríate de magnesia* y algo mas de medio grano de sulfate calcáreo, y 32 pulgadas cubicas de gas oxigeno y azoótico c…</t>
  </si>
  <si>
    <t>Bueno, Pedro Lorenzo</t>
  </si>
  <si>
    <t>Pedro Lorenzo Bueno</t>
  </si>
  <si>
    <t>faro Vazqiiez de Acuña.=La canongía que ha vacado en la catedral de Segorve por fallecimiento de D. Pedro Lorenzo Bueno á Fr. D. Josef Cumbo, del orden de S. Juan.=La canongía vacante en la catedral de Lugo por muer te de D„ Antonio Lence á D. Pedro Martínez Sarmiento, cura párroco de San Pedro de aquella ciudad.=La ración vacante en la parroquial de Berbegal, diócesis de Léri…</t>
  </si>
  <si>
    <t>Buiskens</t>
  </si>
  <si>
    <t>…er á las nueve de la mañana á esta ciudad de vuelta de Amsterdam. En el mismo dia se hizo á la vela desde el Texel la escuadra de S.&gt; Mi destinada á Batavia, y mandada por el vice-almirante Buiskens. Se compone de los navios siguientes: el Almirante Evertzen, capitán Dietz ; el Amsterdam, capitán Uoífmeyer; el Brabante s capitán vandet-Hatt; ed Almirante Ruyter, capitán l’Hoeft;* ja fragata Marta van Reigers bergen, capitán vander-Nieport; la corbeta la…</t>
  </si>
  <si>
    <t>Buítureira, Josef María Rodríguez</t>
  </si>
  <si>
    <t>Josef María Rodríguez Buítureira</t>
  </si>
  <si>
    <t>…es de la Ro^ mana, para donde salió el año de 806, y desde entonces no se ha sabido de su pa radero. Se suplica pues á los que sepan de ellos se sirvan comunicarlo en esta corte á D. Josef María Rodríguez Buítureira, que vive calle del Olivo alto, núm. 3, cuarto 2.0 Los susberíptores á las memorias y campañas de Bernadotte pueden acudir á re-&gt; coger el cuarto y último cuadermo á la librería de Gila, calle de las Carretas, en don de se halla de venta la obra completa. Pre…</t>
  </si>
  <si>
    <t>Bulna</t>
  </si>
  <si>
    <t>…re tanto un gobierno provisional. Las cartas de Viena de 23 de Febrero han comunicado las noticias mas satisfactorias sobre los asuntos de la Suiza. ITALIA. Génova 22 de Marzo. El conde Bulna, que se halla aquí de ministro plenipotenciario y de ge neral en gefe de las trepas austríacas en Italia, habiendo recibido antes de ayer un correo con la noticia de que 45© húngaros de los destinados para la expedición de Ñipóles habían llegado á Treviso, ha…</t>
  </si>
  <si>
    <t>Bulo</t>
  </si>
  <si>
    <t>…que el i.° de Mayo es el día señalado para la toma de posesión de la Polonia rusa y prusiana ; y aña den que el Rey de Prusia se investirá del título de gran,duque de Polonia.. El general Bulo w,. nombrado ..comandante del cuarto cuerpo del egércjtó -prusiano, ha marchado yaá su destino., x ALEMANIA. - -/ : - &gt; ».:v, ; (: - ,, - BrunS'Wtck ífcfóvAfntfhx ...... ,.f; { . &gt; El día 20. saliéron le aquí 2420 hombres con destmo al egcrcito deí du-n que d…</t>
  </si>
  <si>
    <t>Bulo.w</t>
  </si>
  <si>
    <t>…o ya el momento decisivo, y no había un instante que perderá aprovecháronlos nuestros generales, y resolviendo comenzar inmediatamente él ataqúe Con las tropas que tenían a manoel general Bulo.w, á la cabeza dé dos brigadas y de un cuerpo de..caballexía,avanzó rápidamente por lo lar go del alá derecha de la retaguardia delenemigo: este sin desconcertarse por ésto dirigió inmediatamente su. reserva contra nosotros, con lo cual se dio principió por aqu…</t>
  </si>
  <si>
    <t>Bulow</t>
  </si>
  <si>
    <t>…mantuvo su posición con su acostumbrado valor y constancia contra un número muy desigual, 4. pesar de que no se le había reunido el cuarto cuerpo de su egército á las órdenes del general Bulow, y que yo no podía socorrerle como deseaba, por verme también atacado, y que las tropas, particularmente la caballería, que tenían mucho que mar char , no habían llegado todavía., , . , ,,Mantuvimos, pues, nuestra posición, y rechazamos completamente to dos l…</t>
  </si>
  <si>
    <t>…erca de la quinta de Ea-Haye-Sainte ; pero después de una terrible lucha, como, sehubiese observado que las tropas se retiraban: en gran, confusión, y qlieda marcha*del cuerpo del general Bulow por Euschermont sobre Pian-» chenoire; y ta-belíe-^ritiance había;-comenzado é verificarse, y como viese yo el fuego de; su artillería', y que el mariscal príncipeBluchersehabia re** unido en persona con: un cuerpo, de su egérdtó á la. izquierda de nuestra lí…</t>
  </si>
  <si>
    <t>…o, pues en él durmió el lord Wellington en la noche del 16. ^ u A fas 10 de la mañana. El Príndpe Blucher ha trasladado su ■„cuartel; general á Havre para unirse con el cuerpo del general Bulow , y este mpvií-r miento ha hecho que el Lord Wellington , reconcentrando sus fuerzas * fijase»</t>
  </si>
  <si>
    <t>…donde al romper el dia siguiente se retiró en orden y despacio hácia 'Gambleux:, adonde habia llegado ya por fin aquella noche:el cuarto, cuerpo ;dei egército prusiano que manda d general Bulow. Los cuerpos primera.'^ segundó se retiraron también aquella mañana detras del desfiladero'delimoi'ite oaint4Guibert.: í . &gt; 1 i i r . . ,,Nuestra pérdida én muertos y heridos fue grande^ pero no nos hicieron ningún prisionero si sé- esceptúan algunos heridos…</t>
  </si>
  <si>
    <t>Burghersh</t>
  </si>
  <si>
    <t>…r Mr. Wright, en que se examina sabiamente la Cuestión de la guerra ó de la paz con Francia. En el suplemento á la gaceta de Londres se publicaron dias pasados va rios oficios del lord Burghersh relativos á la ruina total de Murat, y al resta blecimiento en el reino de I^áppljes 4p su legítima soberano: el i.° está escri bí)^ en Roma eir 16 de MavoV^ •• en‘ ' queA se anuncia la' entrega_____* C&gt;^ de la• marina, r"*, ar«mal'y;puerto de Ñapóles: el 2.°…</t>
  </si>
  <si>
    <t>Burgos, Joaquín</t>
  </si>
  <si>
    <t>Joaquín Burgos</t>
  </si>
  <si>
    <t>…esenc iaba de si habian de considerarse vacantes los referidos empleos de Brigadie res en dicho Real Cuerpo, ó habian de volver á ocuparlos los expresados D. Juan Gómez Mulero -.y D. Joaquín Burgos ; y S. M. tuvo á bien mandar que el Consejo Supremo ae la Guerra consultase la regla general que le pa reciese podría adoptarse-respecto de estos y demas oficiales que sé hallasen en su caso; y habiéndolo verificado este supremo Tribunal en consulta de 8del a…</t>
  </si>
  <si>
    <t>Burugorri, Benito López</t>
  </si>
  <si>
    <t>Benito López Burugorri</t>
  </si>
  <si>
    <t>…o Velasen -.y Losada* cura párroco de Santiago de Renche en la abadía de Samos: párárel de San Salvador de Faramontaos , en la referida diócesis de Orense, vacante por as censo de D. Benito López Burugorri al curato de S. Salvador de Nqcedo, á D. Domingo Andrés Sánchez de Castro, presbítero y capellán de las. religio sas capuchinas de la Coruña: para el de Sta. María de Furnaces » .ea:el prot pió obispado de Orense, vacante por ascenso de D. PedtoAivarez alcura…</t>
  </si>
  <si>
    <t>Burunda, Higinio García de</t>
  </si>
  <si>
    <t>Higinio García de Burunda</t>
  </si>
  <si>
    <t>….ésta. Dirección general de Rentas nombrando para Directores generales á Doii Mateo Gil de Sola , D. Josef dé Iniáz Baquedanó y D. Agustín de Samanoj Contador de Rentas generales D. Higinio García de Burunda; Gefe del De partamento del Fomento y Balanza.D. León Gil Muñoz; Contador de Rentas Provinciales D. Tomas de Aja y Pellón; Contador de la Renta del Taba? co D. Gabriel López; Contador de la Renta de Salinas D. Francisco Escar-. íariy Contádor. Ael, ÍÑoveno y…</t>
  </si>
  <si>
    <t>Busi, Cárlos</t>
  </si>
  <si>
    <t>Cárlos Busi</t>
  </si>
  <si>
    <t>…e D. Antonio Andrí: grados de teniente á los de la misma clase graduados de subteniente D. Alejandro Valle y D. Guillermo Yanosen; y grados de subteniente á los de la propia clase D. Cárlos Busi,T&gt;. Jacobo Steingel,. D.* Pedro Baritch y D. Luis Vinaut» ■ ^ » ./-^oía..- En la clase de:segundos tenientes de esteReal euerpo tiene S. M. concedidos.dos grados mas d3 teniente coronel, que? fe harán saber mas‘ ade lante. ■ ‘ í: l' V? r- ’v:* Asimismo se ha…</t>
  </si>
  <si>
    <t>Bustamanté</t>
  </si>
  <si>
    <t>…sii niarCha todos los destacamentos para reunirnos en dos colum na^: la -de la izquierda, conmigo á s&amp; cabeza, compuesta de 500 caballos de lós ¿uefpbs dé 5. Luis, mandados por su capitán Bustamanté, dragones Heles del Potosí poi* el capitán Mendoza, piquete de Tampico por el teniente cofónel* graduado D. Cátlos Llórente, patriotas de Tulancingo, Acatlan, Atotonilco y S. Pedro de las Vaquerías mandados por sus capitanes O.*Ariscado CiáSfréTpD. Rafael Ásl…</t>
  </si>
  <si>
    <t>…ón de la casa de Ra yón, apoderándose de las piezas, en lo que se distinguió el ayudante mayor de S. Luis D. Nicolás Acosta y el subteniente Rodríguez, de Tampico, lo mismo que el capitán Bustamanté, cuyo arrojo es bien conocido: el teniente de fragata D. Joaquin Santaolaya llegó igualmente de los primeros. El capi tán D. Josef María Mendoza, de fieles del Potosí, y los capitanes y oficiales . ya citados de patriotas llenaron á toda mi satisfacción sus d…</t>
  </si>
  <si>
    <t>Bustamante, Bernardino de Aldama y</t>
  </si>
  <si>
    <t>Bernardino de Aldama y Bustamante</t>
  </si>
  <si>
    <t>…cisco Caraza y Sousa, á D. Juan Josef Cordon, canónigo de Ia.de Guadalaxara de Indias: para la abadía de la iglesia colegial de Alfaro, diócesis de Tarazona, vacante por muerte de D. Bernardino de Aldama y Bustamante, á D. Martin Ramírez de la Piscina, canónigo de la iglesia metropolitana de Burgos: para otra abadía de la Trinidad, dignidad de la catedral de Oren se , vacante por fallecimiento de D. Manuel Yebra y Oca, á D. Manuel Fontan , cora párroco de aquella diócesis…</t>
  </si>
  <si>
    <t>Bustamante, Francisco Mariano López de</t>
  </si>
  <si>
    <t>Francisco Mariano López de Bustamante</t>
  </si>
  <si>
    <t>…e las que se contraten, y finalmente cnantas condiciones convenga propo ner al interesado para mayor claridad y firmeza del contrato. A virtud de despacho requisitorio librado por D. Francisco Mariano López de Bustamante, alcalde mayor, teniente corregidor de la ciudad de Málaga, cumpli mentada por el Sr. D. Joaquín Almazan, ael consejo de S. M., teniente corregi dor de esta villa, y escribanía del número que exerce D. Alfonso de Yévenes, se manda convocar, como se hace por e…</t>
  </si>
  <si>
    <t>Bustamante, Josef de</t>
  </si>
  <si>
    <t>Josef de Bustamante</t>
  </si>
  <si>
    <t>…l Milanesado y las provincias intermedias de Italia, de lo que resul tará mucho beneficio al comercio. ESPAÑA. Madrid i $ de Noviembre. N El capitán general del reino de Goatemala D. Josef de Bustamante diri gid á S.,M¿ con fecha de 25 de Junio de 1815 la exposición siguiente: &lt; Señor: El capitán general de Goatemala sabedor del glorioso regreso de V. M. á la heroica península por un impreso fidedigno de Mérida, se antici pa á ofrecer sus mas profundos respe…</t>
  </si>
  <si>
    <t>Bustamante, Josef Tagle</t>
  </si>
  <si>
    <t>Josef Tagle Bustamante</t>
  </si>
  <si>
    <t>…dos acreedores para que concurran ¿í de apoderados ó por medio que les represente; entendidos que de no hacer-Í&gt;or “ parará qué haya lugar. el perjuicio ó Ies - Por providencia dé D. Josef Tagle Bustamante, asesor por S. M. del Real sitio i</t>
  </si>
  <si>
    <t>Bustamante, Manuel de Quevedo</t>
  </si>
  <si>
    <t>Manuel de Quevedo Bustamante</t>
  </si>
  <si>
    <t>1170</t>
  </si>
  <si>
    <t>…amino real de Burgos á Santander. Los pretendientes á ella podrán dirigir sus memoriales al alcalde mayor de dicha villa, ó entregarlos en Ma drid al comisario honorario de guerra D. Manuel de Quevedo Bustamante , plazue la del Angel, núm. 19 , cuarto segundo. Se halla vacante el partido de médico titular de la villa de Chinchón , distante 6 leguas de Madrid: su dotación es de 10500 rs., pagados por tercios por la justicia, y ademas lo que produce un convento de frai…</t>
  </si>
  <si>
    <t>Bustamante, Manuel Suarez</t>
  </si>
  <si>
    <t>Manuel Suarez Bustamante</t>
  </si>
  <si>
    <t>I2Í7 y 96bS~rs. de ¡uros. D. Manuel Suarez Bustamante 6® rs. en réditos de va les. D. Manuel de Tovar, alférez de caballería, 1410 rs. de sueldos venddós. D. Josef Montano, capitán retirado, los sueldos que ha dejado de percibir desde el año de 1808 hasta el dé 1812. D. Vicente Modrego y Morales la mitad de su s…</t>
  </si>
  <si>
    <t>Bustatnante, Jbsef Tagle</t>
  </si>
  <si>
    <t>Jbsef Tagle Bustatnante</t>
  </si>
  <si>
    <t>…y citada escribanía á deducir el que crean asistirles; eii iftteligen■cía efe qüe no egecutándoló les parará el perjuicio' que haya lugar. *. : , u- •&gt; En virtud de providencia de D. Jbsef Tagle Bustatnante, asesor-por SyM/del Real sitio de Aranjuez, se llama, cita ly emplaza á los qüese hallasen cbñderecho á losbienes que han quedado por fallecimiento'de D. Felipe Alguacil&gt; administrad dor de correos del citado Real sitio, para que en el término de 30 dias cont…</t>
  </si>
  <si>
    <t>Busto, Angel Pérez del</t>
  </si>
  <si>
    <t>Angel Pérez del Busto</t>
  </si>
  <si>
    <t>…Ayala; de Benicarló á D. Ignacio Lazcano y Guzman; del Corral efe Almaguer, vacante por promócion de D.Manuel Sotillos Montejo á la¡de Rueda, áDon Francisco dé Rivas; de Cehegin á D. Angel Pérez del Busto ;.y para el cor regimiento de. Guadalcanal,, por sal idade.I} ..Gaspar A,rmengol á la vara de tercer teniente jde asistente - ae Sevilla, ^á D.jVentuíU Nicolás Martínez ^dél Carvallar, todas en el territorio de las órdenes militares. • Atendiendo el Rey; nues…</t>
  </si>
  <si>
    <t>Butraud</t>
  </si>
  <si>
    <t>…o del Charente-In— ferior, la orden de imitar las providencias de la marina. 1 . No debo ocultar’á V. E. que la sabiduría de las medidas tomadas por el prefecto de marina y por el general Butraud hubieran estorbado las inten ciones de los malvados en caso de ponerlas en práctica. ,, Rochefbrt y la Rochela están animadas del mejor espíritu, y estos puertos,que han estado los últimos bajo el influjo deBonaparte, no han sido los últimos en manifestar su…</t>
  </si>
  <si>
    <t>ButYon, Fernando</t>
  </si>
  <si>
    <t>Fernando ButYon</t>
  </si>
  <si>
    <t>…icia y Asturias, que componen la cuarta división. En consecuencia ha tenido á bien S. M. nombrar para subinspector de la primera división de Castilla la Vieja al mariscal de campo D. Fernando ButYon,'Co'n el sueldo correspondiente á subclase eñ cuartel: para la segunda división,'de Castilla da Nuevf al brigadier D. Ignacio Balan zat, coronel agre gado al regimiento de infantería 2.° d¿ la Princesa, con el sueldo qué actual-* mente goza: pará la tercera d…</t>
  </si>
  <si>
    <t>Byng</t>
  </si>
  <si>
    <t>…y ayer por la mañana; y cerca de las diez comenzó un furioso ataque contra nuestro puesto de Hougoumont. Tenia yo ocupado aquel pues to con un cuerpo de la brigada de guardias del general Byng, que estaba en posición á retaguardia, y que por algún tiempo estuvo al mando del teniente coronel Macdonel, y después al del coronel Home ; y tengo la satisfacción de añadir que fue mantenido todo el dia con el mayor valor por aquellas bridantes tropas, á pe…</t>
  </si>
  <si>
    <t>…inguna otra ocasión se ha conducido mejor. La división de guardias á las órdenes del teniente general Cooke, que ha quedado gravemente Herido* el mayor general Maitland y el mayor general Byng dieron el egempío ad mirable de valor y bizarría, que fue seguido de todos. No ha habido ningún oficial, ninguna clase de tropa que no se haya conducido bien. „Debo no obstante, hacer mención particularmente para la aprobación de $. A. R. del teniente general…</t>
  </si>
  <si>
    <t>C, C. y</t>
  </si>
  <si>
    <t>C. y C</t>
  </si>
  <si>
    <t>…tagira. Es obra del P. Francisco de Isla: un tomito en 8.°~ Origen de la potestad temporal de los Papas: obra escrita en francés por Mr. Sabbathier , y traducida al castellano por D. C. y C.: un tomo en 8.°zrDia de la gran Reyna madre de Dios, universal remedio y consuelo de todos los pecadores, ó sea exercicio para que todos los devotos de María Santísima consagren un dia ca da mes en obsequio de esta Emperatriz soberana de ciclo y tierra, y alc…</t>
  </si>
  <si>
    <t>C., A. R.</t>
  </si>
  <si>
    <t>A. R. C.</t>
  </si>
  <si>
    <t>…;¡en Zaragoza en la deMonge, en Granada en la de Gabaldon, en Oviedo enda de Longoria, en Valladolid en.la de Roldan,. y en Bilbao- en la de García. L^ geometría de los niños, por D. A. R. C. D. M. En este tratado se dan bre vemente, por preguntas y respuestas las primeras nociones de la geometría&lt; para afi cionar á los niños al estudio .de las matemáticas y disponerlos para el de otras facul tades yegercicio de las artes: un tomo en 8;° con cuatro láminas…</t>
  </si>
  <si>
    <t>C., C.</t>
  </si>
  <si>
    <t>C. C.</t>
  </si>
  <si>
    <t>…Mr. Brisson, individua de la Real academia de ciencias de París; traducido al castellano, y aumentado coa los nuevos descubrimientos posteriores á su publicación por los doctores D. C. C. y D. F. X. C, Esta obra, ademas de presentar los conocimientos físicos en forma de diccionario, ofrece la ventaja de poder estudiar la ciencia metódicamente, le yendo los artículos por el órden que se señala en el discurso preliminar: consta de 10 tomos en 4.0, uno de ell…</t>
  </si>
  <si>
    <t>Ca</t>
  </si>
  <si>
    <t>…ez, D. Josef Estrada; D. Ramo» Romero, D. Joaquini Edhevarría; Dv Casimiro Cañedo, D. Josef Cebrian ,;D. Salvador Pa nlagua, D. Josef Saenz dé Viniegra, p. Narciso Gómez.Quintana, D. Ca yetano Pimente! ,:yá los ‘artilleros distinguidos D. Manuel Rodríguez Sote* lo, D. Tomas Saenz y D.í ¡ Josef Riera. V !* ! ^ ' - ■ . ; i -/cS ■' ■ &gt; . • : r.:u v.,* : S. M. ha nombrado oidor de la chancilíería de Valládolicl á D. Josef Alonso ValdénebrÓ t. pk…</t>
  </si>
  <si>
    <t>…qualesquiera personas que , puedan tener y tengan derecho á la sucesión y herencia de los bienes libres y vin culados que hayan quedado por la muerte intestada del referido Excmo. Sr. D. Ca simiro Luis, para que dentro de dicho término comparezcan en el juzgado de di cho señor primer teniente y escribanía caitularia con legítimos documentos á decir r exponer sus derechos; en inteligencia que pasado dicho término, sin mas citar les, llamarles ni…</t>
  </si>
  <si>
    <t>…tir'óíio eñ representación delqfeustro dé la universidad de Osuna él Excmo. Sr. duque de Osuna su patrono y el Dr. Don Jósef Manuel de Arjona, alcalde de casa y corte, y los Dres. D. Ca yetano Hue y D. Josef dé Záyas, capellanes de honor de S. M.; y el pri*dixo: • ...- ' ' -- ' *• * y \ srdad 'de ípKhietítaríé deiúéncafgo no pueden menos de manifestar á V. M. la justa consideracion y el</t>
  </si>
  <si>
    <t>…D. Nicolás Laborda, D. Manuel 1 aborda*, D. Nicolao Ribera, D. Gregorio Dalmao ; D. Francisco Navas., D. Filiberto Malus, D.;/Josef •¡Blanco*L). Mariano Córdoba * P. Josef Ferrer, D. Ca yetano Vivar , P,; JqseJ de^fcuenca, EX Francisco Caso, D. Felipe Mendicuti, í). Baltasar Gonzajes* *&gt;¿X;FVancisep de Torres, D. Andrés Casainayer, D. Francisco Reguera , D. Antonio García, D. Pedro Pineda , D. Josef Co nejo, D^Ramon Agón', D. Manuel -Gá'stam…</t>
  </si>
  <si>
    <t>…marquilla.—.Demostración histórica del verdadero valor de todas lasmonedas que corrian en Castilla durante el reinado del Sr. D. Henrique iv , y de su correspondencia con las del Sr. D. Ca los iv, con un apéndice de instrumentos qúo justifican.e! valor de las mismas, y noticia de los precios de los granos, carnes, pes cados, jornales de labradores y artistas en aquel tiempo, y su equivalencia á las mo-. nedas actuales: un tomo en 4.0 marquida.…</t>
  </si>
  <si>
    <t>Cá</t>
  </si>
  <si>
    <t>…hajas de oro y plata que se ha hecho á beneficio del hospital Real y general de nuestra Señora de Gracia de ía ciu dad de Zaragoza, y continuado hasta el 21, ha cabido la suerte á Doña Cá*»</t>
  </si>
  <si>
    <t>Ca, Benito Lobato y</t>
  </si>
  <si>
    <t>Benito Lobato y Ca</t>
  </si>
  <si>
    <t>…bogal (que obtiene en la propia iglesia: pára Otro deaÉáto también primera1 silla de la iglesia catedral de! Salamanca, vacante pór fallecimiento de D. Francisco Gómez Valbüena, á D. Benito Lobato y Ca4 balleró, canónigo magistral de la de Coria: para la dignidad de chantre dé la iglesia catedral de Zamora ¿vacante por muerte de D. Antonio Chacón , á Pedro Tíbiircio Gútiérrejí, Conservándole los honores de oidor de la Reíd fcbanfeiflería dé Valkdólid: para…</t>
  </si>
  <si>
    <t>Ca, Francisco</t>
  </si>
  <si>
    <t>Francisco Ca</t>
  </si>
  <si>
    <t>…l patrona de! pueblo valenciano Ma ría Santísima de los Desamparados, que en ¿a solemne;función de’ gracias que endo mingo 5 de Junio consagró en su Real capilla -su apellan mayor D. Francisco Ca yetano Nogués, por el feliz regreso de nuestro a-dorado Monarca el Sr. D. Fernan do vir al trono de sus mayores, dixo el Dr. t). Manuel Fortea y Übeda, presbíte ro, examinador sinodal del obispado de Tortosa, coronista de Castellón de la Pla~«á, y predicador…</t>
  </si>
  <si>
    <t>Ca, Josef</t>
  </si>
  <si>
    <t>Josef Ca</t>
  </si>
  <si>
    <t>…edicina en la universidad de Va lencia el año de 1808 , y se agregó al exército en el regimiento de voluntarios de Valencia en la compañía primera del tercer batallón al mando del Sr. D. Josef Ca ro. Con fecha de 24 de Setiembre escribió desde Tarazona de Aragón; y como después no se haya tenido noticia de él, se suplica tanto á los individuos de aquel cuerpo como á qualquicra que tenga noticia de su paradero, lo avise en esta corte á D. Cesáreo Josef…</t>
  </si>
  <si>
    <t>Ca, Josef Antonio</t>
  </si>
  <si>
    <t>Josef Antonio Ca</t>
  </si>
  <si>
    <t>…rucciones necesarias para su cumplimiento. Por la audiencia del Sr. D. Joaquín A1 mazan , del consejo de S. M. teniente corregidor de esta villa, y por la escribanía del número de D. Josef Antonio Ca nosa, están pendientes las autps 4e quiebra hecha-por D* Patricio de Ribera, del comercio de esta corte, que tuvieron principio en 14 de Diciembre de 1807;. y ^ habiéndose mandado en virtud de; providencia de 20 de Enero último convocar a junta a todos sus ac…</t>
  </si>
  <si>
    <t>Ca, Manuel</t>
  </si>
  <si>
    <t>Manuel Ca</t>
  </si>
  <si>
    <t>103</t>
  </si>
  <si>
    <t>…alazar y Vílcnes, á D. Antonio Corrales y Luque&gt; canónigo doctoral de la misma iglesia;y para una media ración de la deCá-* diz, vacante por fallecimiento de D. Josef Domínguez, á D. Manuel Ca beza de Míe r. i ' % Teniendo el Rey en consideración las pruebas de lealtad que ha dado el capitán graduado de teniente coronel del regimiento de infantería de Truxi11o D. Josef Darguines, qué fue sentenciado á la pena capital por el anterior gobierno francé…</t>
  </si>
  <si>
    <t>Caamaño, Pedro</t>
  </si>
  <si>
    <t>Pedro Caamaño</t>
  </si>
  <si>
    <t>…Juan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Riquélme- ; ^ Ascenso á tenientes de fragata A los alféreces de navio D. Josef Rodrígue…</t>
  </si>
  <si>
    <t>Caba, Josef Abela y</t>
  </si>
  <si>
    <t>Josef Abela y Caba</t>
  </si>
  <si>
    <t>…, á D. Sebastian González López, arcipreste ae la par roquia del Sagrario de la iglesia de Málaga. = La canongía que ha resultado vacante en la catedral de Lérida por promoción de D. Josef Abela y Caba llero á la dignidad de-prior de la de Coria, á D. Gerónimo Ruiz, con dimi sión de la capellanía doctoral que obtiene en el Real convento de la Encarna ción, conservándole los honores y prerogativas de esta plaza. = La canongía vacante en la catedral de Orihue…</t>
  </si>
  <si>
    <t>Caba, Manuel</t>
  </si>
  <si>
    <t>Manuel Caba</t>
  </si>
  <si>
    <t>…to de la ciudad de Málaga &gt; se ha servido conce derle los honores de alcalde dél crimen de ia chancillería de Granada: en consideración al distinguido mérito y dilatada carrera de D. Manuel Caba llero, y eñ premió de la constancia y lealtad con que sostuvo los derechos de la religión y deí trono en lás cortes estraordinariás, se ha dignado S. M. córlCederíe honores dé óBdór de' ía cháiicHIefía de Valládólid y úiíimamen|e eh^áteñdpn á ,lós méritos y s…</t>
  </si>
  <si>
    <t>Caba, María</t>
  </si>
  <si>
    <t>María Caba</t>
  </si>
  <si>
    <t>…e Madrid de infantería, y después oficial del regi miento de Castilla, que fue hecho prisionero en Valencia. La persona'que su piere de él se servirá avisarlo en Madrid á su madre Doña María Caba?, callé de lá Encomienda,.núm. 8, cuarto principal, frente de la imprenta, ó en Málaga á Don Juan Olmedo, boticario de S. M. Se desea saber el paradero de D. Francisco Gofliale?, caplttn de la segundé compañía del primer batallón, infantería ligera de Jos vol…</t>
  </si>
  <si>
    <t>Cabal, Antonio</t>
  </si>
  <si>
    <t>Antonio Cabal</t>
  </si>
  <si>
    <t>lióngía vacante por muerte déD. Francisco Solís á D. Antonio Cabal, cura párroco de S.Juan el, Real de dicha ciudad. = La media-raciomvacante en la catedral de Córdoba por muerte de D. Manuel Rodríguez Nodales á Don Agustín Perez, capellán de dragones de Almansa: la dignidad de prior de la colegiata deS. Hipólito de la ciuda…</t>
  </si>
  <si>
    <t>Caballería, Josef Quiñones y</t>
  </si>
  <si>
    <t>Josef Quiñones y Caballería</t>
  </si>
  <si>
    <t>…0 dias úna casa, sita en esta corté y subida de los Angeles, señálada con cl^ nume ro 2,i correspondiente ai mayorazgo fundado por D. Pedro de Castro Neira ,‘que actualmente posee D. Josef Quiñones y Caballería, marques de Lorenzana, vec no de l,a Fuente del Maestre, que medida geométricamente comprenderen sí di,ha casa de area plana 4401 § pies superficiales de sitio, inclusos los gruesos de sus^media nerías, tasada, según el estado en que se halla en la actualidad…</t>
  </si>
  <si>
    <t>Caballero, Francisco Rodríguez</t>
  </si>
  <si>
    <t>Francisco Rodríguez Caballero</t>
  </si>
  <si>
    <t>Miranda y 'Rodríguez;; para la ¿él partido dé !á Güdifia ál Lie. D. Francisco Rodríguez Caballero; para la'déb partido dé Monteroso á D. Josef Ramón Bernardo de Soto; para la del partido de -Vérin á D. Josef Salgado y' Blan-^ go ; para la del partido de Óimbra a E). Juan González j. pará la del partido de S. Martin de Arau jo á‘D. Josef María de Gadorniga…</t>
  </si>
  <si>
    <t>Caballero, Isidoro</t>
  </si>
  <si>
    <t>Isidoro Caballero</t>
  </si>
  <si>
    <t>…D. Pedro NuñeZ;, D. Manuel Calderón, D. Matías Frade, D.Francisco Antonio Ledesmá, y LF. Andrés .Muñoz, del primer Batallón de Ciudad-Rodrigo; D. Miguel Retámar, Don Juan Atienza, D. Isidoro Caballero* 0. Julián Avilé*, D¿! Juan Martin,</t>
  </si>
  <si>
    <t>Caballero, Josef</t>
  </si>
  <si>
    <t>Josef Caballero</t>
  </si>
  <si>
    <t>…nzalo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Josef Marín, D. Josef Alcázar, Dr Josef de Castro, D. Pascual,Atiza , Dv Víctor Conegero, D. Cristóbal Dávtk:, D. Ladislao Luco ,…</t>
  </si>
  <si>
    <t>Caballero, Lázaro</t>
  </si>
  <si>
    <t>Lázaro Caballero</t>
  </si>
  <si>
    <t>…D. Miguel de Torres, D. R.afael Sánchez Sáravia, D. Ramón Polo, D. Miguel Linares, D. Juan Larrua , D. .Tomas Montero ,'D. Antonio Enfy, D. Josef Aguilar, 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t>
  </si>
  <si>
    <t>Caballero, Manuel</t>
  </si>
  <si>
    <t>Manuel Caballero</t>
  </si>
  <si>
    <t>…Sevilla á D. Torcuato Antonio Collado: para la fiscalía de lo civil de la misma audiencia de Sevilla á D. Francisco Gómez Fernandez, Fiscal de lo criminal ; y para esta resulta á D. Manuel Caballero. El inspector general de Milicias ha dado cuenta al Rey nuestro Señor de que para costear la bandera del regimiento provincial de Bujalance han en tregado á su coronel como» donativo voluntario el ayuntamiento de la ciudad de Córdoba la cantidad de 1$ reales…</t>
  </si>
  <si>
    <t>Caballero, Manuel Antonio</t>
  </si>
  <si>
    <t>Manuel Antonio Caballero</t>
  </si>
  <si>
    <t>…é y Barreda: para la de Leinus á D. Francisco de Paula Villareal: para la de Mónterey á D. Carlos Angulo: para la de Colmenar Viejo á D. Juan Luxigo y Pedro?a: para la de Baylen á D. Manuel Antonio Caballero: para la de Águilar del Rio Alama á D. Antonio Ramos Calderón; y para la de Leganes á D. Félix Benitez. Para el corregimieno de Alcaraz á D. Andrés Josef Amat: para el de $. Clemen te á D. Josef Matías Eguizabal: para el de Toro á D. Juan de Dios Alon so: par…</t>
  </si>
  <si>
    <t>Caballero, Miguel</t>
  </si>
  <si>
    <t>Miguel Caballero</t>
  </si>
  <si>
    <t>…llecimiento de D. Ra fael Aznar, á t). Juan de la Torre y Carabáño, capellán de numero de ella: para otro beneficio,- vacante en el coro de la misma catedral por falle cimiento de D. Miguel Caballero, á D. Diego Muñoz, capellán del núme ro mas antiguo, y maestro de ceremonias de la propia iglesia: para otro be neficio servidero de Cañete la Real, en el arzobispado de Sevilla, vacante por muerte de D; Julián Cobelo, á D. Juan Fernando de las Cuevas; y para…</t>
  </si>
  <si>
    <t>Caballero, Pedro AJyarez</t>
  </si>
  <si>
    <t>Pedro AJyarez Caballero</t>
  </si>
  <si>
    <t>…las honras, distit^— ^.ciones. y preeminencias de tal consejera: para Ia canongía y dignidad de ajr«cediano.de \fillavicipsa, en la catedral de Oviedo , vacantes por promoción d$ D. Pedro AJyarez Caballero á la canongía y arcedianato de* Cea enla á D. Bernarda de Prado y Ovejero, fiscal ¿gl C^nsejq de la jg^npraL Inquisición, con dimisión de la sacristía mayor de Guana^ato qqe ob^ae obispado de^VaUadólid de Nueva-*Eípañh,</t>
  </si>
  <si>
    <t>Caballero, Petra</t>
  </si>
  <si>
    <t>Petra Caballero</t>
  </si>
  <si>
    <t>comeíifcto, esquina?&amp; la red de $. Luis i número 6, Cuarto 3.* , y en Santander con Doña Petra Caballero, calle rde S. Francisco; número &gt;2 9, cuarto 2.0 ; :yi *„ b r; I V * í - j Sedcse* saber delparadéro del; marqué» de y’aídccañas.ó de su apoderado $ qué M&amp;f&amp;ífoJ£*^ntur||rlug^i nd?í ^píméifípode-esla capitalé. pára tcatar a^nfíw dé intereses (pertenecientes a…</t>
  </si>
  <si>
    <t>Caballero-, Joséf García</t>
  </si>
  <si>
    <t>Joséf García Caballero-</t>
  </si>
  <si>
    <t>…icitaron á S. M; por comisión déla villa de la Calzada de Calatrava, provincia dé la Mancha, los Stes. D. Die go Mérgelina, del hábito de Calatrava, prior dé aquella parroquial, y Don Joséf García Caballero-, alguaeil mayor dé la misma vecindad, y regidor pérpetuo de su áy untamiento} de los quales el primero pronuncio éldiscurjorsiguiente:; -"’P *.y -v---. «I.'-, -'.i -. • i-* •••■ ■¡sy ’ j,Señor: la Galladadé Galátráva, cuyos habitantes permanecieron siemre fie…</t>
  </si>
  <si>
    <t>Cabañas, Isidoro Francés</t>
  </si>
  <si>
    <t>Isidoro Francés Cabañas</t>
  </si>
  <si>
    <t>482</t>
  </si>
  <si>
    <t>…taban repre sentadas todas las demas prendas vivas que dexaron las víctimas ilustres re comendadas á su piedad, anunciada ya en este memorable dia. Pronunció la oración fúnebre el Sr. D. Isidoro Francés Cabañas, canó nigo de la Real iglesia de S. Isidro; y concluido el acto religioso dispensó M. al ayuntamiento la honra de que le besase la mano, como también á las nueve niñas huérfanas, á las que prometió servir de padre, agasajándo las y consolándolas con una efusi…</t>
  </si>
  <si>
    <t>Cabanellas, Miguel</t>
  </si>
  <si>
    <t>Miguel Cabanellas</t>
  </si>
  <si>
    <t>…eal, y de Llera , plazuela del Angel, á 60 rs. en pasta. El Antiguónos: sueño poético sobre un asombroso experimento hecho en Car tagena de orden del gobierno en 1805 , por el Dr. D. Miguel Cabanellas, médico honorario de cámara, é inspector general de epidemias de los reynos de Valencia y Murcia, el qual permaneció desde el 7 de Junio hasta el 17 del mes siguiente encerrado en el hospital de apestados con dos hijos suyos y 48 personas más oy* ivo habían p…</t>
  </si>
  <si>
    <t>Cabas, María</t>
  </si>
  <si>
    <t>María Cabas</t>
  </si>
  <si>
    <t>…ta capital en clase de soldado en el regimiento voluntarios de Madrid, y se sabe fue hecho prisionero en Valencia. La persona que supiere de él te servirá avisarlo en e*ta corte á Doña María Cabas, cade de la Encomienda, nú mero 8, quarlo principal. En la villa de Yunclillos, distante nueve leguas de esta corte, se halla vacante la plaza de maestro de primeras letras, cuya dotación es de 8 rs. diarios, cobrados mensualmente. Los que quieran solicitarla…</t>
  </si>
  <si>
    <t>Cabellos, Juan</t>
  </si>
  <si>
    <t>Juan Cabellos</t>
  </si>
  <si>
    <t>…eda,que vacó por fallecimiento de D. Antonio Julián de Velasco y Manso, á D. Diego Velazquez. ==Una canongía de la iglesia colegial de S. Felipe de Játiva, que va có por muerte de D. Juan Cabellos, á D. Joaquín Barrachina , capellán de nú mero de la Reai armada: otra canongía vacante en la misma colegiata por</t>
  </si>
  <si>
    <t>Cabeza, Bernabé</t>
  </si>
  <si>
    <t>Bernabé Cabeza</t>
  </si>
  <si>
    <t>…vidad del Su. D. Fernaniíó Vii el Deseado. Esta obra csTa mejor defensa de la religión y de sus ministros, tajo cuyo título ‘ se atiüócííPlaiqué hizo en estrados públicos en Cádiz D. Bernabé Cabeza por los comisfodáuSs ael limo, cabildo eclesiástico de aquella ciudad en lá célebre causa sobre fo£decretos de abolición de la Inquisición. En ella se trátan los límites de las dos potéstádeá temporal y espiritual; la autoridad y primacía del ro mano Pontífic…</t>
  </si>
  <si>
    <t>Cabeza, Bernabé Josef</t>
  </si>
  <si>
    <t>Bernabé Josef Cabeza</t>
  </si>
  <si>
    <t>Gaceta de Madrid n.º 24</t>
  </si>
  <si>
    <t>…por hiber co sol tado á diferentes RR. obispos y santas iglesias sobre lo/contenido en ic&amp; de cretos de abolición del santo tribunal de la Inquisición. Con este motivo el defensor D. Bernabé Josef Cabeza dirigió áS. M. el siguiente discurso: „ Señor: al presentar á V. M. esta defensa de la religión ..y sus minisír tros, del trono de V. M* y de V. M, mismo, cumplimos con el encargo</t>
  </si>
  <si>
    <t>Cabeza, Josef</t>
  </si>
  <si>
    <t>Josef Cabeza</t>
  </si>
  <si>
    <t>…Ramón .Blanco, Teniente de Rey-de dicha plaza , D. Francisco Ruy Gómez, Comandante de Artillería de ella , y Don ■, Juan ; Be 1 está , Director ,de Ingenieros-v al de Brigadier á D. Josef Cabeza ¡de Vaca, agregado aiCuérpode Artillería , y D.* Francisco Xavier Mendiri, Tenijéñ te; Coroneh del Rbgimiento Provincial de Segqvia: al grado de Coronela D* jibias Verdejot, Ingeniero del detall, D. Pedro Quintariilla, - Comandante del tercer Batallón de Ciud…</t>
  </si>
  <si>
    <t>Cabezas, Josef</t>
  </si>
  <si>
    <t>Josef Cabezas</t>
  </si>
  <si>
    <t>…la de Axpe á D. Josef Vilella y Pastor: para la de Carlet a D. Francisco Ortiz de Cantonat: para la de Gorga y su Valle de Ceta á D. Gregorio Moran y Cavanes: para la de Xerica á D. Josef Cabezas; y á D. Miguel Sanz Aparicio para la de Villalonga, partido de Deriia. , Donativos hechos d S. M. D. Felipe Sánchez y Roiríeu ha ofrecido los préstamos que hizo al egér cito en los sitios de Zaragoza, entre los que hay uno de 15® rs. El ayunta miento y prohom…</t>
  </si>
  <si>
    <t>Cabo, Antonia</t>
  </si>
  <si>
    <t>Antonia Cabo</t>
  </si>
  <si>
    <t>…a. , . . • Se desea saber el paradero de,Ramón’Antonio Ines Rodríguez, cabo de arti llería volante del cuarto egército.¡Xa persona que supiere de él se servirá avisarlo i su madre Doña Antonia Cabo en'Madrid'en la fábrica de sombreros de la calle de Jesús y María.- y ■' ¿ • Ensayo sobre la educación de la nobleza, escrito por el caballero y trasla dado af castellano pdr&lt;D. Bernardo María-de Calzada., Encierra todas las lecciones .necesarias para educar…</t>
  </si>
  <si>
    <t>Cabo, Josef Velez</t>
  </si>
  <si>
    <t>Josef Velez Cabo</t>
  </si>
  <si>
    <t>…Jo sef Rodríguez, P. Clemente Losada, D. Josef María Pantoga ,‘D. Matías Ova-, lie, D. Juan Martínez Pozuelo y D. Fulgencio Albacete. Ascenso ¿ oficiales quintos i los meritorios D. Josef Velez Cabo, Doñ Antonio de Casas, D., Josef Valero i D_ Anastasio Ruperto Fernandez, Don, Antonio Josef Alayedré y D. Josef Francisco Montero.(óV continuara;) • ' Articulo correspondiente 4 la primera secretaría de Estado. Aunque el canal dé Castilla es por fortuna uno…</t>
  </si>
  <si>
    <t>Cabrejano, Antonio Castellano</t>
  </si>
  <si>
    <t>Antonio Castellano Cabrejano</t>
  </si>
  <si>
    <t>…dé él * ídem. _ Ciudad-Rodrigo: los pueblos de su demarca ción, idem._-Cuenca: él ilustrísimo cabildo eclesiástico 2200 rs.; el conde de Cervera 2® ; el subteniente de este cuerpo D. Antonio Castellano Cabrejano 2800; el presbítero D. Baltasar Requena 60, y D. Felipe Real 4 &gt;-• ~ : Granada: los gefes y oficiales de él costean ¿1 total importe ae la construc ción de I¿ bandera.__:Guadix: su ayuntamiento, ídem..__ La redo: su ayun tamiento* ídem._-León: el ayuntamiento…</t>
  </si>
  <si>
    <t>Cabrera, Francisco</t>
  </si>
  <si>
    <t>Francisco Cabrera</t>
  </si>
  <si>
    <t>…cienda deEspaña. ^ r'--( Deseando S- M. remunerar los servicios hechos 3 so Real Persona, á la religión y al estado por el P. Mtro. Fr. Josef Bentrn , del orden de Sto. Domingo, y D. Francisco Cabrera ,‘ha venido en conceder ‘álprimero^ba .;y sion de 500 ducados, y ál'Seguñdd ottá 'dé $ 50 sobré las ibitrás de ía'península. ' - • v' /)’ ' -'...axij- Ju-n 1 ,nr ------~ ----------T—•• *■ ' Deseando el Rey nuestro §eñor promover todds losrnédios el a de* lari…</t>
  </si>
  <si>
    <t>Cabrera, Francisco Plácido</t>
  </si>
  <si>
    <t>Francisco Plácido Cabrera</t>
  </si>
  <si>
    <t>…Alonso y Calzas; y; ha confirmado 5. M. en la vara de Ollvencia á D. Pedro Josef Revira ; en ía de Rlaza y Riofrio á D. Manuel del Pozo, y eft la'dé Palacios de da; Bal* duerna 'á D. Francisco Plácido Cabrera. ^ ' •* Asimismo se ha servido S. M. prorogar por seis años en la vara de a leal- ’ de mayor de 5. Cristóbal de la Laguna, en la isla de Tenerife, una de las Canarias, a D. Josef Antonio Morales Calvo. En elcOrrégíínjento de Moya á D. Juan Ignacio Gavaldon Te…</t>
  </si>
  <si>
    <t>Cabrera, Gaspar Marqués</t>
  </si>
  <si>
    <t>Gaspar Marqués Cabrera</t>
  </si>
  <si>
    <t>…llár. MALAGA. Obra pia de Doña María Martínez dé Silva. Varías viñas y lasares deteriorados. ’ ■ t p Monjas de Sta. Clara. Una casa num. 9, maqz. 104, calle S. Juan. Capellanía de D. Gaspar Marqués Cabrera. Uña casa num. 29, manzana 119 , calle Alta. Capellanía del convento dé S. Agustín. Uña casa num. 25, manz. 74 , qi.ILede la Aloazavilla. Cápellaníá de D. Victoriano Maldonado. Uná casa núm. 8 , manz. 169, calle Mármoles: otra núm. 7, manz. 108, calle dé Guie…</t>
  </si>
  <si>
    <t>Cabrera, Manuel</t>
  </si>
  <si>
    <t>Manuel Cabrera</t>
  </si>
  <si>
    <t>…ragería, dél comercio; en la Coruña á D. Pedro de los -Ríos , y en Mondoñedo á D. Josef Luaces y Fresno.' " En principios del año pasado dé 1808 residía en la ciudad.de Valladolid Don Manuel Cabrera, capitán reformado entonces del{regimiento provincial de Toro, de cuyo sugetó no se ha vuelto á saber despúes por las ocurrencias acaecidas; y te niendo que comunicarle asuntos de importancia, se suplicará,quien tenga noticia de su existencia y paradero se si…</t>
  </si>
  <si>
    <t>Cáceres, Rafael de</t>
  </si>
  <si>
    <t>Rafael de Cáceres</t>
  </si>
  <si>
    <t>…precio á jproporciptid el núme ro de egemplares que tome. La Miologia, ó sea la ciencia y doctrina de l»s músculos del cuerpo humano: .recopilada y puesta en verso castellano por D. Rafael de Cáceres, alumno del Real establecimiento de medicina práctica, y discípulo latino del Real colegio de cirugíamédica de S. Cárlos de esta corte La esperiencia de las dificultades que ofrece el re tener en la memoria esta tan útil parte de la anatomía, ha determinado á…</t>
  </si>
  <si>
    <t>Cachapero, Marcos</t>
  </si>
  <si>
    <t>Marcos Cachapero</t>
  </si>
  <si>
    <t>…e Granada, su ca-^ pita! Uxijar, á D. Joaquín Castells y de Montaner: para el de Loxa á Don Juan Víctor Navarro: para el de Chinchilla á D. Juan María Ruano: para el de Marbella á D. Marcos Cachapero:. para la vara de Purchena á Don Francisco Fernandez: para la de Tobarra á D. Antonio Roca y Bayot: para la de Adra, Berja y Dalias á D. Ramón Rodríguez Vélaseos para la de Puerto Real á D. Joaquín Pardiñas de Soto: para la de Almería á Don Manuel Perez de lo…</t>
  </si>
  <si>
    <t>Cadalso-, Jtosef</t>
  </si>
  <si>
    <t>Jtosef Cadalso-</t>
  </si>
  <si>
    <t>Gaceta de Madrid n.º 151</t>
  </si>
  <si>
    <t>…en dicho despacho, y en las provincias en todas las ad ministraciones principales y agregadas ¡de correos. Nocjies.lúgubres* que. imitando el.estilo del ingles Ioiung escribió el coronel Don Jtosef Cadalso-, un tomo en 16.0 de marquilla de buen papel é impresión , adornado con una estampa fina y otra que te sirve de portada. Va añadida ésta última edición con el final.de la tercera noche que no sc habia pubjicado hasta ahora. Se hallará en la librería de Orea, c…</t>
  </si>
  <si>
    <t>Cadétés, Luis del Panva</t>
  </si>
  <si>
    <t>Luis del Panva Cadétés</t>
  </si>
  <si>
    <t>…enito Vallejo, D. Bernardo Cantero', Don Fernando Orozco, D. Julián Cano, D. Alfonso Leiva, D. Manuel Martínez de Velasco y D. Francisco Vaca: á subrigadieres del cuerpo al cadete Don Luis del Panva Cadétés supernumerarios á los guardias DV Ráfaél de Córdo ba y D. Josef Ponce de León i á tenientes vivos y efectivos de caballería ; eo¿ sueldo y antigüedad de tales, á los guardias D. Diego Vallejo, D. Gabriel VallejoDi Pedro Lüengó Alderéte^ y D. Dámaso Ghamoohln:…</t>
  </si>
  <si>
    <t>Cagigal, Josef Solana</t>
  </si>
  <si>
    <t>Josef Solana Cagigal</t>
  </si>
  <si>
    <t>…n la anterior guérra, sosteniendo los sagrados derechos dé 1 trono. Grados de tenientes coroneles de infantería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t>
  </si>
  <si>
    <t>Cagigos, Josef</t>
  </si>
  <si>
    <t>Josef Cagigos</t>
  </si>
  <si>
    <t>…o por muer te de D„ Antonio Lence á D. Pedro Martínez Sarmiento, cura párroco de San Pedro de aquella ciudad.=La ración vacante en la parroquial de Berbegal, diócesis de Lérida, á D. Josef Cagigos.=La canongía presbiteral que ha va cado en la colegiata de Junquera de Ambia, en el obispado de Orense, por muerte de D. Josef Varela, á D. Manuel Fernandez Ama. = La ración'va cante en la catedral de Salamanca por muerte de D. Manuel Sánchez Alonso á D. Luca…</t>
  </si>
  <si>
    <t>Caicedo, Josef Mesía y</t>
  </si>
  <si>
    <t>Josef Mesía y Caicedo</t>
  </si>
  <si>
    <t>…patriotismo, y ha mandado se hagan públicas por medio de la gaceta para satisfacción de los contribuyentes. Él Rey nuestro Señor y atendiendo á las buenas prendas que concurren en D. Josef Mesía y Caicedo, oidor decano de Ja Real audiencia de Mégico, y al notorio amor y desinterés é inteligencia con que ha servido, ha venido, á consulta del Real y supremo Consejo.de cámara de las Indias , en nom brarle regente de la mencionada audiencia por fallecimiento del q…</t>
  </si>
  <si>
    <t>Cal-, Vicente</t>
  </si>
  <si>
    <t>Vicente Cal-</t>
  </si>
  <si>
    <t>…dad posible contribuyendo á su instrucción en&gt; las ciencias naturales, se ha dignado eregir una cátedra.de Historia natural en dicho establecimiento, nombrando para su desempeño á D. Vicente Cal-* vo Conde. En atención á los distinguidos méritos y servicios de D. Francisco San-* chez Gadeo, diputado de los reynos, se ha servido S. M. concederle la gracia de cruz supernumeraria de !a Real y distinguida orden española de Carlos iii. , &gt; Enterado el Rey…</t>
  </si>
  <si>
    <t>Calama, Ildefonso Gómez</t>
  </si>
  <si>
    <t>Ildefonso Gómez Calama</t>
  </si>
  <si>
    <t>…uela, á O. Manuel Carro, diácono, subteniente del regimiento infantería de Guadalajara. = La canongía vacante en la catedral de Coria por muerte de D. Sebastian Pineros Albarran á Don Ildefonso Gómez Calama, cura rector del lugar de Valdefuentes. = La cauongía que ha resultado vacante en la catedral de Tuy por promoción de D. Juan Cárlos Vales Baamonde á la metropolitana de Santiago á D. Joa quín de Arévalo.= La canongía que ha vacado en la catedral de Orense po…</t>
  </si>
  <si>
    <t>Calbache, Fernando Osório</t>
  </si>
  <si>
    <t>Fernando Osório Calbache</t>
  </si>
  <si>
    <t>…nes de ambos sexosíque'lograron el accessit. r v ,r : . Concluido éste acto , ¡ qúe causó Jen todos los espectadores ; la mas viva emoción, léyó el segundó director de láisóciedad D. Fernando Osório Calbache y] individuo de la Real maestranza de ésta ciudad, un discurso análogo á las circunstancias , y qué concluyó elogiando las virtudes que adornan" á nuestro católico y augusto Soberano, y las grandes felicidades que toda la nácion yleste cuerpo debe prometerse…</t>
  </si>
  <si>
    <t>Calde, Juana</t>
  </si>
  <si>
    <t>Juana Calde</t>
  </si>
  <si>
    <t>…ntencia;; cuya caridad unida á la an tecedente. asciende á 384891 !rs. y 23 ¿ntL, de qüe deberán deducirse 89130 rs., sobre que se fundaron los dos patrón atos marcados fundar por Doña Juana Calde ra Freile, hija de la Doña Beatriz en el convento de Sta*:Clara de esta corte, y á cuyo goce y obtención de dichos patronatos está reservado igualmente el derecho, por la sentencia dé la chanciiiería á los qjie le puedan tener mcjrr que Doña Jose fa Gabriela…</t>
  </si>
  <si>
    <t>Calderón, Antonio Ramos</t>
  </si>
  <si>
    <t>Antonio Ramos Calderón</t>
  </si>
  <si>
    <t>…: para la de Mónterey á D. Carlos Angulo: para la de Colmenar Viejo á D. Juan Luxigo y Pedro?a: para la de Baylen á D. Manuel Antonio Caballero: para la de Águilar del Rio Alama á D. Antonio Ramos Calderón; y para la de Leganes á D. Félix Benitez. Para el corregimieno de Alcaraz á D. Andrés Josef Amat: para el de $. Clemen te á D. Josef Matías Eguizabal: para el de Toro á D. Juan de Dios Alon so: para el de Medina del Campo á Di Manuel Josef Sánchez Fano: para…</t>
  </si>
  <si>
    <t>Calderón, Josef</t>
  </si>
  <si>
    <t>Josef Calderón</t>
  </si>
  <si>
    <t>21 Sargento mayor del Regimiento de Mallorca, D. Pedro Gutiérrez, del de Voluntarios de Avila, y D. Josef Calderón de la Barca, Gobernador inte rino del Fuerte de la Concepción, y Presidente de la Comisión Militar de Policía y Gobierno de la plaza de Ciudad-Rodrigo: al de Teniente Coro nel á D. Benito Sandoval y D. Pablo Pairot, Capitanes del Real Cuerpo de Artillería, D.…</t>
  </si>
  <si>
    <t>Calderón, Josef Catalan y</t>
  </si>
  <si>
    <t>Josef Catalan y Calderón</t>
  </si>
  <si>
    <t>…e Baza á D. Cristóbal Benitez Campion: parala de A race na á D. Félix Antonio Ratiios; y para la de Peñafiél á D. Isidro Preciado. Para el corregimiento de Tnrazona dé la Mancha á D. Josef Catalan y Calderón: para el de Alcalá de los Gaztiles á D. Josef Roa Rodríguez: para el de Medinaceli á D. Roque Domingo de la Figuera: para el de Becerril de Campos á D. Josef Valentín Rica. Para la vara de alcalde mayor de Fortuna á D. Pedro Josef deíMasegpS*: para la de Rute…</t>
  </si>
  <si>
    <t>Calderón, Juan</t>
  </si>
  <si>
    <t>Juan Calderón</t>
  </si>
  <si>
    <t>…oz, D. Ignacio Fuerte , D. Josef Gacet, D. Guillermo Dot, y D. José f Villar de Francos, del Provincial de Segovia; á D. Santiago Muriedas, D, Isi doro Moreno, D. Antonio Gallego, D. Juan Calderón, y Di Juan Sierra, del primer Barallon de Voluntarios de Ciudad-Rodrigo; á D. Manuel Ri bero, D. Joaquín Quadrado, D. Francisco Escovar, D. Salvador S. Juan, y D. Josef Renau, del segundo Batallón de idem;á D. Joaquín Rodríguez, 0. Vicente González , D. Fabia…</t>
  </si>
  <si>
    <t>Calderón, Manuel</t>
  </si>
  <si>
    <t>Manuel Calderón</t>
  </si>
  <si>
    <t>…aca, D. Casimiro Salcedo, y D. Miguel González, del de Voluntarios de Avila; D. Francisco Herranz ,'D. Angel Díaz, y Don Vicente Tomes, del Provincial de Segovia; D. Pedro NuñeZ;, D. Manuel Calderón, D. Matías Frade, D.Francisco Antonio Ledesmá, y LF. Andrés .Muñoz, del primer Batallón de Ciudad-Rodrigo; D. Miguel Retámar, Don Juan Atienza, D. Isidoro Caballero* 0. Julián Avilé*, D¿! Juan Martin,</t>
  </si>
  <si>
    <t>Calderón, Tomas González</t>
  </si>
  <si>
    <t>Tomas González Calderón</t>
  </si>
  <si>
    <t>…ia con que ha servido, ha venido, á consulta del Real y supremo Consejo.de cámara de las Indias , en nom brarle regente de la mencionada audiencia por fallecimiento del que lo eüa D. Tomas González Calderón. Por providencia del Sr. D. Joaquín Aimazan y 0108600, del consejo de S. M.; teniente-corregidor de esta villa, dada por la-escribanía propietaria de D.;Gristóbal Vicuña en 11 del pasado, se ha mandado sacar á pública subasta la parte que</t>
  </si>
  <si>
    <t>Caleppi</t>
  </si>
  <si>
    <t>…emo de la Iglesia ca tólica , á quieú la Providencia ha .libertado de tantos .y tan exquisitos peligros. Ayer llegó ,á está ciudad di cáb:ilierbr4-uis¡ Berossi, .secretario'de Mon señor Caleppi, nuncio 'apostólico en Rio-Janeyro, y anuncia que toda lal familia real vendrá á Europa en el mes de Abril próximo. '.'•-.'■.‘v _ ESPAÑA. : 7'; ; - . Sevilla jo de Diciembre» ; r " ; c El dia^j de: Noviembre, aniversario de la gloriosa reconquista, de Sevi ll…</t>
  </si>
  <si>
    <t>Calero, Francisco</t>
  </si>
  <si>
    <t>Francisco Calero</t>
  </si>
  <si>
    <t>…ósef LliriaS ,D. Francisco' Castañeda, D. Juan Liebres, D. Pedro'-Góíñéz-, Di. Fráñcls^o de Paula Rámlréz¿ DI Cecilio Mó¿ lina, D. Josef Martínez Coronado, D.. Gerdriimo Gallardo, D. Francisco Calero, D. Patricio González y D. Juan Josef Constantini (*). ,0 i 1 i ? ví 0..r-C . T A . , En el Real cuerpo de Guardias de su Real Persona. Grados de tenientes coroneles, a los subrtgadieres D.Luls Fernandez Li nares , D.'Miguel Santiago, D. Benito Vallejo, D. Be…</t>
  </si>
  <si>
    <t>Callaba, Juan Carlos</t>
  </si>
  <si>
    <t>Juan Carlos Callaba</t>
  </si>
  <si>
    <t>…ado á D. Cosme Moreno y Mérida: para la de la villa del Prado á D. Luis Fran cisco Sanz Teresa: para la de Belmonte á D. Pedro Antonio Moraleja y Montalban: para la de Carcabuey á D. Juan Carlos Callaba: para la cíe Cartaya á D. Joaquín Fernandez Duran: para la de Mansilla de las Muías á D. Evaristo Linares: para la de Alcañices á D. Francisco de Paula Grande: para la de Cien pozuelos á D. Francisco Herrero Blanco: para la de Salva tierra á D. Manuel del Poz…</t>
  </si>
  <si>
    <t>Calleja, Agustín de Velasco y</t>
  </si>
  <si>
    <t>Agustín de Velasco y Calleja</t>
  </si>
  <si>
    <t>…do Faxardo» Para el corregimiento de Gibraleon á D. Josef Barragan y Car bailar: para el de Rota y Chípiona á Dv Rafael Manuel Mavarrete y Ortega: para la vara del Burgo de Osma á D. Agustín de Velasco y Calleja; y prorogar en la de Tahal á D. Francisco Arjona y Zapata: en la de Piedrahita á Don Marcelo Fulgencio de Meló: en la de las villas de Iznatorafe y su$ agrega dos i D- Pablo García de Zúñiga ;y para ia vara de Trigueros á Di Roque Domingo de la Figuerau Asimi…</t>
  </si>
  <si>
    <t>Calleja, Agustín Velasco</t>
  </si>
  <si>
    <t>Agustín Velasco Calleja</t>
  </si>
  <si>
    <t>…D. Andrés Santolario. Asimismo se ha servido S. M. nombrar á D. Jacinto Marzo y Torres pa ra la vara de alcalde mayor de la villa de Mbmblanch: para la de la ciudad de Balaguer á D. Agustín Velasco Calleja: para la de la villa de Callosa de Segura á D. Vicente Diez Ruesgas: para la de Lombay á D. Manuel Polar y Clemente: para la de Bicon y Quesa á D. Francisco de Paula Villareal: para la de Enguerá á D. Manuel Alonso Hernández: para la de Castellón de Nules á D…</t>
  </si>
  <si>
    <t>Calleja, Agustin Velasco y</t>
  </si>
  <si>
    <t>Agustin Velasco y Calleja</t>
  </si>
  <si>
    <t>…la de Vique á D. Mahuel Frutos: pa ra la de Tárrega á D. Gregorio Sancho Granado r para la de Segorve á Don josef Tomas Aparicio: para la de Villalonga, en el partido de Denia, á Don Agustin Velasco y Calleja: para la de Novelda á D. Miguel Elias Sicardo: paraTa de Pego Ú D. Pedro Antonio Portillo y Clemente: pajra la de Planes y pueblos de su Baronía á D. Mateo-Miranda; y para la de fa villa de Albaida á D. Antonio Rico y Gómez. Igualmente ha nombrado S. M. para…</t>
  </si>
  <si>
    <t>Calleja, Félix María</t>
  </si>
  <si>
    <t>Félix María Calleja</t>
  </si>
  <si>
    <t>…r la estremada rapidez de nuestra carga. „Dios guarde á V. E. muchos años. Cuartel general de Chicnahuapa 27 de Setiembre de i8i4.=Escmo. Sr. = Luis del Aguila. = Escmo. Sr. virey D. Félix María Calleja.” (Se continuara.) Madrid 21 de Junio de 1815. ARTICULO DE OFICIO. Continuación de las gracias que se ha servido hacer el Rey nuestro Señor en celebridad de sus dias por la secretaría de Estado y del despacho de Gracia y Justicia. La ración vacante en la cate…</t>
  </si>
  <si>
    <t>Calleja, Manuel</t>
  </si>
  <si>
    <t>Manuel Calleja</t>
  </si>
  <si>
    <t>…pis, subteniente de in válidos: de subteniente á los sargentos primeros del Real cuerpo de Artille ría D. Vicente Zaragoza, D* Manuel Sánchez y D. Manuel Sarasa : al de Zapadores D. Manuel Calleja; á los del regimiento de infantería de Mallor ca D. Joaquín. Canseco, D. Patricio Fernandez, D. Josef Rodríguez de</t>
  </si>
  <si>
    <t>Calomarde, Francisco Tacieo</t>
  </si>
  <si>
    <t>Francisco Tacieo Calomarde</t>
  </si>
  <si>
    <t>…resentarse á cumplimentar á S; M/don- igual motivo ,1 y en nombre de da comunidad de Teruel* en el reino de A^gón, Baltasar López de Cuevas y diputado de-* eáno de la comunidad, y D. Francisco Tacieo Calomarde, oficial mayor de la secretaría de Indias, y caballerode la Real ydistinguida ordCn española de Carlos til; manifestando el primero de ellos en un breve discurso lá satis* facción que aniríiaba á los vecinos de aquella comunidad por ver restituido al trono de…</t>
  </si>
  <si>
    <t>Calva, Matías</t>
  </si>
  <si>
    <t>Matías Calva</t>
  </si>
  <si>
    <t>….que ha vacado en la propia catedral por muerte de D. tíionisio Muñoz a Jpí Henrique Emparan. y la ración que debe resultar vacante por.promocioti del referido D, Josef Ortuzar á D. Matías Calva, racionero de la iglesia pri mada de Toledo. ^ ¿ La, canongía yacante en la catedral de Segovia , por muerte de D. Antonio Mate:Gil á D. Josef Manso, cura de las Navas de S. Antonio en aquella dió cesis , y la canongía de la,.misma iglesia que ha vacado por f…</t>
  </si>
  <si>
    <t>Calvet, Bartolomé</t>
  </si>
  <si>
    <t>Bartolomé Calvet</t>
  </si>
  <si>
    <t>…l el subteniente D. Mariano Miranda; sar gento r.° Raimundo Sechas, y cabo 1 ° Gerónimo Honda Henriquez: con tusos los valientes oficiales teniente coronel D. Casimiro Bellota , y capitán D. Bartolomé Calvet. \ „Y respecto que todos los gefes, oficialidad y tropa merecen una general consideración por el relevante mérito que han contraido en una campaña tan interesante y penosa como la presente, no puedo menos de proporcionar algún premio á aquellos individuos que…</t>
  </si>
  <si>
    <t>Calvete, Juan Meneses</t>
  </si>
  <si>
    <t>Juan Meneses Calvete</t>
  </si>
  <si>
    <t>…Luis Gabaldon: para el corregimiento de Carmona á D. Josef María Tirado: para el de Lucena i D. Benito Saiz de Villegas: para el de Ubeda á D¿ Manuel Becerriir para el de Soria á D. Juan Meneses Calvete: para el de Linares á I&gt;. Josef Julián Ortega: para el de Tordesillas á Don redro Ventades; y confirmar en el de Sabagun á D. Joan Facón: para la vara de alcalde mayor de Ecija á D. Francisco Anaya y Villazan: para la de alcalde mayor segundo de Córdoba á D.…</t>
  </si>
  <si>
    <t>Calviño, Angel</t>
  </si>
  <si>
    <t>Angel Calviño</t>
  </si>
  <si>
    <t>…tados oñciales que haya en las esta fetas de las provincias del rey no, atendidos simultáneamente so méritoy SU‘ antigüedad. í í Habiéndose dignado el Rey nuestro Señor admitir de D. Angel Calviño» teniente retirado y vecino de S. Salvador de Bregondo, en el reyno de Ga licia, el donativo que ha hecho de 400 rs. vn. en dos recibos de préstamos que hizo en 1811, ha mandado S. M; que se le den las gracias en su Real nombre, y que se publique en la gaceta…</t>
  </si>
  <si>
    <t>Calvo, Bernabé</t>
  </si>
  <si>
    <t>Bernabé Calvo</t>
  </si>
  <si>
    <t>…en rústica á 10 rs. cada uno.rzLa nueva Clarisa: historia veidadera: cartas y contestaciones de Clarisa Derbi y madama Hariota, por madama de Beaumont; traducida al castellano por D. Bernabé Calvo: tres tomos en 8.a á 3* rs. en pásta.rr Nueva Guia de caminos para ir desde Madrid á todas las ciudades y villas mas principales de España y Portugal, y también para ir de una» ciudades! otras: segunda edición, nuevamente corregida y añadida porpor D.u, SaSan…</t>
  </si>
  <si>
    <t>Calvo, Josef Antonio Morales</t>
  </si>
  <si>
    <t>Josef Antonio Morales Calvo</t>
  </si>
  <si>
    <t>…o Cabrera. ^ ' •* Asimismo se ha servido S. M. prorogar por seis años en la vara de a leal- ’ de mayor de 5. Cristóbal de la Laguna, en la isla de Tenerife, una de las Canarias, a D. Josef Antonio Morales Calvo. En elcOrrégíínjento de Moya á D. Juan Ignacio Gavaldon Tendero hasta que concluya «u sexenio; y ha confirmado en el de Agreda á D. Eustaquio Martínez de Toro. En la vari de alcalde mayor de Valdepeñas ¿ D, Juan Víctor Lotente para que la sirf va hasta que cu…</t>
  </si>
  <si>
    <t>Calvo, Josef del</t>
  </si>
  <si>
    <t>Josef del Calvo</t>
  </si>
  <si>
    <t>…te Méndez-, ,D..Ántontp del- Corro, Di Antonio Roso, D. Juan Robion, I&gt;. Josef Car rabedo, D. Francisco: del Moyo, D. Josef del Rio, D. Domin go Monduiña , D. Manuel Diaz Herrera, D. Josef del Calvo, D. Manuel Bar rientes; D. Juan Robles , D. Fráncisco de los Hoyos, D. Gerónimo Fuen-?, mayor, D. Juan Becerra, D. Bernardo Tacón, D. Francisco Boneo, D. Jo sef Zorrilla, D. Santiago Regañón, D. Josef Maestre, D. Josef Olaeta■, Don Andrés Pitadaveyga, D. Ramó…</t>
  </si>
  <si>
    <t>Calvo, Josef Zoyíó</t>
  </si>
  <si>
    <t>Josef Zoyíó Calvo</t>
  </si>
  <si>
    <t>…á los de los batalló-»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Eulogio González, D. Manuel Lúeas, D. Cristóbal Martin, D. Joaquín Serrano y D. Amonio Pinalero2.a Enterado el Rey nuestro Señor del mérito que…</t>
  </si>
  <si>
    <t>Calzada, Bernardo María</t>
  </si>
  <si>
    <t>Bernardo María Calzada</t>
  </si>
  <si>
    <t>…de las Carretas, y en la de Quirós, calle de Atocha, frente á los Gremios: su precio 4 rs. Pensamientos militares escritos para instrucción de Ja juventud española por el teniente coronel D. Bernardo María Calzada, en los que se trata de la qualidad de las tropas, de la oficialidad, del número de ellas, de los soldados rasos, propor ción entre ía infantería y caballería, régimen de las tropas, disciplina, subordina ción, recompensa, honor y valor: un tomito en 8.° á 4…</t>
  </si>
  <si>
    <t>Calzada, Bernardo María- de</t>
  </si>
  <si>
    <t>Bernardo María- de Calzada</t>
  </si>
  <si>
    <t>…primer ayudante consultor de los egéteitos de S. M.: cuarta impre sión: a tomos en uno en 8.° á 14 rs. -en pasta.Poema de la religion de Luis Racine, en seis cantos: traducido por D. Bernardo María- de Calzada. Es inútil hacer el elogio de este poema, cuando es bien conocido entre todos los sabios del orbe: un tomo en 8f* mayor £14x8. en pasta.rrDescripción de la Inconstancia de la for tuna , en donde por ia decadencia de los imperios y de ios'reinos y por la ruina…</t>
  </si>
  <si>
    <t>Calzada, Bernardo María-de</t>
  </si>
  <si>
    <t>Bernardo María-de Calzada</t>
  </si>
  <si>
    <t>…Cabo en'Madrid'en la fábrica de sombreros de la calle de Jesús y María.- y ■' ¿ • Ensayo sobre la educación de la nobleza, escrito por el caballero y trasla dado af castellano pdr&lt;D. Bernardo María-de Calzada., Encierra todas las lecciones .necesarias para educar á los jóvenes nobles, que son una parte principal de la nación, y¡jde cuyos aciertos ett’ el iñanéjo dé los negocios -pende la felicidad de tantosdivi dido en dos tomos. Se hallará en la librería y almacé…</t>
  </si>
  <si>
    <t>Calzas, Félix Alonso y</t>
  </si>
  <si>
    <t>Félix Alonso y Calzas</t>
  </si>
  <si>
    <t>…Preciado: para la de Brihuega á Di Manuel González Gá- ' voso: para la de Valdeorras á D. Josef Joaquín de Isla: para la de Gcon á b. Vicente García Olalla; y para la «de Bailen á D. Félix Alonso y Calzas; y; ha confirmado 5. M. en la vara de Ollvencia á D. Pedro Josef Revira ; en ía de Rlaza y Riofrio á D. Manuel del Pozo, y eft la'dé Palacios de da; Bal* duerna 'á D. Francisco Plácido Cabrera. ^ ' •* Asimismo se ha servido S. M. prorogar por seis años en la…</t>
  </si>
  <si>
    <t>Cam, Manuel Martínez del</t>
  </si>
  <si>
    <t>Manuel Martínez del Cam</t>
  </si>
  <si>
    <t>…ón retención del beneficio simple que obtiene en el lugar de Ve lies* obispado de Salamanca : para otra canongía * vacante en la iglesia metropolitana de Santiago por promoción de D. Manuel Martínez del Cam po y Guerra á otra canongía y dignidad de arcediano de Alcaráz, de la de Toledo, á D. Pablo Fernandez de Castró: para Otra canongía, que resulta ^ácánté en ia catedral de Avila por promoción de D. Joaquín Ferraz y Cortiél á otra de la iglesia metropolitana de…</t>
  </si>
  <si>
    <t>Camac, Burges</t>
  </si>
  <si>
    <t>Burges Camac</t>
  </si>
  <si>
    <t>…ro, pequeña á D. Francisco Ortiz de Taranco. &gt; Supernumerarias á D. Gaspar Zurita, D. Ignacio Acha,D. Vicente Alzaybár., D. Josef Vareta y Montero, Barón de Gastellnou de Momech , Don Burges Camac, D. Josef Montenegro , D. Ventura Malibran, D. Pedro Juan de Olazagarre, D. Diego Henares y Tienda, D. Diego Miguel Bravo, Don Antonio vidaurreta, D. Juan Zarate, D. Josef Irunciaga, D. Josef Perez Quintero, D. Joaquín Martínez de Medinilla, D. Rafael Vicente…</t>
  </si>
  <si>
    <t>Camacho, Miguel</t>
  </si>
  <si>
    <t>Miguel Camacho</t>
  </si>
  <si>
    <t>…sef Perez Joven á D. Luis Perez Minayo , beneficiado de la villa de Uraeña en el obispado, de Paleada; ! ¡ y -j La canongía vacante en la catedral de Canarias por fallecimiento de Don Miguel Camacho á D. Juan Josef Perez González , cura párroco de la villa de Sta. Cruz de Tenerife, y la ración que ha vacado en la misma iglesia por muerte de D. Bernarda Reyes á D. Fernando FaLcon y Alvarez. La canongía de la catedral; de Orihuela vacante por fallecimiento…</t>
  </si>
  <si>
    <t>Cámara, Jorge</t>
  </si>
  <si>
    <t>Jorge Cámara</t>
  </si>
  <si>
    <t>, 233 capitán de infantería de Buencs-Ayres, y á D. Josef de Landavese, te niente coronel del cuerpo de la Concordia de la Paz en el Perú; y de ca pitán á D. Jorge Cámara, D. Diego Ballesteros y D. Juan Gerónimo Suarez , los dos primeros tenientes de infantería de Buenos- Ayres , y el último de blandengues de Montevideo. Asimismo se ha servido S, M. nombrar en el regimiento de infantería el Real de Lima, existente en el Perú,…</t>
  </si>
  <si>
    <t>Cambil, Ignacio</t>
  </si>
  <si>
    <t>Ignacio Cambil</t>
  </si>
  <si>
    <t>…to , Q¿ Fráncisco Cervera &gt; D. Francisco , Cascos, D. Juan Tejadár, DvBasilioBayoni, D.Joaquin Dolz, D. Salvador Arnardo, D. An tonio Marcoletá, D, Josef Gáliano, D. Manuel Ayolo, D. Ignacio Cambil, D. Vicente. Dolz , D. Manuel Fernandez , D. Rafael Montemayor, D. Ga briel Villoría, D, Diego Latorre, D. Pedro Vidal, D. Antonio Rey, D. Pe dro Áhnabai, D. Manuel Lomar, D. Pablo Chamorro , :D, Josef Ckuñer. DvJosefGucrra, D. Juan Sevillano , H. Josef Fonse…</t>
  </si>
  <si>
    <t>Cambronne</t>
  </si>
  <si>
    <t>…aordinario 4$; las tropas británicas, y al¿valor y pericia de. su incomparable caudillo. ¿&gt;,¡ „;Son muchos los generales prisioneros ¿entre Jps.cuatesse cuenta el conde Lobau y el general Cambronne, que acompañó á Napoleón ,á la isla de El-, ba. Se lian tomado dos águilas , y el numero ¡4o armas, perdidas por el enemi go, ps incalculable, : . „ Las consecuencias de esta victoria son tan de bulto ,„que es inútil medeteoga en detallarUs„sni támpoco el tie…</t>
  </si>
  <si>
    <t>Cameron</t>
  </si>
  <si>
    <t>…hombres; ¡ L ^ „En el estado que incluyo verá V. E. los nombres de Tirios oficiales del mayor mérito, perdidos pa?a&gt; el setvicio^de-S. M.; y no pinedo menos de ha cer mención del coronel Cameron deí regimiento 9*2.°, y del coronel sir H. Ellis del 23,sobre cuya conducta he llamado varias veces la atención de V. E., y que por último murieron de la manera mas gloriaba á ía cabeza de las tropas qüe mandábání ? r 1 „ A pesar de la grande gloria -que resu…</t>
  </si>
  <si>
    <t>Cameros, Francisco Félix</t>
  </si>
  <si>
    <t>Francisco Félix Cameros</t>
  </si>
  <si>
    <t>…Francisco Izquierdo, el priorato rural de Castro por la de D. Alfonso Mu ñoz Palomares, y el beneficio servidero de Villanueva del Arzobispo, va cante también por fallecimiento de D. Francisco Félix Cameros, todos en la expresada diócesis de Jaén, á D. Francisco Zamora Fernandez; y para la prestamera menor de Valdejudíos en la iglesia parroquial de Carrascosa del Campo, vacante por muerte de D. Manuel Peñuelo Polo, la que lo está asi mismo en la Villa de Barbali…</t>
  </si>
  <si>
    <t>Camino, Léon González del</t>
  </si>
  <si>
    <t>Léon González del Camino</t>
  </si>
  <si>
    <t>Asimismo, y jfor las respectivas renuncias dé D. Ramón Rodríguez de Velase*», D. Léon González del Camino, D. Juan Antonio Morejon, Don Josef Antonio de Oscoz y D. Antonio Fernando Briz, se ha dignado S. M. nombrar, á consulta de dicho tribunal, para las varas de S. Vicente á Don Santiago Amatrtain: de Pedro Muñoz á D. Antonio Rodríguez fsscovar : de ViHaest/usa…</t>
  </si>
  <si>
    <t>Camino, León González del</t>
  </si>
  <si>
    <t>León González del Camino</t>
  </si>
  <si>
    <t>…secretario. Igualmente se ha servido S. M. nombrar á D. Josef Mariano Márquez de Aguilar para la vara de alcalde mayor de la ciudad de Mataré; para la de Cinco Villas en Aragón á D. León González del Camino; para la de la vi lla de Monoyar á D. Andrés Soler; para lá de Rivaroja á D. Vicente María López ; para lá de Turis á D. Cándido Francisco Cevallos; para la de Bélgida á D. Simón Perez López; para la de Chelva á D. Josef Morant y Se— arra; para la.de Concenta…</t>
  </si>
  <si>
    <t>Campanon, Miguel</t>
  </si>
  <si>
    <t>Miguel Campanon</t>
  </si>
  <si>
    <t>…éf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 D. Josef.Escovar;D.:Santos Leccea£ D. Bernardo Latorre, D. Joaquín de la Cámara, D; Josef HidalgoDon Tpmás Gutiérrez, D. Francisco de Paula Castro, D…</t>
  </si>
  <si>
    <t>Campbel</t>
  </si>
  <si>
    <t>…mente en Ro ma , ha recibido la siguiente* noticia importante, que na remitido aqui por correo estraordinario., - - ( • .* r, .. r ..... Roma iG de Mayo. : „E1 11 del corriente el capitán Campbel, coman dante de la escuadra inglesa, compuesta del navio de línea el Tremendo 3 la fragata Almene y la chalupa Partridge,» sepresentó en.la bajií^ decapóles, y*amenazó bombear la. ciudad; inmediatamente pasó¿ Éptdojdelá‘capitana el príncipe Cariati, enviado p…</t>
  </si>
  <si>
    <t>Campero, Miguel María</t>
  </si>
  <si>
    <t>Miguel María Campero</t>
  </si>
  <si>
    <t>…Recaudo!,pon Miguel Rabe, D. Antonio Josef Royo , D. Domingo Cheli y D. Cenon Gar cía: á los capitanes marques dé A-yerve , 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t>
  </si>
  <si>
    <t>Campillo, Francisco de Mier y</t>
  </si>
  <si>
    <t>Francisco de Mier y Campillo</t>
  </si>
  <si>
    <t>…nteligencia y cumplimien to en la parte que le corresponde. Dios guarde á V. muchos años. Madrid 17 de Diciembre de 1814* Queriendo dar al reverendo obispo de Almería é inquisidor general Don Francisco de Mier y Campillo una prueba de lo gratos que han sido sus ser vicios-, yien premio de su caridad, humildad.apostólica y vasta literatura eclesiástica, se ha servido el Rey concederle la gran cruz de la Real y dis tinguida orden española de CárloSfin. En premio de los servicio…</t>
  </si>
  <si>
    <t>Campillo, Francisco González del</t>
  </si>
  <si>
    <t>Francisco González del Campillo</t>
  </si>
  <si>
    <t>989</t>
  </si>
  <si>
    <t>…tnoü Sr. Arzobispo de Nicea, Nuncio de: Si S. en estos reinosy á? lar que precedió una pequeña plática aná loga á la ceremonia, que hizo’ el capellán rasís antiguo del Real Cuerpo Don Francisco González del Campillo. Concluida la' bendición, y habiendo sa-r lído los Reales Estandartes á colocarse’ en el escuadrón, puesto el Duque de Alagon á su frente, y echádoié la: exhortación-'de ordenanza, mandó ha¡-» car una descarga , y previa la venia de ScM. se retiraron los Esta…</t>
  </si>
  <si>
    <t>Campillo, Francisco Mier y</t>
  </si>
  <si>
    <t>Francisco Mier y Campillo</t>
  </si>
  <si>
    <t>…ado consagrante el Excmo. Sr. D. Francisco Antonio Cebrian y Vaida, patriarca de las Indias, y asistentes los Excmos. Sres. Don Rafael Muzquíz y Aldunate, arzobispo de Santiago, y D. Francisco Mier y Campillo, inquisidor general. S. M. asistió á tan augusta función en so tribuna, y el Sermo. Sr. Infante D. Antonio en la suya. El Sermo Sr. In fante D. Carlos se dignó honrar á su maestro siendo su padrino secular per sonalmente, dando con este rasgo de piedad y de r…</t>
  </si>
  <si>
    <t>Campillo, Manuel González</t>
  </si>
  <si>
    <t>Manuel González Campillo</t>
  </si>
  <si>
    <t>…erez, D. Fidel Provecho, D. Francisco Masías, D. Antonio Fernan dez, D. Valentín Roxo, D* Carlos Osorio y D. Josef Laso de la Vega, del de Voluntarios de León; D. Pedro Valcárcel, D. Manuel González Campillo, D. Juan Villapaderna, D. Juan Manuel Mancebo, D. Francis co Diez Sopeña, D. Josef Provedo, del de Voluntarios del Ribero; Don Gerónimo Roxo, del de Cazadores del Rey; D. Cesar Tournel, d¿l Real Cuerpo de Artillería , y D. Gerónimo Alvarez , del de Húsares ex…</t>
  </si>
  <si>
    <t>Campillo, Miguel</t>
  </si>
  <si>
    <t>Miguel Campillo</t>
  </si>
  <si>
    <t>…D. Agustín Berlanga y D. Manuel Serrano. . ^ ¡1 En el regimiento Real de Zapado resMinadores«?1 ¡ 1 ‘ Grados también de subtenientes á los sargentos primeros D. Juan Pedro Boullu, D. Miguel Campillo, D. Juan López, D. Manuel de Pedro, Don Pedro Perez y D. Domingo Anguiano. ] Circulares ael ministerio de Guerra, El Rey nuestro Señor, que. procura estender sus paternales desvelos á to das las rolases del estado, y desea que los oficiales que por sus herida…</t>
  </si>
  <si>
    <t>Campion, Cristóbal Benitez</t>
  </si>
  <si>
    <t>Cristóbal Benitez Campion</t>
  </si>
  <si>
    <t>…: para la de Almansa á. D. Abdon Baena y Ramos: para la de Za mora á D. Mariano Milla Fernandez : para la.de Valderas á Di Ramón An gel de las Cuevas: para la de Huesear de Baza á D. Cristóbal Benitez Campion: parala de A race na á D. Félix Antonio Ratiios; y para la de Peñafiél á D. Isidro Preciado. Para el corregimiento de Tnrazona dé la Mancha á D. Josef Catalan y Calderón: para el de Alcalá de los Gaztiles á D. Josef Roa Rodríguez: para el de Medinaceli á D. R…</t>
  </si>
  <si>
    <t>Campo, Josef</t>
  </si>
  <si>
    <t>Josef Campo</t>
  </si>
  <si>
    <t>…gioiety. D. Salvador Somoza, presbítero, vecino de la ciudad de Santiago, tiene noti cias interesantes que comunicar á D. Josef Villa, cirujano que fue del regimiento de Zamora; i D. Josef Campo, natural de Andalucía, capitán que fue de dicho regimiento de Zamora, y á D. Francisco A maya de los Cameros, de Medtnasidonia; y en defecto de estos á sus herederos. Los interesados podrán dirigir sus soli citudes á la posible brevedad á dicho presbítero D.…</t>
  </si>
  <si>
    <t>Campo, Julián del</t>
  </si>
  <si>
    <t>Julián del Campo</t>
  </si>
  <si>
    <t>…ehíenté de corregidor de esta' villa, y por la escribanía del numero dé ’Dv JüánP Antomb de' Frraza, se hallan radicados los autos - de testamentaría formadospór fallecimiento^ de D. Julián del Campo, vecino y artífice platero que fue en esta cortelos cuales' tu1 vieron principio ante el Sr. X). Juan Antonio Sta. Mafíay siendo igual teniente corregidor en 10 de Abril de 1797, á los que ocurrieron varios acreedores, y sé siguieron por diversos trámites has…</t>
  </si>
  <si>
    <t>Campo, Manuel Saiz Gómez de</t>
  </si>
  <si>
    <t>Manuel Saiz Gómez de Campo</t>
  </si>
  <si>
    <t>…d por uno de los mas gloriosos en los fas tos de su historia. Madrid 22 de Setiembre. El día 6 del mes próximo pasado tuvo la honra de ser presentado á besar la Real mano de S. M. D. Manuel Saiz Gómez de Campo; y al felici tar á S. M. en nombre del concejo, justicia y regimiento de la villa del Es corial, que tiene la honra de contar á S. M. por uno de sus hijos y natura-» les, espusp los estraordinarios servicios que aquellos vecinos hicieron en de fensa de S. M.…</t>
  </si>
  <si>
    <t>Campománes, Domingo Fernandez</t>
  </si>
  <si>
    <t>Domingo Fernandez Campománes</t>
  </si>
  <si>
    <t>1081</t>
  </si>
  <si>
    <t>…el com petente título, ni haber sido recibido caballero ni condecorado con dichas insignias con las formalidades y ceremonias que pre« criben los estatutos de la Orden, encargo al Sr. D. Domingo Fernandez Campománes, caballera iiscaJj.de la Asamblea, recibiese una sumaria información que acreditase la verdad de este hecho, lo que verificó en debida forma; y. la Asamblea en su* vista consultó á S. M. lo que tuvo por conveniente con fecha de 19 de Agos to último: y enterad…</t>
  </si>
  <si>
    <t>Campománes, Manuel de Nava y</t>
  </si>
  <si>
    <t>Manuel de Nava y Campománes</t>
  </si>
  <si>
    <t>1213</t>
  </si>
  <si>
    <t>…cal, ha acordado se" comu nique á la Saífl de Alcaldes, Chanciíierías y Aúdíenpias Reates, y á las Jus ticias y Ayuntamientos en la forma ordinaria. Madrid 16 de Octubre de 1815 . Don Manuel de Nava y Campománes, coronel del regimiento de infan te ría»-de voluntarios de Castilla,. queriendo dar una prueba de su amor al Rey nuestro Señor* le ha dirigido instancia pidiendo se dígne admitir la re nuncia qúé hace de todos los alcances que resul ten en sus afustes desde e…</t>
  </si>
  <si>
    <t>Campománes, Rodrigo Rodríguez de</t>
  </si>
  <si>
    <t>Rodrigo Rodríguez de Campománes</t>
  </si>
  <si>
    <t>…en premio de su valor, constante adhesión y servicios hechos á favor de la augusta casa de los Borbones. El Rey se ha servido nombrar coronel del regimiento provincial de Lu go á D. Rodrigo Rodríguez de Campománes: para igual empleo del de Pontevedra al coronel vivo de infantería D. Xavier García Florezj y para el de teniente coronel de la quarta división de granaderos provinciales de Galicia al capitán de infantería D. Josef Caxide. El Rey nuestro Señor se ha servido…</t>
  </si>
  <si>
    <t>Campos, Gregorio Barraycoa y</t>
  </si>
  <si>
    <t>Gregorio Barraycoa y Campos</t>
  </si>
  <si>
    <t>…el 'mediodía qué debe ser reemplazado sobre él Dniéster por las tropas polacas. ARTICULO DE OFICIO. jui 1 IvEY se ha servido conferir á consulta del .consejo Real de las Ordenes á D. Gregorio Barraycoa y Campos la vara de alcalde mayor de la villa de Ocaña que egercia interinamente, y mandar continúe hasta cumplir su sexe nio en la de Usagre D. Antonio Machado y Montano ; promover á las de Villatobas, Almonacid de Zorita y Lietor á los electos para las de S. Ca bría…</t>
  </si>
  <si>
    <t>Campos, Luis</t>
  </si>
  <si>
    <t>Luis Campos</t>
  </si>
  <si>
    <t>…l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 Zaballa , D. Juan Ilzalbe, D. Ventura Correjes, D. Agustín Gar cía , D. Pedro Menor, D. Rafael Santiago; D. Ramón Fra…</t>
  </si>
  <si>
    <t>Campuzá'no, Eusebio</t>
  </si>
  <si>
    <t>Eusebio Campuzá'no</t>
  </si>
  <si>
    <t>…ión pruebas nada equívo cas de su aplicación y cje^ zql9 de sus maestros, nQ obstante la justicia exije que se haga especial mención de los qué mas se distinguieron. Fueron es tos D. Eusebio Campuzá'no y D. Mariano Cásadó de la primera clase, y Don Pedro de Arjona y D. Francisco Cobos de la tercera. Sevilla 4 de Junio. El.Real cuerpo de maestranza de caballería de esta ciudad, en celebridad del día1 de su augusto Soberanp y hermano mayor el Sr. D. Fernando vii, que Dios guarde…</t>
  </si>
  <si>
    <t>Campuzano, Francisco</t>
  </si>
  <si>
    <t>Francisco Campuzano</t>
  </si>
  <si>
    <t>…, D. Francisco Gu tiérrez Miera , D. Josef Gutiérrez, D. Antonio María Palomo, D. Josef López Orihuela y D. Aquilino Infantes. ~ En atención á los méritos y dilatados servicios de D. Francisco Campuzano, gobernador de las aduanas de Cantabria, ha venido S. M. en conce derle les honores del consejo de Hacienda. El Rey nuestro Señor se ha servido conceder á D. Pedro Andrés Ponrret, canónigo de lá iglesia catedral de Oreme , el permiso de usar la distin ción de…</t>
  </si>
  <si>
    <t>Canals, Antonio</t>
  </si>
  <si>
    <t>Antonio Canals</t>
  </si>
  <si>
    <t>…les cuerpos de Artillería í Ingenieros en él memorable dia dé S. Fernando, . ' En el Real cuerpo de Artillería.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t>
  </si>
  <si>
    <t>Cañas, Francisco</t>
  </si>
  <si>
    <t>Francisco Cañas</t>
  </si>
  <si>
    <t>…tanes á D. Francisco Velasco y D. Pedro Noriega; tenientes de granaderos á D. Josef Moreno y D. Juan Cosío; ídem de fusileros á D. Josef Cañas, D. Ignacio de Castro y Neg reyros y D. Francisco Cañas; subteniente de granaderos á D. Juan Valdivíeiso, y subtenientes de bandera á D, Manuel Gil, D. Josef Nicolás Esre’Ia, D. Ignacio Alcázar y D. Jacinto del Rico: con la de 30 de Enero último capitán de granaderos en el propio cuerpo á D. Josef Lanao ; ídem de…</t>
  </si>
  <si>
    <t>Cañas, Josef</t>
  </si>
  <si>
    <t>Josef Cañas</t>
  </si>
  <si>
    <t>…l Perú, con la antigüedad de 18 de Mayo de 814; capitanes á D. Francisco Velasco y D. Pedro Noriega; tenientes de granaderos á D. Josef Moreno y D. Juan Cosío; ídem de fusileros á D. Josef Cañas, D. Ignacio de Castro y Neg reyros y D. Francisco Cañas; subteniente de granaderos á D. Juan Valdivíeiso, y subtenientes de bandera á D, Manuel Gil, D. Josef Nicolás Esre’Ia, D. Ignacio Alcázar y D. Jacinto del Rico: con la de 30 de Enero último capitán de gr…</t>
  </si>
  <si>
    <t>Canciller</t>
  </si>
  <si>
    <t>…reunidos de. todos se conseguiría el bien general, para cuyo íógro no dejaría de emplear por su parte toaos los esfuerzos posibles. Concluido este discurso del Principe Regente el lord Canciller declaró ' pibrog&amp;do fií parlamento ahueves 22 de Agosto' próximo.,j ' . ‘ . - Idem jij. Se han recibido por el ministerio de Guerra los oficios siguientes relativos, d las operaciones militares. . - . j..° Estracto del oficio qué el caballero Jorge Henrique R…</t>
  </si>
  <si>
    <t>Cañedo, Alfonso</t>
  </si>
  <si>
    <t>Alfonso Cañedo</t>
  </si>
  <si>
    <t>…cero, canónigo magistral de la misma iglesia,, con retención de ésta canongía: para la dig nidad de vicario de coro, vacante én la santa iglesia primada de Toledo por promoción de D. Alfonso Cañedo á la iglesia y obispado de Málaga, á Don Domingo María del Rio Murga, con retención de la ración que obtiene en la misma iglesia de Toledo v para la canongía vacante en la iglesia colegial de Vitoria por promoción de D. Domingo Garramiola á una canongía de la…</t>
  </si>
  <si>
    <t>Cañete, Miguel Plácido</t>
  </si>
  <si>
    <t>Miguel Plácido Cañete</t>
  </si>
  <si>
    <t>…á D. Josef Vicente de Castro: para la de Benvipre á Don Josef Ruvial: para la de Orgiva á D. Gines Muñoz Paíao: para la de Revi lla á Juan Bautista Loperraez: para la de Ardales á D. Miguel Plácido Cañete: para la de Cañete á D. Manuel Díaz del Castillo: para la de Montoro á D. Josef Vaceda y Gómez: para la de Tolox y Monda á D. Juan Tomas Encina: para la de la Puebla de Cazalla á D. Josef Aguilar Gaioete: para la de Valverde del Camino á D. Francisco de Paula…</t>
  </si>
  <si>
    <t>Canga, Josef de</t>
  </si>
  <si>
    <t>Josef de Canga</t>
  </si>
  <si>
    <t>…: al grado de Teniente á los Subtenientes D. Josef Ramírez y D. Gaspar Reyna, del Real Cuerpo de Artir!ería ; D. Agustín Vicente y D. Ramón de Alcalá, auxiliares dei mismo Cuerpo; D. Josef de Canga, agregado al de Zapadores; D. Josef Bena, 0. Manuel Hueso, D. Fránciscp-Yarto, D. Mariano Rosas,. D. Henrique Puga, y D. Carlos ViHarejo, del Regimiento de Mallorca; D. Ignacio Llánderas , D. Miguel Moretid, D. Gregorio del Pozo, D. Fabian de Lastra, 0. Ricar…</t>
  </si>
  <si>
    <t>Canilló, Salvador García</t>
  </si>
  <si>
    <t>Salvador García Canilló</t>
  </si>
  <si>
    <t>…nía del número que egerce dicho Sn D.’ Ramón; prevenidos dé qué pilado, y no lo hacien do, les parará el perjuicio que haya lugar. - &gt;? u ^ 1 * La persona que sepa del paradero de D. Salvador García Canilló, nátural de la villa de Al box, obispado de Almería, y sargento primero que era del regimiento infantería Voluntarios de la Patria, que en la pérdida de Valencia fue conducido con dicho su regimiento prisionero; á Francia, sedo avisará al presbítero DfiSalva…</t>
  </si>
  <si>
    <t>Canino</t>
  </si>
  <si>
    <t>Gaceta de Madrid n.º 33</t>
  </si>
  <si>
    <t>…to ha estado á visitar al rey Emanuel que se halla enfermo en la casa del noviciado de los jesuitas, que es donde habita con edificación de todo el mundo. El conde de San-Leu y el príncipe Canino le han visi tado igualmente. Se dice que S. M. tenia intención de ir á Jerusalen en pe regrinación; pero que por consejo de los médicos ha desistido de tan peno so viage. Verona 14 de Marzo. Los caminos de estas inmediaciones están infestados de bandidos que…</t>
  </si>
  <si>
    <t>Cano, Antonio</t>
  </si>
  <si>
    <t>Antonio Cano</t>
  </si>
  <si>
    <t>…i, subinspector general de las tropas de aquella provincia. Brigadieres á los coroneles D. Melchor Alvarez, coronel del regimiento in fantería de Saboya, esistente en Nueva-Españi^D. Antonio Cano, del de in fantería de León ;, D. Juan Manuel Pereyra, teniente coronel del de! húsares de Fernando Vir, uno y otro pertenecientes á la espedicion del mando del</t>
  </si>
  <si>
    <t>Cano, Julián</t>
  </si>
  <si>
    <t>Julián Cano</t>
  </si>
  <si>
    <t>…e su Real Persona. Grados de tenientes coroneles, a los subrtgadieres D.Luls Fernandez Li nares , D.'Miguel Santiago, D. Benito Vallejo, D. Bernardo Cantero', Don Fernando Orozco, D. Julián Cano, D. Alfonso Leiva, D. Manuel Martínez de Velasco y D. Francisco Vaca: á subrigadieres del cuerpo al cadete Don Luis del Panva Cadétés supernumerarios á los guardias DV Ráfaél de Córdo ba y D. Josef Ponce de León i á tenientes vivos y efectivos de caballería ;…</t>
  </si>
  <si>
    <t>Canosa, Joaquín</t>
  </si>
  <si>
    <t>Joaquín Canosa</t>
  </si>
  <si>
    <t>…sco Barrio, con dimisión dé la canongía que'obtiene en la iglesia colegial dé San Quirce de aquel arzobispado: párá.la prestaméra dé la villa de íá Frontera, vacante por muerte de Don Joaquín Canosa, y la de la villa de Alconchel, qué fo está por la de D. Josef Cansecó, ambasen el obispado dex Cuenca , á D. Valentín de Hortigiiela: pára otra prestamera de la Fuente dé Pedro Narro en dicho obispa do, vacante ;por fallecí mientó de p. Jósef González Grande…</t>
  </si>
  <si>
    <t>Canosa, Josef Antonio</t>
  </si>
  <si>
    <t>Josef Antonio Canosa</t>
  </si>
  <si>
    <t>…villa, qué dicen la Calera, apreciada en rs. vn, de que deberán rebajarse las cargas que sobré sí tengan. Quien quisiere hacer postura á ellas acuda á la escri banía de número de D. Josef Antonio Canosa, que se admitirán las que hicieren den tro del término de 30 dias contados desde el 27 del pasado. El Sr. D. Julián de Iturralde, auditor de guerra de esta plaza y provincia, juez de la testamentaría y ocurrencia de .acreedores del Escoto. Sr. D. Manuel Ferna…</t>
  </si>
  <si>
    <t>…ara su remate el miércoles 11 de Octubre próximo á Jas 1 i de su maña na á las puertas de la audiencia de S. S. Quien quisiere hacer postura á ellas acuda á la escribanía de dicho D. Josef Antonio Canosa, dentro dél término de 15 dias, Contados^cjcscle dicha dia * 8 del presente niesJ . Por la audiencia del Sr¿ D. Joaquín de Almazan , del consejo de S. M. , tenien te corregidor de esta villa de Madrid, y por la escribanía del número que egerce¡ D. Josef- Anto…</t>
  </si>
  <si>
    <t>…Real. En virtud de providencia del Sr. D. Joaquín Almazan, del consejo de S. M., teniente corregidor de esta villa, de 31 de Octubre anterior, refrendada del escribano del número D. Josef Antonio Canosa, se cita, llama y emplaza á todos los acreedores que puedan tener derecho ¿ los bienes, caudal, hacienda 7 efectos que han quedado por la muerte de Tomas Modino, maestro de coches en esta corte, 7 que no se han mostrado partes en los autos que ante dicho seño…</t>
  </si>
  <si>
    <t>Canosa, Josef- Antonio</t>
  </si>
  <si>
    <t>Josef- Antonio Canosa</t>
  </si>
  <si>
    <t>…l presente niesJ . Por la audiencia del Sr¿ D. Joaquín de Almazan , del consejo de S. M. , tenien te corregidor de esta villa de Madrid, y por la escribanía del número que egerce¡ D. Josef- Antonio Canosa, están pendientes los autos de quiebra hecha por D. Pa tricio de Ribera, del comercio de esta corte, en los que por providencia de 1 i del corriente se ha mandado convocar á juntan todos sus acreedores, y señalado -para ella él domingo 8 de Octubre próximo, a…</t>
  </si>
  <si>
    <t>Canseco, Anselmo Diez</t>
  </si>
  <si>
    <t>Anselmo Diez Canseco</t>
  </si>
  <si>
    <t>…a de Ífernan-Nufiez i D. Julián An drés García. Para el corregimiento de Madrigal á D. Francisco Moreno: pa ra el de Ciudad-Real á D. Fermín Diez: pará el de Benavides de Ortigo á D. Anselmo Diez Canseco: para el de Chinchón á D. Tadeo Capablanca. Jfara la vara de León á D. Joaquín Ruiz de Arechavaleta: para la del Arahal á D. Josef Miguel Monge: para la de Ayamonte á D. Juan Nepomuceno</t>
  </si>
  <si>
    <t>Canseco, Josef</t>
  </si>
  <si>
    <t>Josef Canseco</t>
  </si>
  <si>
    <t>…rcon, vacante por ¿muerte dé I?*? Josef Alceaga, la de la yiiía de ¿Olmeda;, ¡júntq a las Valeras que obtu vo* i esté mismo-,; y. la de la villa de quedo está por fallecimiento dé D. Josef Canseco, todas tres en el obispad.o 4^Cuencaá ;pw Alfonso Ximeoez, d* Cisnecos, capellán de? honor, de $yíM*'-kJhpfra; clrpr&amp;tefnp.de la.iglésia par roquial de Albacete,i yaoan^e pp$ rae* dio préstamo de la de Molina, que lo está por renuncia de D. Vicente Paino, los…</t>
  </si>
  <si>
    <t>Cansecó, Josef</t>
  </si>
  <si>
    <t>Josef Cansecó</t>
  </si>
  <si>
    <t>…l dé San Quirce de aquel arzobispado: párá.la prestaméra dé la villa de íá Frontera, vacante por muerte de Don Joaquín Canosa, y la de la villa de Alconchel, qué fo está por la de D. Josef Cansecó, ambasen el obispado dex Cuenca , á D. Valentín de Hortigiiela: pára otra prestamera de la Fuente dé Pedro Narro en dicho obispa do, vacante ;por fallecí mientó de p. Jósef González Grande, á D. Anselmo Agnado, cura' párroco dé'los Baños de Sacudón» Asimismo…</t>
  </si>
  <si>
    <t>Cantabella, Francisco Juan y</t>
  </si>
  <si>
    <t>Francisco Juan y Cantabella</t>
  </si>
  <si>
    <t>…a de Tejada: de Villanueva de los Infantes á D. Josef Andrés de Arellano: de la Solana á Don Francisco María Osorio y Becerra: de los Santos á D. Vicente García Díaz: del Toboso á D. Francisco Juan y Cantabella: de San Mateo á Don Pedro Huerta Morales: de Almonacid de Zorita á D. Antonio Fernando Briz: de Daymiel al honorario de la cámara de Comptos D. Juan Ramón de Ibarra: de Mérida á D. Joaquín María de Egui^uren: de Dos-Barrios á D. Jorge Ferrer: de Segura de la…</t>
  </si>
  <si>
    <t>Cantero', Bernardo</t>
  </si>
  <si>
    <t>Bernardo Cantero'</t>
  </si>
  <si>
    <t>…C . T A . , En el Real cuerpo de Guardias de su Real Persona. Grados de tenientes coroneles, a los subrtgadieres D.Luls Fernandez Li nares , D.'Miguel Santiago, D. Benito Vallejo, D. Bernardo Cantero', Don Fernando Orozco, D. Julián Cano, D. Alfonso Leiva, D. Manuel Martínez de Velasco y D. Francisco Vaca: á subrigadieres del cuerpo al cadete Don Luis del Panva Cadétés supernumerarios á los guardias DV Ráfaél de Córdo ba y D. Josef Ponce de León i á tenien…</t>
  </si>
  <si>
    <t>Cantonat, Francisco Ortiz de</t>
  </si>
  <si>
    <t>Francisco Ortiz de Cantonat</t>
  </si>
  <si>
    <t>…y°para la de- Biar ár D. Anastasio Pinos y Plá: para la de Castellón de la Plana á D. Pantaleon Míreos Montesinos: para la de Axpe á D. Josef Vilella y Pastor: para la de Carlet a D. Francisco Ortiz de Cantonat: para la de Gorga y su Valle de Ceta á D. Gregorio Moran y Cavanes: para la de Xerica á D. Josef Cabezas; y á D. Miguel Sanz Aparicio para la de Villalonga, partido de Deriia. , Donativos hechos d S. M. D. Felipe Sánchez y Roiríeu ha ofrecido los préstamos qu…</t>
  </si>
  <si>
    <t>Canturry, Juan</t>
  </si>
  <si>
    <t>Juan Canturry</t>
  </si>
  <si>
    <t>…Ramón García 1400 rs. importe dé un caballo que entrego para el ¿g¿rcito: D. Pedro Bernardo de la Peña 10830 rs. , reditos de vales : D. Silvestre Navarro , D. Simón dé Segoyia y D. Juan Canturry 17352 rs. y 20 mrs. en 69 recibos de suministros á tropas, y de¡ 2 marcos 7 onzas y 2 adarmes en plata labrada: D. Miguel Blany 2032 rs. vn.: D. Rafael Diez Andrade 664 rs. y 16 mrs. mrnm*mmm, ■ .... .... .. .................................. .. : ■—.........…</t>
  </si>
  <si>
    <t>Cap</t>
  </si>
  <si>
    <t>…despojos del enemigo,y en el estado mas lucido é imponente___Subió la espedicion al cerro de S. Antonio , marchan do toda la tropa de infantería por tierra, y allí mandé siruar al capitán Cap mani para ver si logra posesionarse de Barranca del Rey, en donde quedan á los rebeldes unos tres bongos, con el objeto de tapar el dique por donde conducen los barcos menores desde Cartagena, con lo que les privaré hasta de la esperanza de tener la mas peque…</t>
  </si>
  <si>
    <t>Capablanca, Tadeo</t>
  </si>
  <si>
    <t>Tadeo Capablanca</t>
  </si>
  <si>
    <t>…Para el corregimiento de Madrigal á D. Francisco Moreno: pa ra el de Ciudad-Real á D. Fermín Diez: pará el de Benavides de Ortigo á D. Anselmo Diez Canseco: para el de Chinchón á D. Tadeo Capablanca. Jfara la vara de León á D. Joaquín Ruiz de Arechavaleta: para la del Arahal á D. Josef Miguel Monge: para la de Ayamonte á D. Juan Nepomuceno</t>
  </si>
  <si>
    <t>Capitán</t>
  </si>
  <si>
    <t>Gaceta de Madrid n.º 120 (extraordinaria)</t>
  </si>
  <si>
    <t>…Pedro Cevallos.” P, D, El General ha salido ya del castillo. 2.0 „Escmo. Sr.: Se ha detenido el correo hasta las 11 y media de la ma ñana por haberse querido aprovechar de él este Sr. Capitán general, para dar parte á S. M. por su respectivo ministerio de su libertad, tranquilidad de es te pueblo, y fuga del traidor Porlier con sus secuaces, quien según la noti cía de un oficial que acaba de llegar de Betanzos, ha sido preso, y le con ducirán á es…</t>
  </si>
  <si>
    <t>Capmaiiy, Antonio</t>
  </si>
  <si>
    <t>Antonio Capmaiiy</t>
  </si>
  <si>
    <t>…el cirujano deberá ser latino y comadrón. Los memoriales se admitirán hasta 20 de Agosto prpximo, y las plazas se proveerán precisamente en el mes de Octubre. . . Fallecimiento de D. Antonio Capmaiiy, con una sucinta noticia de este literato y sus obras: publicado én.Lóndres el año de 1814. A este papel se ha añadido la &gt; inscripción que se le puso en, la: lápida con ,que; se cerró su sepulcro en Cádiz don de murió la patética ,y elocuente proqtáma quet e…</t>
  </si>
  <si>
    <t>Capmani, Antonio</t>
  </si>
  <si>
    <t>Antonio Capmani</t>
  </si>
  <si>
    <t>…y sermones del P. Calatayud, de ^compañía de Jesús: tercera edición: 3 tomos en 4.0 á 66 rs. en pasta.»Cuestiones críticas sobre varios puntos de historia y economía política: por D. Antonio Capmani: un tomo en 4.® á 20 rs. en pasta. Se hallarán en la librería de Martin, calle de la Cruz, y en su despacho de libros, calle ancha de Majaderitos, núm. 6 y 7. Mapa de Galicia por A. L., año de 1815 : está construido por uno de los me jores geógrafos de Europa…</t>
  </si>
  <si>
    <t>Capmani, Vaienrin</t>
  </si>
  <si>
    <t>Vaienrin Capmani</t>
  </si>
  <si>
    <t>…ada, y á los que este gefe ci ta cor. elogio por sus buenos servicios en esta’ ocasión; concediendo ademas grados~de tenientes'coroneles á lorcaptfaííé's D. "Ignacio “dé La1 Rus y D. Vaienrin Capmani; y ai-brigadier D. PédróRuiz de Porras , gobernador de la plaza de Santa Martayi la cruz de: comendador de la Real, orden americana de Isabel la; Católica.. Igualmente se ha servido S. M. promover á teniente general de los Rea tes egercitos al: mariscal de ca…</t>
  </si>
  <si>
    <t>Capmani, Valentín</t>
  </si>
  <si>
    <t>Valentín Capmani</t>
  </si>
  <si>
    <t>…a embocadura, y era me nester vencer estos obstáculos á fuerza de brazos, como se verificó ; se logrón presentar la espedicion en el Magdalena el 22 del pasado Abril.— El capi tán D. Valentín Capmani, á cuyas órdenes la puse, dio parte desde punta de Moscar de su situación , y de haber oficiado á las autoridades revolucio narías de Barranquilia, conviniendo en vista de su respuesta en una suspen sión de armas-----Como mis órdenes espresas á Capmani habían…</t>
  </si>
  <si>
    <t>…l grado de teniente coronel, con opcion á ser colo cado en alguna comandancia de batallón luego que haya vacantes.__Reco miendo también á V. E. al capitán dfi batallón de Albuhera D. Valentín Capmani, á quien del propio modo hallo acreedor al grado de teniente co ronel por la bizarría y denuedo que mostró en la toma de Barranquilia y resultados de dicha acción; reservando hacer las de los oficiales y demas per sonas que se han distinguido á las órdenes de…</t>
  </si>
  <si>
    <t>Car</t>
  </si>
  <si>
    <t>…axo su soberana protección recobrará este cuerpo tan útil el crédito y la disposición mas oportuna para llenar las sa bias miras que en su creación se propuso su augusto Abuelo el Sr. D. Car los inl ,,Por mi parte, Señor, desde el instante que merecí á los accionistas la. confianza de nombrarme, fixé mi atención en la importancia del estableció</t>
  </si>
  <si>
    <t>…hácia Módena. Todas las tropas marchan con mucho ardor y deseos de batirse con las tropas de Murat. j Verona 2$ de Abril. Nuestro augusto Soberano ha ofrecido un asilo en Gratz al Sr. D. Car los ív , su augusta esposa y familia que se hallan aquí con motivo de las no vedades ocurridas en Roma; y S. M. ha escrito al Emperador una carta de su puño diciéndole que quedaba sumamente reconocido al ofrecimiento: que no hubiera dudado admitir una oferta,…</t>
  </si>
  <si>
    <t>Car, Antonio</t>
  </si>
  <si>
    <t>Antonio Car</t>
  </si>
  <si>
    <t>…n de los interesados» Madrid 31 de Marzo de 18ij. El Rey se lia servido nombrar para el obispado de Plaseneia, vacante por fallecimiento del limo. Sr. D. Lorenzo Igual de Soria, á D. Antonio Car rillo Mayoral, deán y canónigo dé la iglesia catedral de Calahorra: para el de Pamplona, vacante por traslación del limo. Sr. D. Fr. Veremundo Arias al arzobispado de Valencia, á D. Joaquín Xavier Uriz, prior de la Real iglesia y monasterio colegial de nuestr…</t>
  </si>
  <si>
    <t>Car, Carlos</t>
  </si>
  <si>
    <t>Carlos Car</t>
  </si>
  <si>
    <t>…, vacante por muerte denD. Josef Perez, á D/ Frau* cisco Antonio ’de Antuñano: párá los'beneficios de Fiñana y Hevia , qué han vacado en el obispado de Oviedo por fallecimiento de D. Carlos Car rera, á D. Benito Alonso Ablanedo Valdés, con sujeción á lo que se re suelva en el expediente cónsúltivo que pende en la cámara sobre dotación de los curatos de las expresadas feligresías, y sin perjuicio de ser atendido en? otro beneficio &lt;5 préstamela én ra…</t>
  </si>
  <si>
    <t>Car, Josef</t>
  </si>
  <si>
    <t>Josef Car</t>
  </si>
  <si>
    <t>…ón ligero de San Luis al cargó de su sargentía mayor D. Josef Barradas, piquete de Zamora dí cargo deí teniente D. Josef Miguel, compañías del regimiento i.° Ameri ca noal de t ¿o capitán D. Josef Car na 20, provincial de Fernando vií de Pueclafce D. Fernando Gortázar, 50 artilleros volantes y 30 catallós^d^Qbe^érflróicbn dbs piezas dé aítillería qíie mandaba el capitán Don Gaspar de Reina; todo á las Órdenes del"teniente coronel D. Pedro Zarzosa y dé sO •…</t>
  </si>
  <si>
    <t>Car, Josef Barragan y</t>
  </si>
  <si>
    <t>Josef Barragan y Car</t>
  </si>
  <si>
    <t>…fe y la Palma á Don Juan Bautista Persiva t para el de Córdoba á D. Joaquín Bernad y Vargas; y para el de Erija á D- Agustín Guaxardo Faxardo» Para el corregimiento de Gibraleon á D. Josef Barragan y Car bailar: para el de Rota y Chípiona á Dv Rafael Manuel Mavarrete y Ortega: para la vara del Burgo de Osma á D. Agustín de Velasco y Calleja; y prorogar en la de Tahal á D. Francisco Arjona y Zapata: en la de Piedrahita á Don Marcelo Fulgencio de Meló: en la de…</t>
  </si>
  <si>
    <t>Car, Jpan MontemayOir y</t>
  </si>
  <si>
    <t>Jpan MontemayOir y Car</t>
  </si>
  <si>
    <t>…rástegui á D. Feliciano Josef Áúiz Maumonv '■ •• :: - u* La ración vacante eñ ía metropolitana de Sevilla por- promoción de U. Mi*, cuel de Vargas á canongía de la misma iglesia á D. Jpan MontemayOir y Car rasco» médio-racioner© de ella, y para esta resulta a D. Diego Josef Mar,* quez , canónigo de la colegiata de la propia ciudad. ! • •• ^ La ración que ha vacado en la catedral de Osma por muerte de 0. Ge rónimo Prieto , y el? beneficio servidero de la villa d…</t>
  </si>
  <si>
    <t>Carantoña, Antonio María Montenegro y</t>
  </si>
  <si>
    <t>Antonio María Montenegro y Carantoña</t>
  </si>
  <si>
    <t>…, sucesores y descendientes, con la denominación de conde de Guáqui. El Rey nuestro Señor se ha servido nombrar coroneles de los regimien tos provinciales de Orense y Chinchilla á D. Antonio María Montenegro y Carantoña; capitán de infantería retirado, y á D. Joaquín Ferrer y Amat, coronel del Real cuerpo de Ingenieros. S. M. se ha servido nombrar para la vara de alcalde mayor de la villa de Paredes de Nava á D. Juan García Monsalve: para la dePeñaíiei á D. An tonio Prieto:…</t>
  </si>
  <si>
    <t>Carbáileiro, Andrés</t>
  </si>
  <si>
    <t>Andrés Carbáileiro</t>
  </si>
  <si>
    <t>…co Villalobos *D. Josef Gar cía Malo, D. Sipnon ie Cárlos, 0, RafaelCisneros., 0. Joaquín Antíllon, D. Josef Oimedllía , 0. Luis.Cortey, 0. Manuel Montero., .0. Manuel Pío Moreno, D. Andrés Carbáileiro, B. Manuel de Mutiasy D. Angel Ruá?^Don</t>
  </si>
  <si>
    <t>Carballo, Benito Tapia y</t>
  </si>
  <si>
    <t>Benito Tapia y Carballo</t>
  </si>
  <si>
    <t>…todas las dependencias de I3 ¿rúváda para su mas exacto cumpliento. Dios,guarde áV. , Pálacióik dé diciembre de iSÍ&gt;Í ' ; ; - ' ' ' : 'Si ^ * ^ . ’ i te m p * . • ■ 5 • y'Jrf ... D. Benito Tapia y Carballo, cura rector de la parroquia! dé Sta. María ía mayor de 1$ villa de la Bañeza, ha hecho aiRjEy nuestro jSeñor el donalivo voluntario de ,5,53 8 rs^ yn. á que Ascienden. lastpensiones vencidas de xj años , que como poseedor que es de la capdlanía,titulada.de l…</t>
  </si>
  <si>
    <t>Carbone, Francisco</t>
  </si>
  <si>
    <t>Francisco Carbone</t>
  </si>
  <si>
    <t>104</t>
  </si>
  <si>
    <t>…que el quarto se publicará á lá mayor brevedad. &lt; Elementos de farmacia fundados en los principios de la química moderna : ter cera edición, corregida y aumentada: su autor.el Dr. D. Francisco Carbone 11 y Bravo, boticario honorario de cámara de S. M., catedrático de química &amp;c. &amp;c. .Esta-obra: está, mandada seguir por texto de enseñanza en los colegios de farmacia, y presentar por auto de visita en todas las boticas del reyno. Se halla también la primera…</t>
  </si>
  <si>
    <t>Carbonero, Pedro</t>
  </si>
  <si>
    <t>Pedro Carbonero</t>
  </si>
  <si>
    <t>…Rio-Pisuergá á D. Roque Naranjo: para la de Astudillo á D. Eustaquio Manuel de Irala y Zavala: para la de Lora del Rio á D. Manuel Josef Rodríguez: para la de Colmenar de Oreja á D. Pedro Carbonero: para la de Roa á D. Josef Fernandez Almansa: para la de Ronda, á D. Fernando López de Sagredo: para la de Alcañiz á D. Manuel Valonga Zaidin: para la de Casares y su ruebla de Manilva á D. Justo Rodríguez Hurtado de Bruna: para la de Sanlúcar la Ma yor á D.…</t>
  </si>
  <si>
    <t>Cárdenas, Salvador de</t>
  </si>
  <si>
    <t>Salvador de Cárdenas</t>
  </si>
  <si>
    <t>…Pedro Vizcarrondo, D. Josef Guimbarda, D. Juan Sotélo, D¿ Tiburdo Basanta, p. Rodrigo Tavira , D. Manuel de Lis , D/Felipe Herreros , el marques del Moral, D. Sebastian Iglesias, D. Salvador de Cárdenas, D..Andrés Maymo, D&lt; Clemente Gutiérrez, D, Vicente Rodríguez, D. Pedro Pilón; D: Luis Polo de Bernabé , D. Josef García Ibarguen, D. Juan Soüoso, D. Francisco Garnica , D. Rafael Legpbien, D. Miguel Roldan , D, Rafael Aristegui y Don Josef Estrada. - Grado d…</t>
  </si>
  <si>
    <t>Caree, Josef</t>
  </si>
  <si>
    <t>Josef Caree</t>
  </si>
  <si>
    <t>…o 443014, se cita, llama y emplaza á to dos los sugetos comprendidos en los endosos del mismo vale, que son: D. Juan Jo* aef/Moreno; D. Antonio Josef García; D. Ricardo del Pilar; D. Josef Caree, h¡jó j compañía ;'D. Pedro Fermín Hernaez; D. Josef Félix Gómez; D* Diego Gas* támbide; D. Jícóbo Gattens, de Sevilla; D. Rafael de Góngora y Delgado; Do* Ignacio Casal ; D. Andrés Marzan; D. Pedro Martínez Lozano; D. Rafael Ignacio Fañtohfip D/"Joaquín dé l…</t>
  </si>
  <si>
    <t>Cárfcascdsa</t>
  </si>
  <si>
    <t>- ?6i Del 20:de Mayo. El general Cárfcascdsa llegó aquí esta mañana á las ocho t y conferenció con el mariscal Bianchi en presencia de lordBurghersh, y la sesión se concluyó á la^Cdátrclda lá tatáé-, después de haberse conve nido en los artículos siguientes: i.° „,El 21 del corriente el egército combi n…</t>
  </si>
  <si>
    <t>Cariati</t>
  </si>
  <si>
    <t>…avio de línea el Tremendo 3 la fragata Almene y la chalupa Partridge,» sepresentó en.la bajií^ decapóles, y*amenazó bombear la. ciudad; inmediatamente pasó¿ Éptdojdelá‘capitana el príncipe Cariati, enviado por madama Murat, y encargado de tratar póíc *la seguridad de aquella capital. ; . 7/..7 . „Én su virtud el príncipe Cariati firmó las cóhdicion^s siguientes:^. i.4 Los dos navios de línea napolitanos que hay actualmente en la bahía de Ñapóles serán-…</t>
  </si>
  <si>
    <t>Cários</t>
  </si>
  <si>
    <t>…iglesia catedral de Málaga, á Don Joaquin Vicente López Bravo. El Rey nuestro Señor ha venido en conceder cruz supernumeraria de la Real y distinguida orden española de Carlos m á D. Cários Do wnie, te niente coronel de la Legión extremeña; á D. Josef Amat y Robles, corre gidor de la ciudad de Alcántara ; á D. Alonso González Sotro, maestrante de la Real de Ronda,, y á D. Josef Atanasio de la Rosa, en atención á sus respectivos méritos y servicios.…</t>
  </si>
  <si>
    <t>…nra que V. M. se dignó dispensaría con su Real presencia. • ,, El banco, Señor, deseado en España por mas de dos siglos, y que al fin fue erigido por el augusto Abuelo de V. M. el Sr. D. Cários m, impíos ra por nuestro medio la soberana protección de V. M.; y ciertamente que si hay un establecimiento que la merezca con particularidad, es este, que sobre los muchos y grandes servidos que tiene hechos á la corona, sobre su utilidad , y aun necesidad p…</t>
  </si>
  <si>
    <t>Carlon, Diego</t>
  </si>
  <si>
    <t>Diego Carlon</t>
  </si>
  <si>
    <t>…llecimiento de D. Ramoii García Prieto á D. Juan Cuadrillero y Bedoya.1 La dignidad de chantre vacante en la catedral de Almería por faliecir miento de D. Lorenzo Nueveiglesias á D. Diego Carlon , canónigo magistral de la misma, y la dignidad de tesorero vacante Sn la propia catedral pojr v muerte de í). Julián Perez González á D. Josef Parracia , racionero de la misma. , ... La dignidad de prior vacante en la catedral de Coria' por fellecimjeotó de…</t>
  </si>
  <si>
    <t>Carlos</t>
  </si>
  <si>
    <t>29</t>
  </si>
  <si>
    <t>…mis amados vasa llos, he venido en determinar que todos aquellos á quienes Yo agraciase con la cruz supernumeraria de la Real y distinguida orden española de mi augusto abuelo el Sr. D. Carlos in hayan de contribuir con 3© rs. de vn. al mencionado hospital general para usar de esta gracia , ademas de lo que tengan que contribuir á la orden, según previenen los estatutos de la mis ma ; debiendo executar lo propio aquellos á quienes Yo concediese per…</t>
  </si>
  <si>
    <t>…echos de V. M." En el mismo dia 19 y 21 de Enero tuvieron la honra los mismos señore? diputados de la villa de Cieza de besar la mano y felicitar á los Serení simos Sres. Infantes D. Carlos y D. Antonio por su deseado regreso á Es paña; manifestándoles al mismo tiempo la gran satisfacción que había cabido ai.ayuntamiento de que.S. M. hubiese puesto baxo sus poderosos auspicios la útilísima empresa del canal, mandado construir paca.el riego de aquellos dilata…</t>
  </si>
  <si>
    <t>…uos » comptehcndidos e»- : - : -"tre cÚos ^ j méndigos^ r; - &gt;’£ Madrid 2Q de Febrero* viernes iq det corriente á las quatro de I» tarde S. M. y AA. los'El ‘Sermosi Stes¿ Infantes D. Carlos y D. Antonio se dignaron visitar el semi;iferio y esciidás pñblicas'de Avapies de estfá cortea que íes tan al cargo ¡de ios tpp-¿ Escu'ápiós j' acompañaban á &amp;. M. los Excibos. Sres; daquesde ALgon V marques de Bélgida »• él Rmo. arzobispo• de Santiago ) el conde de Torre…</t>
  </si>
  <si>
    <t>Cárlos</t>
  </si>
  <si>
    <t>…ardiente amor y cle mencia le han sugerido , ha mandado expedir el Real decreto que sigue: „Los productos del fondo pió beneficial están, según los deseos de mi au gusto Abuelo el Sr. D. Cárlos m y breve de S. S., destinados á la dotación de los establecimientos de misericordia y de corrección: en los que de esta especie hay establecidos en Madrid son comprehendidos é interesados to dos los obispados inmediatos, como Toledo, Cuenca y Segovia, en qua…</t>
  </si>
  <si>
    <t>…o de los que en el campo del honor sacrificaron sus vidas en defensa de la patria. El Rey nuestro Señor quiso autorizar con tu augusta presen cia y la de los Sermos. Sres Infantes D. Carlos y D. Antonio esta lúgubre y religiosa función, presidiéndola con su consejo supremo de la Guerra , para dar á todo su exército un público testimonio de que si en vida sabe premiar los arriesgados servicios y trabajos á que sus tropas se han expuesto en está última guerra…</t>
  </si>
  <si>
    <t>286</t>
  </si>
  <si>
    <t>…diendo desconocer S. M. que debe á la. grande misericordia de Dios nuestro Señor lá libertad del cautiverio en que estuvo, y sus muy caros Hermano y Tío los Sermos. Sres. Infantes D. Carlos y Don Antonio, ni el transporte de gozo que al saberse habían. pisado el territorio español el dia 24 de Marzo del año último ocupó los corazones de sus lea les y amados vasallos, ha creído muy propio de sus religiosos sentimientos tributar á su divina Magestad las mas sin…</t>
  </si>
  <si>
    <t>…S. S. en estos reynos. Predicó el limo. Sr. obispo de Ceuta D. Andrés Estéban Gómez. Asistió á misa y sermón el Rey nuestro Señor (que Dios guarde) con los Sermos. Sres. Infantes D. Cárlos y D. Antonio. Concluida la función, al salir S. M. admitió á los cursantes seculares dé teología y filos o fia de aquellos estudios á besar so Real mano; y D. Fran cisco de Paula Garnier arengó en nombre de todos á S. M. en los siguien tes términos: „Augusto Señor: seis a…</t>
  </si>
  <si>
    <t>…ficio suyo y del estado; y muy persuadido á que por ningún medio la podrán proporcionar mejor que por el detener por su protector inmediato á mi amado y augusto Hermano el Infante D. Cárlos, me ha pedido que la conceda la gracia de acceder á sus deseos. Enterado Yo de esta súplica, y satisfecho de la acer tada y apreciable elección de la junta, al mismo tiempo que de la gustosa aceptación de mi augusto Hermano, en quien tan dignamente ha puesto…</t>
  </si>
  <si>
    <t>…S. M. visitar la Real fabrica de papeles pintados, propia de D. Pedro Giroud de Villette, adornista de su Real casa y cámara, acompañado de SS. AA. RR. los Sermos. Sres. Infantes D. Carlos y D. Antonio, y tuvo el honor de hesar sus Reales manos. Exáminó S. M. por menor todas las oficinas de la mencionada fábrica, dando principio por la sala en donde se unen los plie gos de papel para la formación de los rollos; en seguida pasó á la de los fon dos; de esta á…</t>
  </si>
  <si>
    <t>…os para la diputa ción sobredicha; y los quales presentados por S. I. el di^ 3 de este mes, tavieron ia nueva honra de besar la mano á S. M. y á S$^ AA. los Sermos. Sres. Infantes D. Cárlos y D. Antonio, en cuyo acto, y dirigiendo la pa labra á S, M. dixo S. I. „Señor: la junta general de accionistas de la Real compañía de Filipinas acordó por aclamación las ims reverentes y expresi vas gracias á la augusta Persona de V. M. por los señalados beneficios que s…</t>
  </si>
  <si>
    <t>…ntiago, y D. Francisco Mier y Campillo, inquisidor general. S. M. asistió á tan augusta función en so tribuna, y el Sermo. Sr. Infante D. Antonio en la suya. El Sermo Sr. In fante D. Carlos se dignó honrar á su maestro siendo su padrino secular per sonalmente, dando con este rasgo de piedad y de religión, y con otros de real generosidad, el exemplo de un honor singularísimo hecho por los príncipes católicos á la dignidad episcopal, y del amor de…</t>
  </si>
  <si>
    <t>…ue á quien corresponda para su cumplimiento.” \ Lo traslado á V. S. para su cbfervancia en la parte que le toca. Dios guarde á V. S. muchos años. Madrid 22 de Abril de 1815. M. el Sr. D. Carlos iv concedió el beneficio de Alhama á D. Do mingo de Iribe con la carga de enseñar lógica y filosofía moral en el Real seminario de Vergara, cuya obligación sigue desempeñando desde enton ces con general aprobación y conocido aprovechamiento de sus discípulos;</t>
  </si>
  <si>
    <t>…ebe formarse sobre el de su cargo de Truxilíó para perpetua memoria de la cautividad que sufrió da Real Persona en aquel destino con su Hermano y Tío los Sermos. Seño res Infantes D. Carlos y D. Antonio. En seguida recorrió S. M. el resto del cuartel entre inocentes vivas y sencillas aclamaciones por su felicidad: oyó los ruegos y exposiciones de los oficiales y tropa con (a dulisura que le ca racteriza de un padre amoroso: manifestó su dolorido sentimiento…</t>
  </si>
  <si>
    <t>…s: „ Señor: los estudios Reales, que V. M. mantiene en su corte para 1&amp; pública enseñanza, fundados por el Sr. D. Felipe iv, restablecidos y dota dos con magnificencia Real por el Sr. D. Cárlos ni, honrados y favoreci dos últimamente por V. M. en persona con una dignación que nunca hu bieran sabido merecer, y que solo es debida á la grandeza del ánimo Real y generoso de "V. M., ilegan hoy á sus Reales pies conducidos por mí, como su director, llenos…</t>
  </si>
  <si>
    <t>…egra. ’ ; ■. ■ ■ N-j;- r- ¡. Llegada por este órden la procesión á presencia de S. M., que se ha llaba de ceremonia en su Real cámara , acompañado de los Sermos. Seño res Infantes D. Carlos y D. Antonio; y derlos grandes de España y gefes de palacio, el Escmo. Sr. D. Henrique Wellesley. presentó las, insignias' de lá orden 4 S. M., que contestó que lasr admitía con el mas altó aprecio ; yzcá seguida; depositadas estas’sobre una i mesa preparada al intento ,…</t>
  </si>
  <si>
    <t>706</t>
  </si>
  <si>
    <t>…contrageron en los bloqueos de Pamplona y Bayona de Francia en la última guerrra las tropas destinadas ,á tan importante servicio bajo ias inmediatas órdenes del mariscal de campo D. Cárlos España, rechazando con valor hasta trece veces á las enemigas de la guarnición de la primera de las espresadas plazas, que salieron de ella para proporcionarse víveres y otros artículos de primera ne cesidad de que escaseaban; y queriendo S. M., por lo satisfecho qu…</t>
  </si>
  <si>
    <t>…ue toda la nácion yleste cuerpo debe prometerse &lt; de un Rey tan deseado y benéfico. Concluido'este discurso el intendente de los Reales egércitos, censor de la misma Real sociedad D. Cárlos dé Beramendi y Fréire, recitó una oda alu siva ailobjeto deí dia , en la qué ofreció á la Vista de la sociedad el cuadro comparativo de los males pasados durante la invasión enemiga, en que este cuerpo patriótico tuvo interrumpidas sus tareas, y los presentes…</t>
  </si>
  <si>
    <t>…teniente general S. Tomas ricton, el general S. James Kempt y S. Dionisio Pack, que se empeñaron eri la acción desde el principio del ataque del enemigo-, Como también el teniente general Carlos barón Alten, el mayor general S. C. Halket, el teniente ge neral Cooke y los mayores generales Maitland y Byng, que fueron sucesiva mente llegando. Las tropas de, la quinta división y las del cuerpo de Bruns-^riqk se empeñaron seriamente y por mucho tiempo, c…</t>
  </si>
  <si>
    <t>…o se haya conducido bien. „Debo no obstante, hacer mención particularmente para la aprobación de $. A. R. del teniente general S. H. Clinton, del mayor general Adam , del teniente general Carlos, barón Alten, gravemente herido, del mayor general S. Colín Halket, ídem, del coronel Ompteda* del dé la misma graduación Mitchell, comandante de una brigada de la cuarta división, de los mayores generales S. J. Kempt , S. D. Pack , Lambert, lord E. Somersef,…</t>
  </si>
  <si>
    <t>779</t>
  </si>
  <si>
    <t>…ra y lustre de la enseñanza, é instrucción pública , he venidoreñ concederla cuanto me pide » y en tedas sus pártes ,.eli giendo como elijo á mi augusto y amado Hermano el Infante D. Carlos, que* por su parte.se prestó gustosísimo á las ideas de' la universidad, por su pro tector general y de los estudios de Castillay con la seguridad de que con sus luces, y ferviente zelo y amor á las letras; y;á mi Real Persona, contribuirá y se. esmerará en a…</t>
  </si>
  <si>
    <t>…es^dé haber'prolnúntífádó dicho Corregidor ún breve y enérgico discurso, que fue contestado con los mas afectuosos y espresivos vivas al Rey nuestro Señorf.y iá Ios/Sres. Infantes D. Cárlos y D. Antonio, se colocó tina lápida ‘de jaspe con la correspondiente inscripción ¿ sirviéndose en seguida á los con currentes un abundante refresco en las casas del Corregidor. Durante la no'che hubo iluminación general, fuegos artificiales, música y danzas, de lós Í;re.m…</t>
  </si>
  <si>
    <t>…rde, que falleció gloriosamente el día _2 de M¡aypfjde, *8p8..- v // • .v.-. ,’&gt;• ;; , . i-a-poqside^a^ipn dq,capitanes,vivos,(o/:..,yH efectivos ;Je infantería: á lpsr alfére ces D. Cárlos de-Sentmanat, D. Josef Aicaíá Galiano, D. Josef Miró , Don Antonio Arménteros, X). Lorenzo Fernandez Somera, D. Miguel Urquia, D. Cárlos Armenteros y D. Juan Jbséf Baríiteli. Grado de capitán de infantería al sargento primero graduado de teniente D. Bernardin…</t>
  </si>
  <si>
    <t>…M. lo tenía á bien; no solo mereció su Real beneplácito , sino qúe determinóS. M. asistir á ella, como Coronel del Cuerpo, y acompaña do de SS. AA. RR; tos Sérmos. Sres. Infantes D. Carlos y D. Antonio, Hermano y Tío de &amp; M* Para que S. M. lo verificase con la propiedad cor respondiente al carácter que se había dignado tomar , llegado el dia 16 dis puso el Duque de Alagon que le acompañase Un escuadrón del mismo Real Cuerpo á caballo, que al efecto y con la…</t>
  </si>
  <si>
    <t>…uela de la Paz. En el almacén de estampas de la calle Mayor, frente á la casa del Escmo Sefior Conde de Oñate, se halla grabada al agua fuerte la del Rescate que la piedad del Rey D. Carlos ni costeó en el año de 1768 para libertar de las mazmorras de Argel á 1407 esclavos de varias naciones; generosidad que se ve pintada porD. Josef Aparicio en el gran cuadro que está espuesto al público en la Real academia de S. Fernando. — En el mismo almacén…</t>
  </si>
  <si>
    <t>…que besase su Real mano, se retiró S. M., y quedó disuelta la junta. El dia último de la reunión de esta repitió S. M. la misma honra, acomr pañado de los Serrnos. Sres. Infantes D. Carlos y D. Antonio sus augustos Hermano y Tio, y se dignó gustar la rústica pero saludable comida de los pastores¡ preparada por uno de ló$: mas ancianos * y en prueba de lo gratos que eran á S. M. y AA* Sermas. los sentimientos de amor y fidelidad de su honrado Concejo de la M…</t>
  </si>
  <si>
    <t>…pondiente ministerio^ &lt; Para dar S. M. una prueba del singular aprecio que hace dél estableci miento de la escuela militar de Toledo , ha tenido á bien nombrar al SermoSr. Infante D. Carlos, Generalísimo de los Reales egércitos, por su protec tor; y asimismo satisfecho del zela tan acreditado de su consejero de Estado*</t>
  </si>
  <si>
    <t>…festando su extremado regocijo pps la vuelta de tan amado Soberano. • « . Al dia siguiente 4 del corriente en celebridad de los dias de S.-M. el Rey Padre y de S. A. el Sn Infante D. Carlos se vistió la corte de gala, y hubo besamanos, al que. asistieron lós embajadores y ministros extrangeros, los grandes de España , los diputados de los reinos, los títulos , los ministros de los consejos, ios generales y gefes militares, y otras varias persona…</t>
  </si>
  <si>
    <t>…ferencia para cualquiera grabado que; debiera llamar el apre cio y admiración de los profesores, como la causó.en diferentes obras que le encargaron los Sres. Reyes D. Garlos ni y D. Cárlos iv y los Reales cuer pos de Artillería y Marina. El retrato de Carlos v del cuadro de Ticiano, las dos estampas del paso del Jordán, copiadas de los cuadros de Lucas Jor^ dan, la de la Virgen llamada del Pez, de Rafael Urbino, las estampas de la gran edición…</t>
  </si>
  <si>
    <t>…zo, adjudicándole el premio dei concurso del año de 1763 , prorogándole la pensión, sin egemplar, en el de 66, y nombrándole académico de mérito en 78, y director en 82. El mis mo Sr. D. Cárlos ni se dignó también protegerle, nombrándole primer dis cípulo de una escuela de grabado que había establecido S. M. en casa de Prieto: después, grabador principal de la casa de moneda de Segovia: mas adelante segundo grabador general, con el objeto (fe-ayudar…</t>
  </si>
  <si>
    <t>Carlos'</t>
  </si>
  <si>
    <t>…remito á V. E. la referida copia de orden de S. M. Dios guarde á V. E. muchos años. Palacio 14 de Maizo de 181 j.s; Pedro de Cevallos. = Sr. Düque Presidente.” ' Artículos que el Sr. D. Carlos' ir propone d su augusto itijo el Sr« Don remando vii parasu atepi^cion y yaprotacÍ9ns)oienmfy ARtfictJLO i.* , La renuncíai&amp;n amado ¿Hijo dé la corona d¿ España tes impone á El ya sus sucesores la,obligacion de suministrarme aquélla can tidad que es necesaria…</t>
  </si>
  <si>
    <t>Cárlos, Duque de S.</t>
  </si>
  <si>
    <t>Duque de S. Cárlos</t>
  </si>
  <si>
    <t>…r, tantos años como os desea mi cabildo, y sere mos aun mas dichosos! r ARTICULO DE OFICIO. Circular del Ministerio de Guerra. , Con fecha de 15 de Marzo próximo pasado me dice el Señor Duque de S. Cárlos, Mayordomo mayor de S. M. ,1o-siguiente: ,,Con fecha de 12 de Octubre de 1814 comuniqué al Capitán General de Castilla la Vieja la Real orden que sigue: ,, Eterno. Sr. : El Rey nuestro Señor se ha-servidos resolver que las Oficinas de Reai Hacienda, Exército…</t>
  </si>
  <si>
    <t>Carlos’in</t>
  </si>
  <si>
    <t>1121</t>
  </si>
  <si>
    <t>1121 española del nombre de mi augusto Abuelo el Sr D. Carlos’in usan de ve neras con las cruces colocadas sobre mantos y otros adornos esmaltados que desdicen de la sencillez y gravedad que les son propias y prescriben los es tatutos , y que ademas las llevan pendientes de lazos que igualmente se opo nen á la misrna'grave…</t>
  </si>
  <si>
    <t>Cárlps</t>
  </si>
  <si>
    <t>…18 de Uñero de'i8re. ¿ ' El dia 18 de Setiembre ultimo fueron admitidos á felicitar á S. M. por su restitución al trono, y besar su Real mano y la de SS, ÁA. Jos Sres. In* fantés D. Cárlps y ,D. Antonio , en nombre de la viila de Villamartin, reyno de Andalucía, él Excmo. Sr. D. Pedro^Águstin Girón, tenientefgeiteral de los Reales exércitos , y D, Bernardo de los Rios, yeqinp.^déiella^ eí primero de los qialesarengó á S. M. en los,«términos sig…</t>
  </si>
  <si>
    <t>Cárlqs</t>
  </si>
  <si>
    <t>….zzW urtemberg.= El cunde de Wintzingerode.=El barón de Linden” ' ESPAÑA. ‘ . Madrid 30 de Junio. • . « El dia 26 de Junio se presentaron á besar la mano 4 S.,M. y al Sr. In fante D. Cárlqs D. Ignacio Martínez Villela, del consejo Real; D. Tomas Arias, auditor del tribunal de la Rota; D. Josef Duaso, capellán-de honor de S. M.; D. Manuel Abella y el barón de Castiel, oficiales de la primera secretaría de Estado y del Despacho^ comisionados por la universidad de Za ragoza p…</t>
  </si>
  <si>
    <t>Carmela, María</t>
  </si>
  <si>
    <t>María Carmela</t>
  </si>
  <si>
    <t>…e 60 para lá pénín-' sula, á rao rs. para Canarias, á 160 para la América, y en venta á 4 rs* Se desea saber el paradero de Doña Nicolasa Antonia Méndez Trelles, ó el de sus hijas Doña María Carmela y Doña María-Josefa Diaz, para, hacerlas entrega de* varios intereses que las pertenecen. La persona que sepa de ellas se sqrvtrá dar n&lt; tici% i Pedro Antonio Fernandez en la tienda de géneros ultramarinos,;calle de Alcalá^ junto al Buen Suceso, Memorias de la Real academia de la His…</t>
  </si>
  <si>
    <t>Carmqna, Juan</t>
  </si>
  <si>
    <t>Juan Carmqna</t>
  </si>
  <si>
    <t>…e.byigada D. Domingo de la igle sia , .1).J. Ánfohip'jí]¿árróÍác?'.pC' 'Án&amp;r ,é$ Rodríguez , D. Tomas Spl&lt;Sevilla y Don Féliy Arbizu; y .á los yapítanes prlmeros iS. josef Giraldo,D. Juan Carmqna, p. Josef Montes y Flores,;!). Pedro Bringas, D^ Bartolomé Amat, Don Mariano Albo, J). Salvador Mamullares , D. Antonio Lasauca, D. Pablo ipacdgalupi , D. Domingo Ranee! y D. Manuel Toro: grados de capitanes á los tenientes D. Josef Fernandez de Apero, D. Vic…</t>
  </si>
  <si>
    <t>Carrandi, Josef</t>
  </si>
  <si>
    <t>Josef Carrandi</t>
  </si>
  <si>
    <t>…. M. por su restitu ción al trono, á cuyo efecto el 23 del mes próximo pasado tuvieron la hon ra de presentarse y besar la Real mano á S. M. los señores vizconde de Campo Grande y D. Josef Carrandi, regidores perpetuos del mismo ayun tamiento; y el primero, como decano de él, dixo: ,, Señor: el ayuntamiento de la villa de Gijon, principado de Asturias, por medio de un formal acuerdo que nos ha remitido, felicita á V. M. con motivo de su feliz regreso á…</t>
  </si>
  <si>
    <t>Carranza, Manuel de</t>
  </si>
  <si>
    <t>Manuel de Carranza</t>
  </si>
  <si>
    <t>…del Prado, para que en el término preciso y perentorio de 15 días, contados desde hoy . comparezcan á espóner y pedir lo que les convenga por la es cribanía de cámara del cargo de D. Manuel de Carranza; con apercibimiento de que no haciéndolo les parará el perjuicio que haya lugar. ,, El Real y supremo consejo dé Castilla so ha servido mandar publicar nuevamen te la venta de la mitad de una casa sita en esta corte y la Puerta del Sol, señalada 'cotí el'ñúm.…</t>
  </si>
  <si>
    <t>IT42 lacion tenia pendiente en el mismo supremo tribunal y escribanía de cámara de Don Manuel de Carranza, con los herederos de D. Pedro Fernandez Gastovecino de la villa de Daganzo de arriba, sobre que á dicho Puyó se le reintegrase de io© y .mas rs. por indemnización de los daños y perjuicios que se le causaron con la deten ción de unos carros que envió á dicha…</t>
  </si>
  <si>
    <t>Carrascal, Joaquín del Cid</t>
  </si>
  <si>
    <t>Joaquín del Cid Carrascal</t>
  </si>
  <si>
    <t>…tos se habían hecho tan recomendables eala época anterior aneestras pasadas desgracias. i-ó ¿ -í Se dió principio por un oportuno y elocuente discurso y: leído por su antor el Dr. D. Joaquín del Cid Carrascal , abad y canónigo de la insigne iglesia colegiata del Salvador de esta ciudad , cuyo objeto se reducía á ma nifestar l^s grandes ventajas que traía á la felicidad de la patria el estabieeimientef de las sociedades patrióticas de amigos del pais por las dignas…</t>
  </si>
  <si>
    <t>Carrasco, Blas</t>
  </si>
  <si>
    <t>Blas Carrasco</t>
  </si>
  <si>
    <t>…Echenique, D. Domin go García , D. Hénrique Arias, D. Vicente Xerez , y D. Juan Ferrero, Sargento mayor y Capitanes del segundo Batallón de Ciudad- Rodrigo; á 0. Patricio Iñiguez, D. Blas Carrasco, D. Josef Robledo, y D. Antonio Garrido, Capitanes dél tercer Batallón de la misma denominación, y á Don Francisco Huerta, Ayudante de la Plaza de Ciudad Rodrigo: al grado de Capitán á los Tenientes D. Pablo Baza, del Real Cuerpo de Artillería, 0. Tomas Yarto…</t>
  </si>
  <si>
    <t>Carrasco, Félix</t>
  </si>
  <si>
    <t>Félix Carrasco</t>
  </si>
  <si>
    <t>…. 'Aquiíinb Otolá ,(D&gt;í Josef Sálas-, ©. Antonio Bolu* fer, D. Cipriano Castro ; D. Josef Tovar y D. Josef González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t>
  </si>
  <si>
    <t>Carrasco, Juan Vicente</t>
  </si>
  <si>
    <t>Juan Vicente Carrasco</t>
  </si>
  <si>
    <t>…da edición: un tomo en 8.°, adornado con estampas finas. Se hallará en la librería de Ctfuentes^ Aballe de Preciados. ' ■' Fisiología de Dumas: quarto y último tomo, traducido por D. Juan Vicente Carrasco, médico de los Reales hospitales General y Pasión de esta corte. ¡Loé amantes de las ciencias naturales, especialmente los profesores del arte de curar, que co’n tanta distinción acogieron ios tres tomos publicados antes de la revolución^ podrán ya completar…</t>
  </si>
  <si>
    <t>Carrascosa</t>
  </si>
  <si>
    <t>….—¿ Se sabe que Murát el.día 2; con las 'divisiones Ambrosio * Lechi, Bignatelli y Livron se encaminaba á Tolentino, al misino tiempo que había destacado la división del mando dél general Carrascosa para entretener al general Neipperg. — Los napolitanos eran en doble numero qué los austríacos. Sin embargó, los combates del 2 y del. 3 fueron muy san grientos; se consiguió una completa victoria , :yuck eñeirdgp;fse vió l forzado á ¿bañdbnár ,todas &amp;s posic…</t>
  </si>
  <si>
    <t>…los dos regimientos husares de Lichstentein y dé dragones de Tóscana■,los ;Cualés'ílegároh á maxchas forzadas en la hpíihe del -21 al 22 para mantener el orden. ‘! ; •’ „ El mismo general Carrascosa pidió qué se 1© socorriese con prontitud. Este general y ef ministró duque de Gallo pudieron substraerse del furor de1 Iatropahapolitanaydelpopulachó deCapuapor la ayuda eficaz de la tro--</t>
  </si>
  <si>
    <t>…tículos siguientes: i.° „,El 21 del corriente el egército combi nado entrará en Capua. 2.0 El 22 se situárá en las alturas de Ñapóles. 3.° El éñfrafá elí NápdléS.’* ''■&gt; ^ 77 T El general Carrascosa ha entregado al egército combinado, todo el reino dé Nápdléá , á tíSdeptíloft1 d'^ Pésbáía, -Ánconá y Gaehrv^ue dijo no estar ba » embarcado y porque eh él jo- sil níáfídó. _ ParécS1 qué él i*éy Murar .se Ha cOffgtéSd íib sé ha hecho cálo ni ínfencion de él.í…</t>
  </si>
  <si>
    <t>…a terminar los moviihientos militares-----Habiendo dicho que no tenia autoridad para tratar sobre las bases que se le indicaban, se volvió á Ñapóles, con la seguridad dé'que si ef general Carrascosa quisiese hacer al agunas preposiciones seria recibido; ai dia‘ isiguiemeí-, ,.. Con efecto esta, maña na vino el general Carrascosa; y el general Niepperg por parte del Austria, el general Coleta por la de Ñapóles, y yo , á falta de comandantes ingleses, hici…</t>
  </si>
  <si>
    <t>Carrasial, Severo Alonso</t>
  </si>
  <si>
    <t>Severo Alonso Carrasial</t>
  </si>
  <si>
    <t>…que ha vacado por muerte de D. Pédro Perdiguero á D. Bernardo María dé Ho mar; la canongía vacante en dicha catedral por promoción de D. Antonio Vidaurreta al aeanato de Almería á D. Severo Alonso Carrasial, cura pár-r» roco de Sta. María del Templo de la villa de Villalpando, en el obispado de . León , y la capellanía del numero 40 que vacó en la propia catedral por fa llecimiento de D. Ramoii García Prieto á D. Juan Cuadrillero y Bedoya.1 La dignidad de chantr…</t>
  </si>
  <si>
    <t>Carreño, Josef</t>
  </si>
  <si>
    <t>Josef Carreño</t>
  </si>
  <si>
    <t>…Bocal a n, D. Matías Aldao, D, Diego Gadea, D. Antonio Mella, Don Josef Barros, D., Alonso Butrón, D.•Felipe Saavedra, D. justo Pasalagua; p. Vicente de Mesa,D. Fulgencio Anríen, D. Josef Carreño, D Manuel. Ümendia, D. Julio Ponce de León, D. Josef Marco y.Espejo, D.^joaguin Vargas Machuca, D. Josef de la Sendéja, D. Andrés Tacón, P. Joaquín Ro dríguez de Ribera , D. Pedro Germán D. Josef de Torre Llobregat, D. An tonio Villavicencio , D. Mauricio Alb…</t>
  </si>
  <si>
    <t>Carreño, Ramón</t>
  </si>
  <si>
    <t>Ramón Carreño</t>
  </si>
  <si>
    <t>…o lás Gallego , D. Francisco Montenegro, D. JuanOliver, D. Timoteo Connelli, D. Juan Mitlan , D. Manuel Cortas,, D. Francisco'Velasco , D. Alejo González, D. josef Lázaro Vallejo, D. Ramón Carreño, D. Matias Case ro, D. Manuel Bénjumeda * D. Gerónimo Muñoz, D. Sisto Fajardo, D. Ma-„ miel Fernandez Rey na, D. F raneisco Bonet, D. Josef María de Novoa, Don Miguel Mir, D. Antonio Cidron , D. Santos Cremona, D. Josef Joaquín Ayestáiran, D. Vicente Ordoño,…</t>
  </si>
  <si>
    <t>Carrer, Josef Ruiz</t>
  </si>
  <si>
    <t>Josef Ruiz Carrer</t>
  </si>
  <si>
    <t>…a ca nongía que resulta vacante en la iglesia colegial deí Salvador de la ciudad de Sevilla por promoción de D. Diego Josef Marques á una media-ración de la catedral de la misma á D. Josef Ruiz Carrer en premio de su lealtad y pa-r triotismo.=Una canongía vacante en la catedral de Segovia,que obtuvo Don Lucas. Orejas, á D. Juan Manuel de Murilio , cura de la&gt; parroquial de Zamarrainala , en la misma diócesis : el beneficio servidero del lugar de Navares dp…</t>
  </si>
  <si>
    <t>Carrera, Joaquín Alonso</t>
  </si>
  <si>
    <t>Joaquín Alonso Carrera</t>
  </si>
  <si>
    <t>…ervorosas reconvenciones de la 1 conciencia sobre la utilidad que de su meditación debe sacar el.alma; y por último una generosa resolución para corres ponder agradecida: su autor D. Joaquín Alonso Carrera, cura párroco de Villaróbledo. Se hallará en la librería de Villareal, calle de las Carretas. ,Retrato, 4 caballo de D, Pablo Morillo, mariscal de campo, y general en gefe de las tyopas -que pasan á Mpntevidco, en medio pliego. Se hallará con lar&gt; ocho an ter…</t>
  </si>
  <si>
    <t>Carreras, Antonia</t>
  </si>
  <si>
    <t>Antonia Carreras</t>
  </si>
  <si>
    <t>agí y dos años y diez dias de su edad Doña Antonia Carreras, madre del no tario público D. Rafael Galiona, escribano principal de esta provincia ma rítima. Ha dexado tres hijos, el primero de ochenta y dos años de edad, el segundo de ochenta, y el tercero de sesenta, ademas de uu crecido nú mero de nietos y biznietos.…</t>
  </si>
  <si>
    <t>Carretero, Antonio</t>
  </si>
  <si>
    <t>Antonio Carretero</t>
  </si>
  <si>
    <t>…eroa, las dos en el expresado obispado de Cuenca, á D. Eusebio Hernández: para otro beneficio de S. Esteban de la ciudad de Cuenca, vacante por muerre de D. Eusebio María Urroz, á D. Antonio Carretero; y para otro beneficio servidero de Hontoria del Pinar, en el obis pado de Osma, vacante por muerte de D. Josef Domínguez, á D. Josef Gil y Gil. Enterado el Rey del distinguido servicio que con notable riesgo de sus vidas practicaron en 1809 el teniente de fr…</t>
  </si>
  <si>
    <t>Carrillo, Cirilo Simón</t>
  </si>
  <si>
    <t>Cirilo Simón Carrillo</t>
  </si>
  <si>
    <t>…pasan aho ra. Palacio 27 de Abril de 1815/* El Rey se ha servido nombrar para ana ración de la iglesia primada dé Toledo, que se halla vacante por muerte de D. Manuel Mendivil, á Don Cirilo Simón Carrillo: para otra ración de la misma iglesia, vacante por fa llecimiento de,D. Benito Aragón, á D. Manuel Vicente Vacas, con dimi sión de la capellanía de coro que obtiene en la propia iglesia: para otra ra ción de'la iglesia catedral de Piasencía, vacante por muert…</t>
  </si>
  <si>
    <t>Carrillo, Gregorio Rodríguez</t>
  </si>
  <si>
    <t>Gregorio Rodríguez Carrillo</t>
  </si>
  <si>
    <t>…«olemne novena dedicada en la parroquial de S. Martin de esta villa y corte dcMadrid á Jesús Nazareno por el feliz restablecimiento del Rey nuestro Señor á su au? gusto trono dixo D. Gregorio Rodríguez Carrillo, lector de prima, y vice-re gente de estudios en el colegio de S. Basilio Magno de la ciudad de Sevilla « pre dicador de S. M., en el día 5 de Setiembre de i8¿4. Se hallará á 2 rs. en las libre rías de Sojo, calle de las Carretas; de Brun, frente á las gradas…</t>
  </si>
  <si>
    <t>Carrillo, Josef María García</t>
  </si>
  <si>
    <t>Josef María García Carrillo</t>
  </si>
  <si>
    <t>…v.,* : S. M. ha nombrado oidor de la chancilíería de Valládolicl á D. Josef Alonso ValdénebrÓ t. pkfá 'qnatro plazas de alcaldes del" crimen de ella á D. Josef Gónzalei Villar ,. D. Josef María García Carrillo, Di. Manuel An* ionio Gómez y Di Mariano Castíilon y Torres: para oidores de la ehanci-</t>
  </si>
  <si>
    <t>Carrillo, Luis</t>
  </si>
  <si>
    <t>Luis Carrillo</t>
  </si>
  <si>
    <t>…nzález.* 0.' ManueL de las Ríos, D. Juan López , 0. Luis Rodríguez , 0« Manuel Ravanera., D. Antonio Ar de rius, D. Juan Molina, D. Manuel Pedtet: de tenientes á los. subtenientes D. Luis Carrillo, D. Matías Blasco, 0. Francisco Villalobos *D. Josef Gar cía Malo, D. Sipnon ie Cárlos, 0, RafaelCisneros., 0. Joaquín Antíllon, D. Josef Oimedllía , 0. Luis.Cortey, 0. Manuel Montero., .0. Manuel Pío Moreno, D. Andrés Carbáileiro, B. Manuel de Mutiasy D. Ang…</t>
  </si>
  <si>
    <t>Carrizosa, Josef</t>
  </si>
  <si>
    <t>Josef Carrizosa</t>
  </si>
  <si>
    <t>…n Lasqueti, D. Pedro Caamaño , D. Vicente Martin Vegue* D. Salvador Spadafora, D. Jaime Michelena y D. Rafael Quesadaí - - Pita gfado de teniente de navio al que lo era de fragata D. Josef Carrizosa,y Riquélme- ; ^ Ascenso á tenientes de fragata A los alféreces de navio D. Josef Rodríguez, D. Francisco.; Guiral, D. Ignacio de Rojas, D¿ Antonio Garrapedo, D. Fran-t pisco Ruiz Caballero;, D. Juári. Villavrcencio, D. Alejandro Beyens, D. Vi-, pente Méndez-,…</t>
  </si>
  <si>
    <t>Carro, Toribio Alvarez</t>
  </si>
  <si>
    <t>Toribio Alvarez Carro</t>
  </si>
  <si>
    <t>…te, maestro latonero; Josef Mdstoles, maestro carpintero; Eugenio Martin, maestro esterero dé palma fina, y jo sef Pelegrin, maestro maquinista. ' ' ^ Del cuartel de S. Isidro. A D. Toribio Alvarez Carro, fabricante de azúcares; Manuela Castañe da, viuda de un fabricante de velas de sebo ; Antonio Mendoza , maestro fa bricante de encerados y comerciante de sombreros; Valentín López, maestro armero; Juan Ignacio López , maestro carpintero , y Diego Balsamonde,…</t>
  </si>
  <si>
    <t>Cartagena, Josef</t>
  </si>
  <si>
    <t>Josef Cartagena</t>
  </si>
  <si>
    <t>…Antonio Roldan á D.Henrique Felipe Pottier,con retención del arcedianato de Monleon que obtiene en la misma iglesia: la canongía que ha vacado en la propia catedral por muerte de D. Josef Cartagena á D. Manuel Mena, cura párroco de Sta. María de la villa de Alaejos en aquella diócesis: la canongía que ha vacado en dicha iglesia por fallecimiento de D. Josef Sán chez Velasco á D. Josef María Valladares, medio-racionero de la misma ca tedral; y esta resul…</t>
  </si>
  <si>
    <t>Cartagena, Tomas</t>
  </si>
  <si>
    <t>Tomas Cartagena</t>
  </si>
  <si>
    <t>s. M. se ha servido nombrar para el deánato primera silla de la iglesia catedral de Segovia, vacante por fallecimiento de D. Juan BernaI(L&gt; de Quiros, á D. Tomas Cartagena, canónigo de la misma catedral: para otro deanato de la iglesia colegial de Talayera de la Reyna, de este arzobis pado, vacante por fMecimiento de D. Josef de Castro, á D. Joan Bau tista de Arana, cura de la villa de Ataquines en el obispado de Avila: pa ra l…</t>
  </si>
  <si>
    <t>Cartillo, Francisco</t>
  </si>
  <si>
    <t>Francisco Cartillo</t>
  </si>
  <si>
    <t>…Vigodet, Dv Josef Ruiz dé Apodápa* D. Francisco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t>
  </si>
  <si>
    <t>Carvajal, Manuel de Saavedra- y</t>
  </si>
  <si>
    <t>Manuel de Saavedra- y Carvajal</t>
  </si>
  <si>
    <t>…metropolitana.de Burgos: para otra canjmgía de la iglesia colegial de Santa María deí Campo de ia ciudad de ia Coruua, en ei arzobispado de Santiago, vacante por falfecimién tb de D. Manuel de Saavedra- y Carvajal,, á D. Manuel Benito Garda * cura párroco castrense y del.hospital, militar de Medina Je Riosecó: para ana. media raciqa de la iglesia catedral de Cdrdo -* ba , vacante por promoción de D. Ramón de Pineda y Arellano á una canongía de la de Piasencia, á D. &lt; F…</t>
  </si>
  <si>
    <t>Carvajal, Tomás González</t>
  </si>
  <si>
    <t>Tomás González Carvajal</t>
  </si>
  <si>
    <t>…er cuaderno en la librería de Gila, calle de las Carretas, dondp se .admiten fsubscrip¿iones. ’ : : i- • ' ; ' Libró dél oficio y cargo dél intendente de egércitó eri campaña: por D. Tomás González Carvajal/ Estaobrita^ impreca enValenéía el riño de i8iódé órden dé * la jnnta central i cXamiria i completa: y reparadamente- todoá los óbjetostjue &gt; deben ocupar al intendente en campóla , es i saber :J os sueldos del egércitoyisus provisio nes , sus hospitales ’g-…</t>
  </si>
  <si>
    <t>Casadevilla, Ramón</t>
  </si>
  <si>
    <t>Ramón Casadevilla</t>
  </si>
  <si>
    <t>…unicarlas en el lu gar de Recuerda, de dicha provincia, á Agustín Berrojo, ó en esta corte á.Don Manuel Barco, en su librería carrera de S. Gerónimo. Se desea saber el paradero de D. Ramón Casadevilla, oficial que (ue del egérci to de Cataluña etTla guerra de 1794 * para comunicarle asuntos que le interesan. Los que lo sepan tendrán la bondad de participarlo en Madrid á D. Andrés Olías, sacristán de la parroquia de S. Martin; y en S. Feiiú de Guixols, en C…</t>
  </si>
  <si>
    <t>Casainayer, Andrés</t>
  </si>
  <si>
    <t>Andrés Casainayer</t>
  </si>
  <si>
    <t>…•¡Blanco*L). Mariano Córdoba * P. Josef Ferrer, D. Ca yetano Vivar , P,; JqseJ de^fcuenca, EX Francisco Caso, D. Felipe Mendicuti, í). Baltasar Gonzajes* *&gt;¿X;FVancisep de Torres, D. Andrés Casainayer, D. Francisco Reguera , D. Antonio García, D. Pedro Pineda , D. Josef Co nejo, D^Ramon Agón', D. Manuel -Gá'stambide , D. Juan Palomero , D. Ra^ mon Oleína, D. Fernando Belarde,;D. Miguel Almagro, D. Manuel Ovan do , Ds. Bartolomé González , D. Antonio María;…</t>
  </si>
  <si>
    <t>Casanuova</t>
  </si>
  <si>
    <t>…e Mariscal, adornado con varias insignias y diamantes que llevaba Murat , como también el dinero hallado en los barcos que condugeron sus partidarios, florenciá 20 de Octubre. *Eí coronel Casanuova , comandante de las tropas toscanas en la isla de Elba, participó el 14 del corriente al ministro de la Guerra que el dia 12 ha bían intentado un desembarco en la playa de Pratesi cuatro chalupas berbe riscas; pero el destacamento que se hallaba en aquel punt…</t>
  </si>
  <si>
    <t>Casas, Benito Josef de</t>
  </si>
  <si>
    <t>Benito Josef de Casas</t>
  </si>
  <si>
    <t>…edral, con retención de la canongía que obtiene: para la canongía que resultará va cante en la misma catedral de Paíencia por la promoción del referido D. Ramqn Valdés y Llanos, á D. Benito Josef de Casas, beneficiado de Peñafiel, y fiscal general del obispado de Paíencia: para otra canongía de la de Sala manca, vacante por muerte de D. Josef María Pichardo", á D. Francisco María Riesco, inquisidor de corte: para otra canongía de la catedral de Ciudad-Rodrigo,…</t>
  </si>
  <si>
    <t>Casaux, Andrés</t>
  </si>
  <si>
    <t>Andrés Casaux</t>
  </si>
  <si>
    <t>…ara el corregimiento de Albacete á D. Antonio Fernandez BriV: para el de^Paradas á D. Tomas Marcos Varona: para el de Mayorga á Don Anastasio Pí nos y Palos: para el de Jadraque á D. Andrés Casaux: para el de Sisante y Vara de Rey d D. Marcos Espinosa: para el de Ponferrada á p. Luis de Lemus Gil de Taboadá ; y para el de Herrera dei Rio Pisúerga</t>
  </si>
  <si>
    <t>Casaux, Josef Domingo</t>
  </si>
  <si>
    <t>Josef Domingo Casaux</t>
  </si>
  <si>
    <t>…iia á D. Juan Antonio Ruano y Aguilera. Para la vara de Alcalde mayor de ]as Poblaciones de Sierramorena, su capital la Carolina, á D. Domingo Crespo de León: para la de Campana á D. Josef Domingo Casaux: para la de Fuentidueña á D. Mariano Vergara Perez: para la de Almázan á D. Agus tín Medina y Lavalle: para la de Zafra á D. Juan Crisóstomo de la Peña: para la de Cazorla á D. Manuel María de Peralta: para la de Benamegí á D. Cristóbal María Auton: para la d…</t>
  </si>
  <si>
    <t>Casaux, Lorenzo</t>
  </si>
  <si>
    <t>Lorenzo Casaux</t>
  </si>
  <si>
    <t>…30 de Abril de 181 j. El Rey se ha servido nombrar, para el corregimiento de. Conil á Pon Ramón Antonio Antuñano: para la vara de Alburquerque á D. Luis Tabira: para la.de Baena á D. Lorenzo Casaux: para la .de Arnedo á Don Manuel Martin Martin; y para la de Vexer á P«.Ramen de Jbarra Asensio: para el corregimiento de Alhama ha nombrado el Rey á D. Juan Verges y Lostau: para el de Vhlena á D, Antonio Fernandez Villanuéva: pa ra la vara dé alcalde mayor…</t>
  </si>
  <si>
    <t>Cascos, Juan Ignacio</t>
  </si>
  <si>
    <t>Juan Ignacio Cascos</t>
  </si>
  <si>
    <t>…Los subscriptores á la geografía universal descriptiva , histórica , industrial y co mercial de Jas quatro partes del mundo, .escrita en ingles por Guillermo Guthie, traducida por D. Juan Ignacio Cascos, acudirán á recoger el tomo 14, último de dicha obra, á la librería de Gómez, calle de las Carretas. Se suplica á los mismos que no hayan recogido los tomos anteriores que lo verifiquen lo mas pronto para evitar los perjuicios que se siguen de su morosidad. E…</t>
  </si>
  <si>
    <t>Case, Matias</t>
  </si>
  <si>
    <t>Matias Case</t>
  </si>
  <si>
    <t>…Francisco Montenegro, D. JuanOliver, D. Timoteo Connelli, D. Juan Mitlan , D. Manuel Cortas,, D. Francisco'Velasco , D. Alejo González, D. josef Lázaro Vallejo, D. Ramón Carreño, D. Matias Case ro, D. Manuel Bénjumeda * D. Gerónimo Muñoz, D. Sisto Fajardo, D. Ma-„ miel Fernandez Rey na, D. F raneisco Bonet, D. Josef María de Novoa, Don Miguel Mir, D. Antonio Cidron , D. Santos Cremona, D. Josef Joaquín Ayestáiran, D. Vicente Ordoño, D. Raymundó de U…</t>
  </si>
  <si>
    <t>Casellas, Ramón</t>
  </si>
  <si>
    <t>Ramón Casellas</t>
  </si>
  <si>
    <t>666</t>
  </si>
  <si>
    <t>…ho', y de todas las pérdidas que habían sufrido en defensa del Rey y dé la patria. ■ ' f‘"-; V J; Al día siguiente se presentaron también á cumplimentar á S. M., con igual motivo, D. Ramón Casellas y D. Josef Barnuevo y Abad, que en nombre de la ciudad de Chinchilla hicieron á S. M. hómenage del respeto y obedien cia de aquellos vecinos, recordándole que aquel mismo era el dia que en •- el año anterior habían tenido la satisfacción de ¡hospedar dentro de sus.muros á S:-M. y Sermo…</t>
  </si>
  <si>
    <t>Cases, Tadeo Soler y</t>
  </si>
  <si>
    <t>Tadeo Soler y Cases</t>
  </si>
  <si>
    <t>…por medio del Excmo. Sr. Duque del Infantado, su Presidente, la Real orden que dice asi: „ Excmo. Sr.: Enterado el Rey de un oficio que me dirigió el Decano de la Sala de Alcaldes D. Tadeo Soler y Cases, acerca de que se sirviese S. M. declarar si debia exercer el Juzgado de caza y pesca y su veda , que antes tuvo á su cargo el Decano de la misma Sala; se ha servido S. M. de clarar que el actual Decano de la Sala de Alcaldes de su Real Casa y Cor té, y el qu…</t>
  </si>
  <si>
    <t>Casmllo, Luis López de</t>
  </si>
  <si>
    <t>Luis López de Casmllo</t>
  </si>
  <si>
    <t>…por resolución á consulta de la cámara, |&gt;ara el cargo de obispo auxiliar de este arzobispado, en Madrid, y á pro puesta del M. R. cardenal de Sea la, arzobispo de Toledo, al Dr. D. Luis López de Casmllo, canónigo de la Real iglesia de S. Isidro de esta villa y corte, en lugar y por traslación del R. ea Cristo P. D. Atanasio Puyal y Poveda, que le obtenía, al obispado de Calahorra. El Rey nuestro Señor se ha servido admitir la cesión que por impulsos del mas…</t>
  </si>
  <si>
    <t>Caso, Antonio García</t>
  </si>
  <si>
    <t>Antonio García Caso</t>
  </si>
  <si>
    <t>…tas } y teniendo:en cómideracion el zelo á favor de lá academia^ dp tjüe' tantas, prüébas tenia dadas la laboriosidad *y demás a preciables circunstancias que; concurren en el Dr. D. Antonio García Caso, fue nombrado pata la^afzl* dé director y presidente ; y asimismo fuéróñ~nómbrad0s'aSéSí5r* pfltfter&lt;rel li cenciado D. Josef FernfiaGrU, ábógado del jlustre cóiegio de esta corte, y</t>
  </si>
  <si>
    <t>Casquete, Vicente</t>
  </si>
  <si>
    <t>Vicente Casquete</t>
  </si>
  <si>
    <t>…ecretaría. Tendreislo en tendido, y dispondréis lo necesario á su cumplimiento. El Rey se ha servido nombrar para el deanato de la iglesia colegial de Soria, vacante por muerte de D. Vicente Casquete, á D. Julián Escribano,, cura párroco de la villa de Viñuesa , obispado de Gsma: para la ración qué ha resultado vacante en la iglesia colegiata de Bayona, reyno de Galicia^ por promoción de D. Josef Bizarro á otra prebenda de la misma clase en la iglesia met…</t>
  </si>
  <si>
    <t>Cassiot, Domingo</t>
  </si>
  <si>
    <t>Domingo Cassiot</t>
  </si>
  <si>
    <t>…e de D. Jo sef Viñas á D. Pedro Toroneíl, capellán párroco del fuerte del Condestable en dicha ciudad: otra canongía de la misma iglesia , vacante por muerte de D. Juan Manegat, á D. Domingo Cassiot, director del hospicio de la espresada ciudad de Gerona: otra canongía que vacó por fallecimiento de D. Ma riano Bátaller á D. Josef Bertrán, cura de Llorat , pueblo de aquella diócesis i y la que vacó también en ia referida iglesia por muerte de D. Josef Bra…</t>
  </si>
  <si>
    <t>Castañaga, Martin de</t>
  </si>
  <si>
    <t>Martin de Castañaga</t>
  </si>
  <si>
    <t>…El Rey se ha servido aprobar el adjunto reglamento provisional de Po licía, nombrando para ministros togados, con quienes deberá V. S. aseso rarse en los casos prevenidos en él, á D. Martin de Castañaga , alcalde del crimen de la Real audiencia de Valencia, y á D.Manuel Echavarria, fiscal ce la chancillería de Valladolid, á quienes ha conferido S. M. plazas efec tivas de alcaldes de Casa y Corte, y para secretario de ese ministerio á Don Ramón Somalo y Sarav…</t>
  </si>
  <si>
    <t>Castañeda, Francisco'</t>
  </si>
  <si>
    <t>Francisco' Castañeda</t>
  </si>
  <si>
    <t>7Í° ... , : , Josef¿Perez de. Castro, D.: Jósef LliriaS ,D. Francisco' Castañeda, D. Juan Liebres, D. Pedro'-Góíñéz-, Di. Fráñcls^o de Paula Rámlréz¿ DI Cecilio Mó¿ lina, D. Josef Martínez Coronado, D.. Gerdriimo Gallardo, D. Francisco Calero, D. Patricio González y D. Juan Josef Constantini (*). ,0 i 1 i ? ví 0..r-C . T A . , En el Real…</t>
  </si>
  <si>
    <t>Castañeda, Narciso de Boniiaz y</t>
  </si>
  <si>
    <t>Narciso de Boniiaz y Castañeda</t>
  </si>
  <si>
    <t>…para tres tenencias en el propio regimiento á los subtenientes D. Josef Isidro Bonifaz, D. Fernán* do Loredo y D. Pedro Ürteaga: para una subtenéncia en el mismo cuerpo ai cadete D. Narciso de Boniiaz y Castañeda : para dos subtenencias de ban dera en el expresado regimiento ádos cadetes. D. Juan Josef García Perez y D. Manuel Pascual de la Rocha, y para una subtenencia en el de infantería de la Frontera y capital dé Tarma al sargento primero dé granaderos i Don Josef…</t>
  </si>
  <si>
    <t>Castañedo, Francisco</t>
  </si>
  <si>
    <t>Francisco Castañedo</t>
  </si>
  <si>
    <t>…misión de D. Santiago* Antonio Méndez, deán de la catedral de Solsona, á D. Francisco! Castañedo, canónigo de Jaén. = La canongía vacante en la catedrád de Jaén por trasla ción de D. Francisco Castañedo al arcedianato de Borriol en la de Tortosa, á D. Francisco Javier de Outon, médio-racionero de la iglesia de Sevilla: otra* canongía vacante en la misma catedral de Jaén por traslación de D. Segun do Cayetano García á otra canongía de Oviedo á D. Juan Antonio…</t>
  </si>
  <si>
    <t>Castaño, Antonio</t>
  </si>
  <si>
    <t>Antonio Castaño</t>
  </si>
  <si>
    <t>…or, D. Cayetano Perez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 Josef Arcos, Don Fermín Moza, DPAnjgel Villa, JL Florentino García., D. Rafael Al…</t>
  </si>
  <si>
    <t>Castaños, Erancisco Javier de</t>
  </si>
  <si>
    <t>Erancisco Javier de Castaños</t>
  </si>
  <si>
    <t>…, antes de horror é ignominia, al llegar allí los muy ilustres cabildos eclesiástico y secular, añadiendo un nuevo lustre á este triunfo reli gioso las dignas personas de S. E. el Sr. D. Erancisco Javier de Castaños , ca pitán general de los Reales egércitos, y S. E. el Sr. marques de Campo Sa grado, capitán general de este principado, seguidos de un crecidísimo núme ro de oficiales de toda graduación. Con tan lucido y respetable acompaña miento fueron llevados los resto…</t>
  </si>
  <si>
    <t>Castaños, Francisco Xavier</t>
  </si>
  <si>
    <t>Francisco Xavier Castaños</t>
  </si>
  <si>
    <t>…de caxa, y quarta, de . habilitado :• por D. Antonio Torregrosa ,* primer ayudante del batallón de infintería-ligera de cazadores extrangéros, y aprobado por el Excmo. Sr. capitán general D. Francisco Xavier Castaños : ún tomó en 4.0 Véndese en la librería' de Calleja, " caáled^las.Carretas,¿áaars. eitrfotifa. ; &gt; ■ f Explicación de las quatro partes de la doctrina cristiana ; ó Instrucciones dogmá tico-morales &gt;en que sé vierte toda la doctrina del catecismo romano: se a…</t>
  </si>
  <si>
    <t>…S„-Cárlos, mayordomo^ mayor de S. M.: duque de Veraguas, almirante y adelantado mayor de las Indias: Patriarca de las Indias: duque de Montemar, presidente del consejo de Indias: D. Francisco Xavier Castaños, capitán general de íos Reales éxércitos, y presidente de lá junta militar dé Indias: D. Francisco Xavier Venegas, teniente general dé los Reales éxércitos, y virey que fue' de Nueva-España: D. Gaspar Vigodet, teniente general de los Reales exércitos, y capit…</t>
  </si>
  <si>
    <t>Castaños, Francisco Xavier de</t>
  </si>
  <si>
    <t>Francisco Xavier de Castaños</t>
  </si>
  <si>
    <t>…. P., que si aquel honrado vecindario supo cumplir co mo buen vasallo en la memorable jornada que eternizará el valor de las tro pas de V. M. y del invicto general que las mandaba D. Francisco Xavier de Castaños, prestando todos los auxilios que estuvieron á sus alcances, se halla siempre dispuesto á sacrificar hasta la ultima gota de su sangre en de fensa del mas justo de los Reyes y sus sagrados derechos, baxo cuyo sabio gobierno se prometen llegar á ser felices; y…</t>
  </si>
  <si>
    <t>420</t>
  </si>
  <si>
    <t>420 la Real y militar orden de S. Fernando , con la banda y orla al rededor de la venera, y la pensión vitalicia de 30© rs. de vñ. anuales, al Excmo. Señor D. Francisco Xavier de Castaños, capitán general dejos Reales exércitos, en premio del distinguido mérito que contraxo en calidad de general en gefe del exército de Andalucía, dirigiendo la memorable y gloriosa batalla de Baylen, ocurrida el dia 19 de Julio de 1808, en que fue batido y hech…</t>
  </si>
  <si>
    <t>Castclnou, Josef</t>
  </si>
  <si>
    <t>Josef Castclnou</t>
  </si>
  <si>
    <t>526</t>
  </si>
  <si>
    <t>…s que desean instruirse en las obligaciones de sus estados y em* píeos? obra principalmente útil en la-s casas donde hay familia: traducida del fran*r ce* al castellano por el Dr. D. Josef Castclnou: un tomo en 8.° á 8 rs. en perga^ mino y 10 en pasta. Se hallará en la librería de Baylo, calle de las Carretas. ~ EN LA IMPRENTA REAL.</t>
  </si>
  <si>
    <t>Castelao, Isidro Fernandez</t>
  </si>
  <si>
    <t>Isidro Fernandez Castelao</t>
  </si>
  <si>
    <t>…casa y corte» dada en 23 del pasado mes de Agosto, to¡-k fvendada de 0. Luis López de Castro, escribano de provincia y comisiones de la Real casa y corte de S. M.» á instancia de D. Isidro Fernandez Castelao, síndico del concurso de acreedores de 0. Pablo Antonio Tarsis, se ha mandado sacar á pú blica subasta un oficio de receptor del número de los Reales consejos, juntas y tri bunales, correspondiente á D. Hilarión González, que se halla tasado en 19 del pasado…</t>
  </si>
  <si>
    <t>Castella</t>
  </si>
  <si>
    <t>…por el mariscal Joudan desde Besanzon, ahun-* ció ayer la sumisión de la guarnición de aquella plaza al Rey, ¿ quien pidió que las tropas suizas suspendiesen las hostilidades. El general Castella,gefe del estado mayor suizo, y que se halla aqui, me da á entender que concederá la solicitud bajo la condición de que un cuerpo enemigo que está en Saíins, salga de allí á fin de que las tropas suizas adelanten. En el ministerio de Guerra se han recibido pli…</t>
  </si>
  <si>
    <t>Castellanos, Angel</t>
  </si>
  <si>
    <t>Angel Castellanos</t>
  </si>
  <si>
    <t>…Provincial de Segovia; á 0. Fernando Alcocer, D. Josef Gines de Zamora, 0. Joaquín. Esoatolero, y D. Rafael Pizarro , Capitanes del Regimiento de Mallorca; á D. Ildefonso Prieta, D. Angel Castellanos, D. Manuel de Ro— xas, y D. Segundo García, Capitanes de Voluntarios de Avila ; á D. Pas cual Coca , D. Cenon López, 0. Bernabé Porián, y D. Josef Diaz, del primer Batallón de Ciudad-Rodrigo; á D. Antonio Echenique, D. Domin go García , D. Hénrique Arias, D.…</t>
  </si>
  <si>
    <t>Castellanos, Juan Josef</t>
  </si>
  <si>
    <t>Juan Josef Castellanos</t>
  </si>
  <si>
    <t>…paña para el norte de !a Europa con las tropas del mando del general marques de la Romana. La persona que supiere dé su paradero o de su muerte se servirá avisarlo en esta corte á D. Juan Josef Castellanos, que vive en la calle del Príncipe, núme ro 14, en la cerería. Arte.de cazar ó cazador instruido y experimentado con escopeta y perros á pie y á caballo; contiene la enseñanza de traer el caballo, el reconocimiento de la es copeta con la enseñanza de tirar, l…</t>
  </si>
  <si>
    <t>Castellet, Teresa de Paláfox y</t>
  </si>
  <si>
    <t>Teresa de Paláfox y Castellet</t>
  </si>
  <si>
    <t>…, se cita, llama y emplaza á todos los pa rientes y demas personas, con la calidad de pobres, que pretendan tener derecho á los bienes quedados por fallecimiento de la Escma. Sra. Doña Teresa de Paláfox y Castellet, vecina que fue de la ciudad de Barcelona, para que en él término de 30 dias, contados desde eüte dia, comparezcan á ésponerle ante dicho sfeííor y escribanía del número que egerce dicho Sn D.’ Ramón; prevenidos dé qué pilado, y no lo hacien do, les parará el…</t>
  </si>
  <si>
    <t>Castelló, Miguel</t>
  </si>
  <si>
    <t>Miguel Castelló</t>
  </si>
  <si>
    <t>…por S, M, en los Reales cuerpos de Artillería í Ingenieros en él memorable dia dé S. Fernando, . ' En el Real cuerpo de Artillería.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t>
  </si>
  <si>
    <t>Castells, Joaquín</t>
  </si>
  <si>
    <t>Joaquín Castells</t>
  </si>
  <si>
    <t>…l de Ronda á D. J^ef Gregorio Aragón. Para el corregimiento de letras de Mancha Real á Don Femando Segovia: para el de las Alpujarras del reyno de Granada, su ca-^ pita! Uxijar, á D. Joaquín Castells y de Montaner: para el de Loxa á Don Juan Víctor Navarro: para el de Chinchilla á D. Juan María Ruano: para el de Marbella á D. Marcos Cachapero:. para la vara de Purchena á Don Francisco Fernandez: para la de Tobarra á D. Antonio Roca y Bayot: para la de Adr…</t>
  </si>
  <si>
    <t>Castelreagh</t>
  </si>
  <si>
    <t>…a, fcjue se nombrará academia de las artes (aca demia de las nobles artes), compuesta de las tres secciones de escultura» pintura y arquitectura. El 26 del pasado llegó á Parts el lord Castelreagh, y al dia siguiente tuvo audiencia de S. M. En Port-Ringeard se han instalado hace pocos diasios religiosos de la Trapa.__ Estos Llegaron en procesión á Entrames, en donde celebró el prior una misa solemne. Luego qne se ác*bó la misa se dirigieron á su co ven…</t>
  </si>
  <si>
    <t>Castiereagh</t>
  </si>
  <si>
    <t>…unidos en París, y relativa á la devolución de ia$ pinturas y estatuas extraídas por los franceses de varios países extranaeros. D,espues de haber examinado el pun to de; derecha, lord Castiereagh hace muy sólidas reflexiones para demos trar que en esta restitución los aliados no han tenido designio de ofende^^ honor nacional ni la dignidad de; la coronapues que ni ei Rey ni la nación debían lisonjearse con la posesión dé unos monumentos que recuerdan…</t>
  </si>
  <si>
    <t>Castilla, Diique Presidente del Supremo de</t>
  </si>
  <si>
    <t>Diique Presidente del Supremo de Castilla</t>
  </si>
  <si>
    <t>…católica* asi en lo moral como en lo civil y político: con tan saludable propósito es que resolvió S~M el formar una Junta de Ministros de sus Cohse jos, presi dida por el Excmo. Sr. Diique Presidente del Supremo de Castilla, para que recogiendo tódps losplanesde estudios de;una y otra natuta^xa, examinán dolos con todas las memorias , representaciones, consultas del Consejo y de más conveniente, donde quiera que se bailare, pidiéndoseitambien los planes ó métodos de pública inst…</t>
  </si>
  <si>
    <t>Castilla, Francisco María Sánchez</t>
  </si>
  <si>
    <t>Francisco María Sánchez Castilla</t>
  </si>
  <si>
    <t>…S. M. se ha servido nombrar para la vara de alcalde mayor de la villa de Paredes de Nava á D. Juan García Monsalve: para la dePeñaíiei á D. An tonio Prieto: para la de Plasencia á D. Francisco María Sánchez Castilla: para la de Igea á D. Josef Beortegui,; y para la de Alburquerque á D. An tonio Ayala. Para el corregimiento de Albacete á D. Antonio Fernandez BriV: para el de^Paradas á D. Tomas Marcos Varona: para el de Mayorga á Don Anastasio Pí nos y Palos: para el de Ja…</t>
  </si>
  <si>
    <t>Castilla, Manuel</t>
  </si>
  <si>
    <t>Manuel Castilla</t>
  </si>
  <si>
    <t>…: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 D. Josef.Escovar;D.:Santos Leccea£ D. Bernardo Latorre, D. Joaquín de la Cámara, D; Josef HidalgoDon Tpmás Gutiérrez, D. Francis…</t>
  </si>
  <si>
    <t>Castilla, Rafael Josef</t>
  </si>
  <si>
    <t>Rafael Josef Castilla</t>
  </si>
  <si>
    <t>…l de Villapadierna: para el de Niebla á D. Pedro Tagle Velarde; para el de Pruna á D. Josef María Moscoso y Anaya .* para eTde Zahara á D. Antonio Villareal; para el de ' Espera á D. Rafael Josef Castilla: para el de Hita á D. Manuel Antonio Barba: para el de Castrogeriz á D. Juan Pedro Navarro: para el de Almon-</t>
  </si>
  <si>
    <t>Castillo, Bruno del</t>
  </si>
  <si>
    <t>Bruno del Castillo</t>
  </si>
  <si>
    <t>…por muerte de D. Luis Merino de Vargas, á D. Juan Sánchez Conde, canónigo de la de Coria: para otra de la misma iglesia de Piasencia, vacante por fallecimiento de D. Juan Muñoz, á D. Bruno del Castillo, cura de la parroquial de San Pedro de Ciudad-Rodrigo: para otra canongía de la iglesia catedral de Co ria, que resultará vacante por la promoción del citado D. Juan Sánchez Conde á la de Piasencia, á D. Tiburcio Sánchez Herrera; y para una ra ción de la prop…</t>
  </si>
  <si>
    <t>Castillo, Francisco de Paula</t>
  </si>
  <si>
    <t>Francisco de Paula Castillo</t>
  </si>
  <si>
    <t>…brado para desem—: feñarIspañaestade honrosaprimera comisiónclase, gentilhombreal Escmo. Sr.de duquecámaradedeS.S.FernandoM., y á ,los*granderegidodé res perpetuos de él los Sres. D. Francisco de Paula Castillo y D. Santiago Antelo y Coronel., alguacil mayor de; la Inquisición de aquella ciudad,, tu vieron estos el dia 10 del pasado la honra &lt;de presentarse á S. M., y des pués de haber besado su Real manó, el primero de ellos espuso los inauditos trabajos , robos y saqueos , que durante…</t>
  </si>
  <si>
    <t>Castillo, Joaquín del</t>
  </si>
  <si>
    <t>Joaquín del Castillo</t>
  </si>
  <si>
    <t>…s Consejos; el Lie. D. Francisco de Sales Hernández de A riza, abogado, y teniente del Real cuerpo de Zapadores; el Lie. D. Juan García de Olias, abogado de los Reales Consejos, y D. Joaquín del Castillo, obtuvo el per miso de felicitar á S. M. y besar su Real mano; y el primero de dichos se ñores pronuncio el siguiente discurso: „Señor: vuestra Real academia de derecho civil, canónico y patrio, con el título déla Concepción, establecida en esta corte, se lle…</t>
  </si>
  <si>
    <t>Castillo, Josef Gorris Pradas y</t>
  </si>
  <si>
    <t>Josef Gorris Pradas y Castillo</t>
  </si>
  <si>
    <t>…de Villa, plazuela de Sto. Domingo, ó en la ciudad de Arnedo, en la Rioja, por Doña Manuela Heras y Bretón, á quienes podrá dirigirse la noticia. ■; Se desea saber el paradero de D. Josef Gorris Pradas y Castillo , que se hallaba empleado por S. M. en Santiago de Queretaroi-y de “quien no se tiene noticia hace mas de seis años, y teniendo que comunicarle asuntos, interesántes, se suplica á quien sepa de él que se lo.comunique á Doña Francisca Gorris, su hermana, en Va…</t>
  </si>
  <si>
    <t>Castillo, Manuel Díaz del</t>
  </si>
  <si>
    <t>Manuel Díaz del Castillo</t>
  </si>
  <si>
    <t>…pre á Don Josef Ruvial: para la de Orgiva á D. Gines Muñoz Paíao: para la de Revi lla á Juan Bautista Loperraez: para la de Ardales á D. Miguel Plácido Cañete: para la de Cañete á D. Manuel Díaz del Castillo: para la de Montoro á D. Josef Vaceda y Gómez: para la de Tolox y Monda á D. Juan Tomas Encina: para la de la Puebla de Cazalla á D. Josef Aguilar Gaioete: para la de Valverde del Camino á D. Francisco de Paula Escudero: para la de OI vera á D. Antonio Manuel…</t>
  </si>
  <si>
    <t>Castillo, Nicolás del</t>
  </si>
  <si>
    <t>Nicolás del Castillo</t>
  </si>
  <si>
    <t>…r de la misma, con la dotación de 700 ducados anuales, que se pagan de sus propios por tercios; sobre cuya cantidad han disfrutado los que la han obtenido, especialmente el último D. Nicolás del Castillo que la sirvió 23 años, otros 700 ducados poro mas ó menos por obvenciones 7 apelaciones de los pueblos co marcanos; y hauien do acordado el ayuntamiento proceder á la provisión de dicha plaza, se anuncia al público para que los pretendientes puedan dirigirle…</t>
  </si>
  <si>
    <t>Castillo, Pedro del</t>
  </si>
  <si>
    <t>Pedro del Castillo</t>
  </si>
  <si>
    <t>…Correjes, D. Agustín Gar cía , D. Pedro Menor, D. Rafael Santiago; D. Ramón Franc, D. Juan de la Cruz de Tena, D. Vicente Torres* D. Gaspar .Fernandez Bobadilla, D. Pe dro Ramos , D. Pedro del Castillo, 0. Anafes García, D. Manuel Govantes, D. Juan Esdovar, D. Cayetano Salcedo, Dw Andrés Nieto.-, B; Manuel Nifo, D. Juan Ltiis&gt; Astraudi yB* Martin dé lbs¡filenos ,D¿ Gabriel: fescolar, D; Ma teo Fernandez, &lt;Dí Adrián Jaco me, D. Manuel. Puch:, Di Juan Delgado…</t>
  </si>
  <si>
    <t>Castillo, Vicente de Vega y</t>
  </si>
  <si>
    <t>Vicente de Vega y Castillo</t>
  </si>
  <si>
    <t>…tedral de Orense por traslación de D. Matías González á la de Ségovia á D. Domingo Rodríguez. = El medio préstamo de Marchámalo, en la diócesis de Toledo, vacante por promoción de D. Vicente de Vega y Castillo á canongía de aquella iglesia</t>
  </si>
  <si>
    <t>CastJúreágh</t>
  </si>
  <si>
    <t>cuestión fueron 147. Se observó que en los. debates Mr. Grattan y lord CastJúreágh sé trataron con-mucha cordialidad. Los nombres de libertad de Irlan da y de Grattan fueron unos mismos. La isla de Sta. Cruz se ha devuelto al gobierno dinamarqués, cuya entre ga se verificó unos cuantos dias antes de que saliese á traer la noticia el¿ bu que…</t>
  </si>
  <si>
    <t>Castlercagk</t>
  </si>
  <si>
    <t>…éste esperando qué acaben1 de llegar las Fuerzas rusas y prusiana s, Su caballería, consiste eni82) hombres entre ingleses* hannoVeríanbs y pru sianos. "Documentos presentadas por lord Castlercagk en la cámara de los comunes en laJ sesión del. 2 de Mayo. \, . .5 ’ Carta de Elisa' Bonaparté a' -Napoleón Éon aparte. = Lucir 12 de Pebre-‘ ro de 1814.=,,Señor: He tenido el honor de informar á V. M. por mis cartas dé 5 y 8 de este mes del movimiento de conc…</t>
  </si>
  <si>
    <t>Castlereagh</t>
  </si>
  <si>
    <t>Saxonia. El &lt;Ju 11 recibió pliegos de Inglaterra el lord Castlereagh, que des terraron todas las dificultades, especialmente las que había sobre el rey no Saxonja, „ s. „ ‘ _ ' .i 4 Si :* • ..4 -; ' Idttn 17. ^ * Ef 7 dí eslemes se celebró solemnemente en Ma capilla de la-legaéton rusa la fiesta del orden de S, Alexandro Newsk…</t>
  </si>
  <si>
    <t>…s grandes intereses del estado. „„ Ayer debió reunirse uña junta compuesta del príncipe de Metternich, del conde de Rasomowsky, del principe de Hardemberg/de Mr. de Rumboldt y del lord Castlereagh , para proponer ciertas bases preliminares sobré los asuntos dé Polonia y de Saxonia. . i2 Idem ■ ; ' ■; ' •. de■ , Eherpt’/i'ide■ ! • tQic,if ■ í'i ■ / 1 ‘ ¡ . ■ ■ i, - ' : En el. día no se habla ya .de oposición ninguna entre los ministros de las potencias;…</t>
  </si>
  <si>
    <t>…del barónRichrusen, embaxador sueco: estos harán la travesía como anti guamente de Harwich á Gotemburgo. En el dia se dice que la primer semana de Febrero debe llegar &amp; Londres el lord Castlereagh á ocupar el destino de primer lord de la tesorería y de canciller del echiquier. .Aunque sin licencia salen muchos buques para los Estados-Unidos con pretexto de ir á las Bermud^s y á Halifax con cargamentos, á fin de introducirlos asi que tengan noticia de l…</t>
  </si>
  <si>
    <t>…ada dia se afirma mas que a la abertura del parlamento habrá mudan zas en el ministerio. Se dice que Mr. Canning vendrá de PortugaL para te* ner parte en la administración; que el lord Castlereagh será primer lord de la tesorería y canciller del echiquier; que ek lord Palmerstone dexará la se cretaría de Guerra, y será creado par; que Huskisson entrará también en la administración; en fin, que el marques de Wellesley volverá á tomar la dirección de los…</t>
  </si>
  <si>
    <t>…e S. E. iba ves tid &gt; con sencillez, fue bien pronto el objeto de la atención general. Estaba acompañado'de lord Stewart y de una señora enmascarada, que sin duda sería la hija de lord Castlereagh ó de lord Catheart. -—Ayer hizo S. E. su primera visita de ceremonia á los Monarcas aliados, y hoy , con uniforme grande de general, ha visitado á los príncipes de la familia imperial. El duque de Holstein Eutin (antiguo rey de Suecia) ha dirigido á la cristi…</t>
  </si>
  <si>
    <t>…e que el gobierno ha recibido ayer el tratado de paz con América , ratificado por el presidente de los Es tados-Unidos* Esta agradable noticia fue comunicada inmediatamente por el lord Castlereagh al lord corregidor de Londres. La carta de aquel minis tro dice que las ratificaciones fueron cangeadas en Washington el 17 de Febrero á las ix déla noche, y que Mr. Baker , encargado del acto de la ratificación del tratado de paz de parte del Príncipe Regent…</t>
  </si>
  <si>
    <t>…22 llegó á la secretaría de Estado ün correo de gabinete con plie gos del lord Sommerset que se esperaba con impaciencia. Luego que se recibie ron pasó á la cámara de los comunes lord Castlereagh, á quien siguieron los condes dé Liverpool, Horrowby y Buckinghashire. Se leyeron los pliegos; y el conde de Liverpool marchó inmediatamente a ver al Príncipe Regente acompañado de algunos ministros del Rey. • En el dia hay razón para disculpar la lentitud qu…</t>
  </si>
  <si>
    <t>…o en Praga. En estos últimos dias ha llegado á esta capital un correo francés con plie gos de Bonaparte. Este correo desembarcó en Deal, y luego que llegó á esta capital entregó á lord Castlereagh los pliegos, que se asegura venían diri gidos al duque de Chartres, embaxador de Luis xvm: en ellos parece que lo llamaba á Francia, dexando aqui por encargado de Negocios á Mr. Rayneval; pero el duque hacia ya dias que había marchado á residir cerca de Luis…</t>
  </si>
  <si>
    <t>…está fortiñeando por el lado izquierdo del mismo rio. El teniente general bávaro Lamotte ha puesto su quartel general en Worms. GRAN BRETAÑA. Londres zG de Abril. Ayer presento el lord Castlereagh á la cámara de los comunes el tíltimo tratado entre las potencias aliadas, que en substancia es el siguiente: EN NOMBRE DE LA SANTISIMA TRINIDAD. „S. M. el Rey del Reyno-Unido de la Gran Bretaña, los emperadores de Rusia y Austria &amp;c.: habiendo tenido en cons…</t>
  </si>
  <si>
    <t>…ón en virtud de él, y que la cuestión relativa á la posesión de Ñapóles seria discutida separadamente del tratado. El príncipe Talléfrand queri$ principiar por esta cuestión ;pero lord Castlereagh consiguió* qué fuese lá tritima cosa que se tratase. Con este motivo', el príncipe Talleyrand prOCüró: indagar en las oficinas ministeriales de París , y en ellas se en contraron un sin nú Ulero de cartas entre Murat, Eugenio Beauharnais,Fouché, la reina de Ñ…</t>
  </si>
  <si>
    <t>Castléreagh</t>
  </si>
  <si>
    <t>…Mu rat, que se adelantó repentinamente á acometer á los austríacos. Asi,pues, las potencias nó tienen'qué arrepentirse de haber rezelado siempre de éll—-Para apoyar -su ‘disciirsó lord Castléreagh presentó. á la cámara de los comunes las cartas entre- Mfifat, Eugenio Beaunarnais, Fouché (duque de Otrantó),* la princesa Elisa y el emperador Napoleón. ' PIAMONTE. '' i - ^ t Génova Tú de mayo. El 8 dél: corriente por la mañana salió de aquí para Savona el…</t>
  </si>
  <si>
    <t>699</t>
  </si>
  <si>
    <t>…ue S. M. está sinceramente animado, y que me mandó que Jo comunicase á vuestro gobierno. Tengo la honra de ser Sic.zz Caulaincourt, duque de Vicenza.” Carta de Mr. Caulaincourt al vizconde Castlereagh. —París 4 de Abril de 1815. = „Mylord: el Emperador deseaba con ansia espresar directamente á S. A. R. el Príncipe Regente los sentimientos que le inspira, y hacerle comocer el gran valor que da á la conservación de la paz, que felizmente exis te entre los do…</t>
  </si>
  <si>
    <t>…le dió. Comunicareis lo mismo á los Soberanos alia dos y plenipotenciarios en Viena para que queden enterados. Tengo la hon^ ra Ikc.zz: Castlereagh.” Carta de Mr. Caulaincourt al vizconde Castlereagh. — París 4 de Abril de i8r5. = j,Milord: la perspectiva que indujo á S. M. el Emperador., mi augusto Soberano, á sujetarse á los mayores sacrificios no se realizó. La Erancia no recibió el pago del afecto á su Monarca, y sus esperanzas que daron lastimosament…</t>
  </si>
  <si>
    <t>…o de recibir noticia de que hoy llegará el general Czernicheíf á Meaux, sitio en donde el 9 pensaba establecerse el Príncipe Wrede. Es tracto de un oficio del general Cat heart al vizconde Castlereagh desde el cuartel general de Nanci el &lt;T de Julio de 181$. El Emperador de Rusia, acompañado del de Austria y del Rey de Prüsia (que se reunió á SS. MM. II. en Spira) y del Príncipe de Schwarzenberg, continuaron su marcha á Nanci al frente de unos 30® rusos. E…</t>
  </si>
  <si>
    <t>…é Prusia. ! GR A N BÍET A Ñ A. ' ’ . , - ' Londres 2 6 de Julio. En los periódicos de está capital se ha publicado el siguiente Extracto de un oficio del teniente coronel Ledke al vizconde Castlereagh, desde Pontarlier el 12 de Julio de 181$. /.Estando pronto á salir un. correo para el Príncipe Talldrand y aprovecho* esta ocasión para informar á V. E. que las fuerzas suizas en numeró de zi-Sh hombres, y qué diariamente se aumentan, ocupan el terreno que ha…</t>
  </si>
  <si>
    <t>…el tratado entre la Francia y ías potencias airadas, se dice que los ministros extrangeros se preparan para salir ae París. Los pírpeles ingleses anuncian ya la vuelta próxima de lord Castlereagh á Inglater ra. La apertura del parlamento no se efectuará hasta pasada la fiesta de Na tividad.</t>
  </si>
  <si>
    <t>…entre Francia y las, potencias aliadas. Los plenipotenciarios por parte de S. M. el Emperador de Austria eran los Príncipes de Metternich y de Schwartzemberg; por la Graq Bretaña lord Castlereagh, primer secretario de Estado, y lord Wellingtonf por la Prusia el Prin.cipe.de Hardemberg y el barón de Humboldt; por la Ru-</t>
  </si>
  <si>
    <t>Cástleréagh</t>
  </si>
  <si>
    <t>…etidas son las quejas de los angla-americanos sobre el apresa miento de sus marineros por los capitanes, ingleses. . , i. El viernes último tuvo una audiencia del Príncipe Regente lord Cástleréagh , que duró tres horas y media.. v Las últimas cartas de Lisboa dicen que Mr. de Croft debe reemplazar, tomo ministro extraordinario, de Británica, á Mr. Canning, cuya comi6iop está concluida. • Se construyen en Bombay dos navios de 74,. tres fragatas de 3,8 y…</t>
  </si>
  <si>
    <t>Castlereaghr</t>
  </si>
  <si>
    <t>…equipados y montados. ; :r .V ; ' * ^ r : GRAN BRETAÑA. ' ■' ' • «■ Y ■ .-Y ■ -■ i ■ • ’ .. .* ■- ; ............ - • - , Londres go de Jumo. Hoy debe salir de aquí pajra París el lord Castlereaghr á quien acom paña su secretario Mr. Planta. Este viage, que hasta ahora ha sido un miste rio, se saibe ya que no tiene Otro objeto «¡noel que este ministro resida al ladOí.de Me Cristianísima. Luis; xvrji para que en sus relaciones CQn;.eI gar, bínete ingles…</t>
  </si>
  <si>
    <t>Castlereagli</t>
  </si>
  <si>
    <t>837</t>
  </si>
  <si>
    <t>…ro considerable de transportes que con ducen 10® prisioneros franceses. . Estos dias ha venido de la Martinica con bandera blanca la fragata fran cesa la Duquesa de Angulema. v El lord Castlereagli debe salir inmediatamente de aquí para Brusélas. En la sesión del parlamento del dia 23 se votó dar gracias al Duque de Wellington, al Príncipe Blucher, y á los oficiales y tropa del egército alia do que han conseguido la memorable victoria que tanto debe inf…</t>
  </si>
  <si>
    <t>Castlereagn</t>
  </si>
  <si>
    <t>…conde de Zuhi, que les dio un bayle muy brillante. ; ALEMANIA. . Hamburgo gi de Diciembre de 1814. , Se han publicado hoy en nuestra gaceta las noticias siguientes de Viena. „ El lord Castlereagn debe haber comunicado cosas imíy satisfactorias la Prusia. En general se nota-en la política inglesa muchas mudanzas. Parece1 hasta ahora que réyna la mejor inteligencia entre el príncipe Taileyrand y los ingleses. „ La Rusia y la Prusia» á representación de…</t>
  </si>
  <si>
    <t>Castlerjeagh</t>
  </si>
  <si>
    <t>…, Se han experimentado aquí algunos disgustos por estarse tratando- en el piarla memo de formar una ley sobre la tasa de los granos Ayer se presentó en la cámara de los comunes el lord Castlerjeagh con] mucha satisfacción de todos los miembros. Mr. Whitbread le preguntó si se proponía señalar utvdia pata comunicar á la cámara el resultado de la comi sión que había tenido, d si era probable que se viese bien pronto encargado por el Príncipe Regente de ha…</t>
  </si>
  <si>
    <t>Castlreagh</t>
  </si>
  <si>
    <t>…rga conferencia con el minis-^ tro de Negocios extrangeros, en virtud de la qual hubo despees una junta de ministros. Antes de ayer se reunieron á las tres de la tarde en casa del lord Castlreagh los embaxadores dó Rusia, de Prusia, de Austria, de España, de Por tugal y de muchos príncipes soberanos de Alemania, y permanecieron en* junta mas de dos horas. Ayer entregó el lord Gastlereagh al Príncipe Regente varios pliegos que había recibido del embaxa…</t>
  </si>
  <si>
    <t>Castrillo, Luis</t>
  </si>
  <si>
    <t>Luis Castrillo</t>
  </si>
  <si>
    <t>…a Real capilla de S. M. al nocturno y misa que celebró de pontifi cal el Excmo. Sr. D. Pedro Gravina, nuncio de S. S. en estos rey nos, y dixo una elocuente oración fúnebre el Dr. D. Luis Castrillo, canónigo de la misma iglesia^ El aparato del templo, adornado con decoro y magestad, el magnífico túmulo que se elevaba en medio de la nave lleno de trofeos mili tares con pequeñas piezas de artillería en sus quatro ángulos, y el numeroso coacnrso de embajad…</t>
  </si>
  <si>
    <t>Castrillon, F. E.</t>
  </si>
  <si>
    <t>F. E. Castrillon</t>
  </si>
  <si>
    <t>Gaceta de Madrid n.º 146</t>
  </si>
  <si>
    <t>…de la cámara del Sr. D. Feli pe iii, Rey de Castilla y Aragón. Véndese en la librería de Calleja, calle de las Carretas. • ¿ &gt;, El Joven de 60 años*, comedia nueva en un acto, por D. F. E. Castrillon, re* presentada por primera vez en el teatro del Príncipe en 27 de Agosto del presen te de 2815. Se hallará en la librería de Amposta, calle del Príncipe, y en el pues to de Pardo, esquina á la Real iglesia de S. Felipe Nert. Nota. En la gaceta del sábado ,18…</t>
  </si>
  <si>
    <t>Castro, Alonso Nuñez de</t>
  </si>
  <si>
    <t>Alonso Nuñez de Castro</t>
  </si>
  <si>
    <t>…92» 4529*6» 459489» 461456, 4/3536» 475767, 476005,476798, 477420, 478101, 478269 y 484405. Vida histórica de S. Fernando el ni, rey de Castilla y de León, escrita por el cronista D. Alonso Nuñez de Castro: nuevamente reimpresa í expensas de la Real brigada de Carabineros, de que es protector: un tomo en 4.0 marqu.tlla con el re trato del Santo. Se hallará á 20 rs. en rústica y 28 en pasta en la librería y alma cén de papel de Opmez, calle de. las Carretas. ‘ R…</t>
  </si>
  <si>
    <t>Castro, Cipriano</t>
  </si>
  <si>
    <t>Cipriano Castro</t>
  </si>
  <si>
    <t>…Padilla,5 I). Agustín Solera v D. Juan Manuel Pro i D: Nieblas LlondeÜá i ’D. ¡Juan: PeA: rez , D; Ca"rlos ÍMariri ,f D. 'Aquiíinb Otolá ,(D&gt;í Josef Sálas-, ©. Antonio Bolu* fer, D. Cipriano Castro ; D. Josef Tovar y D. Josef González , Di Josef de : los Reyes y D. Joséf Sálazar, D. Pedro Briones, D. Félix Carrasco, D. Fran cisco Puerto, D. Florentino Herreros, D. Antonio del Hoyo, D. Cristóbal ‘ Moreno, D. Antonio Mercádo, D. Manuel Castilla , D. Migue…</t>
  </si>
  <si>
    <t>Castro, Cristóbal de</t>
  </si>
  <si>
    <t>Cristóbal de Castro</t>
  </si>
  <si>
    <t>…cio López y Blanco « cura párroco de &amp; MigueideNágera.=El arctprestazgo dei valle deOjeda, en el obispado de Patencia , vacante por fa llecimiento de EX Manuel García Cañizares, á D. Cristóbal de Castro" Perez, beneficiado de preste de la parroquial de Prádanos. = El beneficio de la iglesia de Sta. María ae la ciudad de Tafalla ^diócesis de Pamplona/que Ira vacado por promoción de D. Pedro Ignacio- Garvizo al arcedianato- dé Sta.! Gema, á IX Manuel Galduros.…</t>
  </si>
  <si>
    <t>Castro, Domingo Andrés Sánchez de</t>
  </si>
  <si>
    <t>Domingo Andrés Sánchez de Castro</t>
  </si>
  <si>
    <t>…badía de Samos: párárel de San Salvador de Faramontaos , en la referida diócesis de Orense, vacante por as censo de D. Benito López Burugorri al curato de S. Salvador de Nqcedo, á D. Domingo Andrés Sánchez de Castro, presbítero y capellán de las. religio sas capuchinas de la Coruña: para el de Sta. María de Furnaces » .ea:el prot pió obispado de Orense, vacante por ascenso de D. PedtoAivarez alcurato de Sta. Tomé de Moreiras ,.á D. Antonio Rodríguez Suarez ^presbítero,;…</t>
  </si>
  <si>
    <t>Castro, Felipe</t>
  </si>
  <si>
    <t>Felipe Castro</t>
  </si>
  <si>
    <t>…el Ribero; Don Gerónimo Roxo, del de Cazadores del Rey; D. Cesar Tournel, d¿l Real Cuerpo de Artillería , y D. Gerónimo Alvarez , del de Húsares extinguidos de León: de Teniente á D. Felipe Castro, D. Ramón Cespon, D. Jacinto Arteaga y D. Bernardo de Castro, del Provincial de Santiago; D. Jacobo Pardo y D. Josef Boltorna, del de Tuy; D. Lorenzo Valcarcel y D. Josef Sansiz, del de Lugo; D. Baltasar Valcárcel, del segundo de Asturias; Don Josef Martínez,…</t>
  </si>
  <si>
    <t>Castro, Francisco de Paula</t>
  </si>
  <si>
    <t>Francisco de Paula Castro</t>
  </si>
  <si>
    <t>…Ó. Josef Mateos, D. Ramón ‘Riotórt, D. Francisco Luis Jácome, D. Josef.Escovar;D.:Santos Leccea£ D. Bernardo Latorre, D. Joaquín de la Cámara, D; Josef HidalgoDon Tpmás Gutiérrez, D. Francisco de Paula Castro, D. Jorge Valderrábano, D. Josef María Palma, D. Marcos de Zeberio y D. Josef Antonio de S. Juan. ( Se continuará.) ' Circular del ministerio dt Guerra. Convencido el Real ánimo del Rey nuestro Señor de que para llevar á - debido efecto él plan' adoptado para…</t>
  </si>
  <si>
    <t>Castro, Francisco Fernandez de</t>
  </si>
  <si>
    <t>Francisco Fernandez de Castro</t>
  </si>
  <si>
    <t>…de lo pasado». En efecto, á las dos de latarcfedel mismo dia 13 eo la antigua torre de santa María los señores D. Ramón Ortega,, intenden te corregidor; D. Josef Iñigo de Angulo; D. Francisco Fernandez de Castro, marques de Barrio Lucio, y coronel de caballería de los Reales exérciro:; D. Juan Amonio Barona y D. Josef León de Madrazb , montero de cámara de S. M.; regidores perpetuos D. Jacinto. Cilleruelo , D. Josef Rodrí guez Cermeño, D. Juan? Alonso de Prado, y D.…</t>
  </si>
  <si>
    <t>Castro, Joaquín González de</t>
  </si>
  <si>
    <t>Joaquín González de Castro</t>
  </si>
  <si>
    <t>…dias precisos, contados desde este de la fecha ante el Sr. D. León de la Cámara Cano, deí consejo de S. M., y teniente de corregidor de esta villa, por la escribanía del número de D. Joaquín González de Castro, ó ante los síndi cos nombrados á deducir y liquidar sus respectivos créditos; en la inteligencia de que pasado dicho término sin haberlo executado les parará el perjuicio que haya lugar. En la ciudad de Corella, reyno de Navarra, se halla vacante el magister…</t>
  </si>
  <si>
    <t>Castro, Josef</t>
  </si>
  <si>
    <t>Josef Castro</t>
  </si>
  <si>
    <t>…, D. Pablo Alvarez , D. Dámaso Arroyo', D. Vicente Sier ra, D. Gregorio' Desea, D. Domingo Fernandez, D. Francisco íFerr&amp;Éidez, D. Josef Casulla, D. Juan Fernandez ,D.Gil Garande, D. Josef Castro, Don Josef Morales, D. Joaquín Soravilla , D. Francisco,Mora , D* Gabriel Bala-r giier, D. Benito Romasanta , D. Mariano Gómez , D. Juan: Antonio Berdia, D. Josef Alonso , D. Pedro Cortés , D. Francisco Mareli, D. Francisco Doyega , D. Agustín Berlanga y D. M…</t>
  </si>
  <si>
    <t>Castro, Josef de</t>
  </si>
  <si>
    <t>Josef de Castro</t>
  </si>
  <si>
    <t>…de Quiros, á D. Tomas Cartagena, canónigo de la misma catedral: para otro deanato de la iglesia colegial de Talayera de la Reyna, de este arzobis pado, vacante por fMecimiento de D. Josef de Castro, á D. Joan Bau tista de Arana, cura de la villa de Ataquines en el obispado de Avila: pa ra la abadía de la iglesia colegial de Lorca, diócesis de Cartagena, vacan te por muerte de D. Manuel de Robles , á D. Vicente Agustín Prieto, ca nónigo de la misma coleg…</t>
  </si>
  <si>
    <t>…hez,,¡ D. Litis Vidarte, D. Tiburcio Martínez, IX Rufino; Andinql IX Antonio la Rosa i D. Pedro Albo, D. Nicolás Giezar, DvJuanVicente , D. Eduardo Paules , ,D. Francisco Sánchez, D. Josef de Castro, D. Venancio, Garnez , D. Nicolás Laborda, D. Manuel 1 aborda*, D. Nicolao Ribera, D. Gregorio Dalmao ; D. Francisco Navas., D. Filiberto Malus, D.;/Josef •¡Blanco*L). Mariano Córdoba * P. Josef Ferrer, D. Ca yetano Vivar , P,; JqseJ de^fcuenca, EX Francisco…</t>
  </si>
  <si>
    <t>Castro, Josef Patricio</t>
  </si>
  <si>
    <t>Josef Patricio Castro</t>
  </si>
  <si>
    <t>…Briones, D. Félix Carrasco, D. Fran cisco Puerto, D. Florentino Herreros, D. Antonio del Hoyo, D. Cristóbal ‘ Moreno, D. Antonio Mercádo, D. Manuel Castilla , D. Miguel Campanon,' D. Josef Patricio Castro, D. Ignacio Truyols, Ó. Josef Mateos, D. Ramón ‘Riotórt, D. Francisco Luis Jácome, D. Josef.Escovar;D.:Santos Leccea£ D. Bernardo Latorre, D. Joaquín de la Cámara, D; Josef HidalgoDon Tpmás Gutiérrez, D. Francisco de Paula Castro, D. Jorge Valderrábano, D. Jo…</t>
  </si>
  <si>
    <t>Castro, Josef Vicente de</t>
  </si>
  <si>
    <t>Josef Vicente de Castro</t>
  </si>
  <si>
    <t>…egura: para la de Portillo á D. Garlos Covarrubias: para la de Gimena á D. Josef Mateos y Valle: para la de Garrobillas á D. Dionisio Marcelino Angulo: para la de Cuevas de Vera á D. Josef Vicente de Castro: para la de Benvipre á Don Josef Ruvial: para la de Orgiva á D. Gines Muñoz Paíao: para la de Revi lla á Juan Bautista Loperraez: para la de Ardales á D. Miguel Plácido Cañete: para la de Cañete á D. Manuel Díaz del Castillo: para la de Montoro á D. Josef Vac…</t>
  </si>
  <si>
    <t>Castro, Juan de</t>
  </si>
  <si>
    <t>Juan de Castro</t>
  </si>
  <si>
    <t>…io Toxo, Don Xavier Pimentel y D. Ramón Osores, del Provincial de Santiago; D. Ber nardo Becerra, del de Betanzos; D. Joaquín López Varela, D. Antonio Guerrero, D. Josef Guerrero, D. Juan de Castro, D. Juan López, Don Pedro Santistéban y D. Josef Novoa, del de Lugo; D. Luis Blanco, Don Pedro Iglesias, D. Pedro Ruiz Peña, D. Pedro Rodríguez, D. Isidro del Rio, D. Antonio Arias, D. Manuel Quiñones, D. Carlos Mota, D. Auto-</t>
  </si>
  <si>
    <t>Castro, Luis López de</t>
  </si>
  <si>
    <t>Luis López de Castro</t>
  </si>
  <si>
    <t>…arregladas. En virtud de.providencia del Sr. D. Josef Salvador López del Pan, &lt;d[el conse-■*. jo de S. M. / su alcalde dé dása y cor Je, de 14' dél córnerte y año , refrendada de D. Luis López de Castro , escribano de provincia y comisiones, se cita y emph*a&gt;á todos ios acreedores del Sr. D. Ramón Antón Síerraivecino dé ésta córte, caballero de la Real orden de Carlos iri-* para qúé'euel preciso terminó dezodiás, contado* desde el nominado 14, se presenten e…</t>
  </si>
  <si>
    <t>460 ídet corriente j se presente por sí ó por medio cíe procurador con poder bastante en la audiencia; de dicho señor y escribanía de provincia que exerce D. Luis López de Castro, á exponer lo que le convenga en los autos que ha promovido el Sr. D. B;r•Siardino del Aguila, coronel de los Reales qxércitos, dueño que antes fue de dicha hacienda, sobre que se: le adjudique esta en parte de pago de 88900 rs. que.se le .están debiendo por…</t>
  </si>
  <si>
    <t>…o días* contados desde el 13 del-corriente , se presente^por sí ó por medio de procurador coií poder bastante en ^audiencia de dicho 'señor, y escribanía de provincia, que «tcrce D. Luis López de Castro, í exponer lo que le convenga én los autos que há promovido el Sr, I&gt; Be mar di no del Aguila, coronel de loa Reales exércítos, duefio que antes fue de dicha hacienda, sobre que se le adjudique esta en parte de pa go de 88900 rs. que se le están debiendo por…</t>
  </si>
  <si>
    <t>…no concurrencia. En virtud de providencia del Sr. D. Josef Salvador López del Pan, del consejo de S. iyI., alcalde de su Real casa y corte, por la cscribuiiíii de provine i si de Don Luis López de Castro, se está subastando una casa sita en la calle de Mesón de Pa redes, señalada con el núm. r.° de la manzana 61, que tiene de sitio 1803^ pies cuadrados superficiales, y se halla tasada últimamente en el año anterior por Don Pedro Regalado de Soto en 40062 rs.…</t>
  </si>
  <si>
    <t>I 94&lt;$ fin virtud de providencia dada en 8 del corriente poc e! Sr. D. Joscf Salvador López del Pan, del consejo de S. M,, su alcalde de casa y corte, refrendada de D. Luis López de Castro, escribano de provincia y comisiones, i instancia de los, señores Marqueses de Sta. Coloma se cita, llama y emplaza á D. Baltasar de la Igle sia , Joaquín Martinez, Doña Marta Gira! y D. Francisco Forvjdes, sus herede ros ó sucesores, para que en el preciso t…</t>
  </si>
  <si>
    <t>…agregadas» dé correos. ■ En virtud dé providencia dél Sr. D. JosePSalvador López del Pan, del consejó de S. M. ^ su alcaldé de casá y corté^ dáciá en a^aelcorríente, refrendada de Don Luis López de Castro » csclibaitf» de provincia y comtrionés de la Real cas» y cor-</t>
  </si>
  <si>
    <t>Castro, Manuel Merino de</t>
  </si>
  <si>
    <t>Manuel Merino de Castro</t>
  </si>
  <si>
    <t>…rcibir desde el año de 1808 hasta el dé 1812. D. Vicente Modrego y Morales la mitad de su sueldo de secretario del ayuntamiento de la ciudad de Valencia/ D. Josef Sala zar 200 rs. D. Manuel Merino de Castro 13446 rs. en réditos de vales. D. Jorge María de Arcos 6416 rs. de sueldos vencidos. La villa de Torrecillas 190295 rs. suministrados á las tropas. D. Fernando Monto) a y Solio , mayordomo de semana de S. M., y brigadier de los Reales egércitos, todos los alc…</t>
  </si>
  <si>
    <t>Castró, Pablo Fernandez de</t>
  </si>
  <si>
    <t>Pablo Fernandez de Castró</t>
  </si>
  <si>
    <t>…ía * vacante en la iglesia metropolitana de Santiago por promoción de D. Manuel Martínez del Cam po y Guerra á otra canongía y dignidad de arcediano de Alcaráz, de la de Toledo, á D. Pablo Fernandez de Castró: para Otra canongía, que resulta ^ácánté en ia catedral de Avila por promoción de D. Joaquín Ferraz y Cortiél á otra de la iglesia metropolitana de Valencia, á D. Andrés Toro é Iriiárri, cura párroco de Foncastin, vicaría de Medina del Campo: para otrá canong…</t>
  </si>
  <si>
    <t>Castro, Pablo Fernandez de</t>
  </si>
  <si>
    <t>Pablo Fernandez de Castro</t>
  </si>
  <si>
    <t>…on tribuya a la unidad con que debe procurarse el cumplimiento de las justas y? Benéficas intencipnes de Sr M. t , / ' Dios guarde á V. muchos años. Madrid 4 de Setiembre de 1815. D. Pablo Fernandez de Castro, canónigo de la iglesia metropolitana de Santiagp&gt; ha ofrecido al Rey la cantidad de 20$ rs. en metálico para ayuda de la conduccipn y restablecimiento de los jesuítas en su antiguo colegio de Orense, y otros :2‘o$ para alivio de las actuales necesidades del…</t>
  </si>
  <si>
    <t>Castro, Pablo Merino de</t>
  </si>
  <si>
    <t>Pablo Merino de Castro</t>
  </si>
  <si>
    <t>…pasado, sin mas providencia seprocederá en los referidos autos á lo que corresponda según su calidad. En el Real consejo de las Ordenes, y por la escribanía de cámara que regenta D. Pablo Merino de Castro, se siguen autos por los síndicos de la testamentaría del difunto Eircmo. Sr, conde de Requena, comendador que fue de la de Galizuela, en la de Alcántara, con los herederos de D. Josef Veladiez, sobre rescisión del con trato de dicha encomienda; y siendovpart…</t>
  </si>
  <si>
    <t>Castro, Pedro de</t>
  </si>
  <si>
    <t>Pedro de Castro</t>
  </si>
  <si>
    <t>Gaceta de Madrid n.º 77</t>
  </si>
  <si>
    <t>728</t>
  </si>
  <si>
    <t>…ticos: por el Lie. Pedro Fernandez Navarrete: edición ; un tomo en 4° á 22 rs- en pasta. = Juicio sobre la antigüedad deÍiuinta as letras y otras cosas de tayida civil:,escritapor D. Pedro de Castro, canónigo dé Sevilla: un tomo en 8.° mayor á 10 ps. .ép ^rústica. Se hallarán en..la librería de Martin, calle de la Cruz, y en.su despachó de libros, calle ancha de Majadericos, núm* 6-y -y,.................................. ..................... -.........…</t>
  </si>
  <si>
    <t>Castro, Pedro Fernandez de</t>
  </si>
  <si>
    <t>Pedro Fernandez de Castro</t>
  </si>
  <si>
    <t>…y hombres grandes de los verdaderos siglos de oro, cuales fueron el xvi y principios del xvir, escritas por el científico español D. Dionisio Soria y Girón, secretario del Excmo. Sr. D. Pedro Fernandez de Castro, conde de Lemos y Andrada, mar ques de Sarria y Villalba, comendador de la Zarza, de la cámara del Sr. D. Feli pe iii, Rey de Castilla y Aragón. Véndese en la librería de Calleja, calle de las Carretas. • ¿ &gt;, El Joven de 60 años*, comedia nueva en un acto, p…</t>
  </si>
  <si>
    <t>Castro, Ventura</t>
  </si>
  <si>
    <t>Ventura Castro</t>
  </si>
  <si>
    <t>…del primer batallón á D. Josef Moreno; teniente de granaderos á D. Josef Agustín Zavala ; idem de fusileros á D. Hermenegildo Herrera y D. Manuel Guerra; Subtenientes de bandera á D. Ventura Castro y D. Josef Fernandez Pare des, y subteniente agregado á D. Josef Xamarilío; y en el regimiento de infantería de línea de Talavera , que se halla en aquel vireynato, capitán á D. Josef Valdés; Teniente de granaderos á D. Melchor Duran; idem de ca zadores á D. Ramón Lorente; idem de fus…</t>
  </si>
  <si>
    <t>Castroverde, Luis</t>
  </si>
  <si>
    <t>Luis Castroverde</t>
  </si>
  <si>
    <t>…e Lombay á D. Manuel Polar y Clemente: para la de Bicon y Quesa á D. Francisco de Paula Villareal: para la de Enguerá á D. Manuel Alonso Hernández: para la de Castellón de Nules á D. Luis Castroverde: para la de Ayelo de Maiférit á D. Antonio !Lorca Herrera: para la de Mogente á D. Cristóbal Bercher: para la de Al tea á D. Miguel Sanz Aparicio, y á D. Antonio Taboada para la de Liria. El Rey nuestro Señor se ha servido admitir con aprecio el donativo que…</t>
  </si>
  <si>
    <t>CasUiüo, Jpscf</t>
  </si>
  <si>
    <t>Jpscf CasUiüo</t>
  </si>
  <si>
    <t>Gaceta de Madrid n.º 13</t>
  </si>
  <si>
    <t>…s dichas que experimentó la hebrea en el rey» nado de este sabioy justo monarea-de lartei. Se vende á'ars.~errlx iibrcna~de-RtP* irigüjez^ calle d&lt;^a*;C|**«.ta*# y en ia tienda de D. Jpscf CasUiüo . baxada de San Martin j eñ Soria en ladcValderrama,y en Almazan.en casa del ¡presbítero Dos yóáef$átázár. ^ ^ /4"'' ■! ':: Articuló comunicado al redactor de la estafeta de Santiago. Se hallará en loa puestos del diario y en las librerías de Perez, calle de…</t>
  </si>
  <si>
    <t>Casulla, Josef</t>
  </si>
  <si>
    <t>Josef Casulla</t>
  </si>
  <si>
    <t>….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giier, D. Benito Romasanta , D. Mariano Gómez , D. Juan: Antonio Berdia, D. Josef Alonso , D. Pedro Cortés , D. Francisco Marel…</t>
  </si>
  <si>
    <t>Cat</t>
  </si>
  <si>
    <t>…voart. ' ¡P. JO. Acabo de recibir noticia de que hoy llegará el general Czernicheíf á Meaux, sitio en donde el 9 pensaba establecerse el Príncipe Wrede. Es tracto de un oficio del general Cat heart al vizconde Castlereagh desde el cuartel general de Nanci el &lt;T de Julio de 181$. El Emperador de Rusia, acompañado del de Austria y del Rey de Prüsia (que se reunió á SS. MM. II. en Spira) y del Príncipe de Schwarzenberg, continuaron su marcha á Nanci…</t>
  </si>
  <si>
    <t>Catalina</t>
  </si>
  <si>
    <t>…io de la vida; y habienáo posteriormente recurrido D. Juan Palacios Malaber, hermano del 0. Ber-' nardo, á nombre de~su madre para que ya que no se la iguale en asignación. Con la Doña Catalina, se declare lá espresada pensión de 300. ducados trans misibles por fallecimientp de la agraciada i sus dos bijas Doña Josefa y Doña, Joaquina ^niiéntrás nq tomen ^estado, y se hagan en favor del.D. Bernardo Ja&amp; mismas decláraciones jibqoríftcas que á.D* Jose…</t>
  </si>
  <si>
    <t>Catchart</t>
  </si>
  <si>
    <t>Gaceta de Madrid n.º 134</t>
  </si>
  <si>
    <t>…es ,25 coroneles, seis mayores y 117 oficiales : tiene de agregados 741 sargentos y soldados, y 1® caballos á su servicio. Francfort 5 de Octubre. * Esta mañana ha pasado por aquí lord Catchart que viene de París, y se dirige á Petersburgo en calidad de embajador de S. M. Británica. ■r El famoso Czerni-Georges, que ha residido todo el verano en Stiria, se ha dirigido últimamente al gobierno austríaco, pidiendo pasaportes para voh' ver por Hungría á…</t>
  </si>
  <si>
    <t>Cathcart</t>
  </si>
  <si>
    <t>…27 GACETA DE MADRID DEL JUEVES 10 DE AGOSTO DE 181;. GRAN BRETAÑA. Londres r$ de Julio. Se han publicado en la gaceta de esta capital varios oficios remitidos ai ministerio por el lord Cathcart y el lord Stewart. ' El i.° es del lord Stewart desde el cuartel general imperial de Manheim de 25 de Junio, y en el refiere los diferentes movimientos hechos poe el mariscal bávaro Wrede, por el conde Langeroh, por los rusos, por el Príncipe Wurtemberg y el…</t>
  </si>
  <si>
    <t>Catheart</t>
  </si>
  <si>
    <t>…con sencillez, fue bien pronto el objeto de la atención general. Estaba acompañado'de lord Stewart y de una señora enmascarada, que sin duda sería la hija de lord Castlereagh ó de lord Catheart. -—Ayer hizo S. E. su primera visita de ceremonia á los Monarcas aliados, y hoy , con uniforme grande de general, ha visitado á los príncipes de la familia imperial. El duque de Holstein Eutin (antiguo rey de Suecia) ha dirigido á la cristiandad un nuevo conv…</t>
  </si>
  <si>
    <t>Caumels, Alejandro</t>
  </si>
  <si>
    <t>Alejandro Caumels</t>
  </si>
  <si>
    <t>…calle ancha del Avapies, núm. 13, esquina á la plazuela, ó en Granada en la imprenta de D. Nicolás Moreno, que dando señas sé le entregará. . .. • v Se desea saber el paradero de D. Alejandro Caumels, alférez del regimiento ín-; fantería del Príncipe, que se hallaba en el reino de Galicia en el año de 1808, para hacerle entrega de varios efectos que le pertenecen. La^persona que sepa de él se servirá noticiarlo al cadete de Reales Guardias de la Persona d…</t>
  </si>
  <si>
    <t>Cavanes, Gregorio Moran y</t>
  </si>
  <si>
    <t>Gregorio Moran y Cavanes</t>
  </si>
  <si>
    <t>…e la Plana á D. Pantaleon Míreos Montesinos: para la de Axpe á D. Josef Vilella y Pastor: para la de Carlet a D. Francisco Ortiz de Cantonat: para la de Gorga y su Valle de Ceta á D. Gregorio Moran y Cavanes: para la de Xerica á D. Josef Cabezas; y á D. Miguel Sanz Aparicio para la de Villalonga, partido de Deriia. , Donativos hechos d S. M. D. Felipe Sánchez y Roiríeu ha ofrecido los préstamos que hizo al egér cito en los sitios de Zaragoza, entre los que hay un…</t>
  </si>
  <si>
    <t>Cavia, Juan de</t>
  </si>
  <si>
    <t>Juan de Cavia</t>
  </si>
  <si>
    <t>…bre..último tuvieron el honor de cumplimentar á S. M.; darle gracias por el restablecimiento de la universidad de Osma, y besar su. Real mano á nombre de esta corporación ei limo. Sr. D. Juan de Cavia, obispo de aquella diócesi, su canciller; D, Manuel Serrano, pres bítero, y D. Pedro García del Valle, individuos de ella, y el último tam bién catedrático de instituciones canónicas de la misma; habiéndole dirigido ei primero el discurso que sigue : „Señor:…</t>
  </si>
  <si>
    <t>Caxide, Josef</t>
  </si>
  <si>
    <t>Josef Caxide</t>
  </si>
  <si>
    <t>…ontevedra al coronel vivo de infantería D. Xavier García Florezj y para el de teniente coronel de la quarta división de granaderos provinciales de Galicia al capitán de infantería D. Josef Caxide. El Rey nuestro Señor se ha servido nombrar coronel del regimiento pro vincial de Ronda á D. Antonio Aviles, teniente coronel agregado al pro pio cuerpo. En atención al mérito y buenos servicios del administrador principal de correos de esta corte D. Francisc…</t>
  </si>
  <si>
    <t>Cayuela, Estéban</t>
  </si>
  <si>
    <t>Estéban Cayuela</t>
  </si>
  <si>
    <t>…tías González, teniente cura de palacio, nombrado anteriormente para una canongía de Orense; y la me dia-ración vacante en la misma iglesia por fallecimiento de D. Estéban Duran á D. Estéban Cayuela, con retención del beneficio de Beceite que obtiene en el arzobispado de Zaragoza. = La ración vacante en la iglesia primada de To ledo por fallecimiento de D; Ignacio Rey Montes á D. Cárlos Gutiérrez; y la-capellanía de coro vacante enla misma iglesia por mu…</t>
  </si>
  <si>
    <t>Ce, José Vicente</t>
  </si>
  <si>
    <t>José Vicente Ce</t>
  </si>
  <si>
    <t>…2 , con motivo. de haber mandado V. E. como Super-i intendente de Real Hacienda, que para subrogar los fiadores que habían, faltado al Mihistro Contador de la Real Caxa de Cimapan D. José Vicente Ce mil, se le descontasen anualmente 400 pesos de su sueldo hasta cubrir las I fianzas, ha resuelto el Rey nuestro Señor que si el expresado Ministro Con tador no ha cubierto ya sus\fia;nzas, se, lleve á efecto hi providencia de sus-*: pensión de empleo que dich…</t>
  </si>
  <si>
    <t>Ce, Salvador</t>
  </si>
  <si>
    <t>Salvador Ce</t>
  </si>
  <si>
    <t>…greda , D. Manuel Jones, D. Joaquin Henriquez, D. Isi dro de Diego, D. Silverio López, D. Francisco de Oña, D.. Francisco Antdhio Líbref ; D. Joaquín MuezVD. Juan Ignacio*Cervera, D. Salvador Ce bollino, D. Ventura Córdoba, D.Í Patricio 5alanueva, D. Pedro de la Torre, D. Miguel Oliver, D. Pascual Menacho, D. Cárlos Teodoro,Gil, D. Claudio Vinuesa, D. Juan Qüirante, D. Josef María Muñdz*, D. Francisco Ocaña, IX Antonio Gayosrí ,. D. Antonio García, D…</t>
  </si>
  <si>
    <t>CebaUo, Pedro</t>
  </si>
  <si>
    <t>Pedro CebaUo</t>
  </si>
  <si>
    <t>…4 del presen te mes i las 12 de la mañana en la audiencia del Sr. D. Joaquín Almazan, tenien te corregidor de esta villa, ante el escribano de su número D. Juan Raya. Respuesta de D. Pedro CebaUo$ y Guerra i la carta y papel que desde París le escribió el marques de Almenara en 27 de Setiembre último. Véndese á 5 rs. en el despacho de la imprenta Real. Su producto es á benefició-de los Reales hospitales General y Pasión de esta corte. Compendio del añ…</t>
  </si>
  <si>
    <t>Cebrian, Josef</t>
  </si>
  <si>
    <t>Josef Cebrian</t>
  </si>
  <si>
    <t>…ózq D. Juan A riña da, Di. Manuel Ortega, D. Rafael, Cor réa, D. -P ed ro Ortega:, Di Josef Vázquez, D. Josef Estrada; D. Ramo» Romero, D. Joaquini Edhevarría; Dv Casimiro Cañedo, D. Josef Cebrian ,;D. Salvador Pa nlagua, D. Josef Saenz dé Viniegra, p. Narciso Gómez.Quintana, D. Ca yetano Pimente! ,:yá los ‘artilleros distinguidos D. Manuel Rodríguez Sote* lo, D. Tomas Saenz y D.í ¡ Josef Riera. V !* ! ^ ' - ■ . ; i -/cS ■' ■ &gt; . • : r.:u v.,* : S. M.…</t>
  </si>
  <si>
    <t>Ceccaldi, Colonña</t>
  </si>
  <si>
    <t>Colonña Ceccaldi</t>
  </si>
  <si>
    <t>…s á las mayores desgracias. „ Mr. Murat, no hallándose seguro en Franda, se refugió á Córcega, don de son sagradas las leyes de la hospitalidad, y encontró un asilo en la casa del señor Colonña Ceccaldi, corregidor de Vescovato, quien aseguró a! go bierno que. su huésped no traía intenciones hostiles, y se hizo responsable de su aserción. „Los oficiales, sargentos y soldados que habian servido bajo las órdenes de Murat cuando era Rey de Nápoles, han pasado d…</t>
  </si>
  <si>
    <t>Cedrón, Manuel Blanco</t>
  </si>
  <si>
    <t>Manuel Blanco Cedrón</t>
  </si>
  <si>
    <t>…manca, vacante por muerte de D. Josef María Pichardo", á D. Francisco María Riesco, inquisidor de corte: para otra canongía de la catedral de Ciudad-Rodrigo, vacante por muerte de D. Manuel Blanco Cedrón , á Don Sebastian Gallardo, racionero de la misma catedral: para esta resulta á D011 Agapito Gallardo: para otra canongía de la catedral de Sigiienza, que re</t>
  </si>
  <si>
    <t>Cembrero, Pedro García</t>
  </si>
  <si>
    <t>Pedro García Cembrero</t>
  </si>
  <si>
    <t>…e resulta vacante á D. Eladio Valdenebro. Para el corregimiento de Illescas ha nombrado S. M. á D. Ramón Añtuñano: para el de Atienza á D. Manuel Gordo Vidal: para el de Coronil á D. Pedro García Cembrero: para el de la Puebla de Alcocer á D. Francisco González Vilches: para el de Palencia á D. Manuel de Villapadierna: para el de Niebla á D. Pedro Tagle Velarde; para el de Pruna á D. Josef María Moscoso y Anaya .* para eTde Zahara á D. Antonio Villareal; para…</t>
  </si>
  <si>
    <t>Ceñal, Juan de</t>
  </si>
  <si>
    <t>Juan de Ceñal</t>
  </si>
  <si>
    <t>…ciudad dé Barcelona, vacante pot muerte de D. Ramón Besart, á D. Juan Gerardo Fosch. = En ia cate dral de.Mondoñedo una canongía, que vacó por muerte de D. Silvestre Ro dríguez, á D. Juan de Ceñal, cura de la parroquial de Sta. María de Pinera, diócesis de Oviedo; y la que obtuvo D. Manuel de la Fuente en la propia cate dral á D. Josef Antonio Díaz Pallarás, canónigo de la colegiata de Iría Flavia. = La canongía vacante en la iglesia catedral de Gerona…</t>
  </si>
  <si>
    <t>Centurión, Manuel</t>
  </si>
  <si>
    <t>Manuel Centurión</t>
  </si>
  <si>
    <t>…a* les egércitos deS. M.D. Henrique Doy le, agregado igualmente á la comi sión, que llevaba el estoque;Mr. Kennedy, también agregadó ála comisión, que llevaba el gorro de plumas ; D. Manuel Centurión, mayordomo de. se mana de S.M., que llevaba el collar ;;el marques de Salas, gentilhombre de cá mara, y mayordomo también de semana , que llevaba íel manto y eloordon; Mr. Kilbee , agregado á la comisión, que llevaba el libro de los estatutos y la placa de la…</t>
  </si>
  <si>
    <t>Cepeda, Domingo</t>
  </si>
  <si>
    <t>Domingo Cepeda</t>
  </si>
  <si>
    <t>…Rodríguez, D. Eusebio Gavilanes, D. Juan Polo, D. Josef Baeza, D; Josef Dávila , D. Francis co Frades., D* Josef Urbiña, D. Antoiiio Valdivieso, D. Juan Sánchez , Don Manuel Laso, D. Domingo Cepeda, D. Mariano Mayor&gt; D*5Juan Bastos,</t>
  </si>
  <si>
    <t>Cerdeña, Carlos Emanuel de</t>
  </si>
  <si>
    <t>Carlos Emanuel de Cerdeña</t>
  </si>
  <si>
    <t>…de S. S. El i.J de Abril había muchos estrangeros en Ploma, y especialmente ingleses, de los cuales algunos sé mar.charon á Ñapóles y otros á Givitavechiá, en donde se mantiene el rey Carlos Emanuel de Cerdeña____Gerónimo Bo ñaparte está en elegércjtq de Murat. ITALIA. Trieste 2 8 de AiriL Los buques apresados por los.corsarios napolitanos, y que fueron condu cidos á Ancona, han,sid,o puestos en.libertad por'ó/deit.de Murat. Cuatro de ellos llegaron aquí el 23 del…</t>
  </si>
  <si>
    <t>Cerezo, Diego Fernandez</t>
  </si>
  <si>
    <t>Diego Fernandez Cerezo</t>
  </si>
  <si>
    <t>…ado. Las limosnas son las siguientes t El Rey nuestro Señor 14635 rs. vn., y por mano del director de sus Reales fábricas de Guadalaxara 212 varas de paño para vestir á las niñas. D. Diego Fernandez Cerezo, canónigo de S. Isidro, 12 fanegas de trigo, para que sirvan especialmente en los dias de S. Juan y de S. Pedro. El Señor Herrera 1® rs. vn. Por la manutención de una niña 40. Un sugeto que no quiere ser nombrado 1®. Otro ídem 6®. La Sra. marquesa de Fuerte*…</t>
  </si>
  <si>
    <t>Cerezo, Francisco Melendez</t>
  </si>
  <si>
    <t>Francisco Melendez Cerezo</t>
  </si>
  <si>
    <t>…scribanía del número de D. Joaquín González •de Castro; en la inteligencia de que de no hacerlo les parará el perjuicio que haya lugar. Se desea saber de Ja existencia ó muerte de D. Francisco Melendez Cerezo, abo gado de los Reales consejos-, natural de la viila de la Mota del Marques, provincia de la ciudad de-Valladolid, que se ausentó de la de Tordesillas en el año de 1809 con dirección al egército. La persona que supiere de él ó tuviese alguna noticia de ■su…</t>
  </si>
  <si>
    <t>Cermain</t>
  </si>
  <si>
    <t>…0 del corriente con el mayor orden y quietud; ha biéndose - hecho muy recomendable en la egecúcion de este decreto la junta encargada del examen de los militares, presidida por el conde Cermain, prefecto del Sena-y-Marne. Dtjon 14 de Octubre. S. A. I. el Archiduque Luis,hermano de S.M. el Emperador de Austria, ha salido de esta ciudad para ir á Londres^ También han marchado los Ar chiduques Fernando de Austria de Este ysu hermano Maximiliano;.ambos…</t>
  </si>
  <si>
    <t>Cerollos, Pedro</t>
  </si>
  <si>
    <t>Pedro Cerollos</t>
  </si>
  <si>
    <t>…presida uno ae ellos el Consejo en mi Real nombre. Tendreíslo entendido , y dispondréis.lo necesario á su cumplimiento. Rubricado de la Real mano. Palacio 31 de Marzo de 1815. = A D. Pedro Cerollos." Circulares del Ministerio dt Hacienda* i.a El Sr. Secretario de Estado del Despacho universal de Gracia y Justi cia con fecha de 24 de Febrero último me dixó lo que sigue: „En 9 del mes presente comuniqué a V. E. la resolución de S. M., por la que, conformá…</t>
  </si>
  <si>
    <t>Ceruelo, Gregorio</t>
  </si>
  <si>
    <t>Gregorio Ceruelo</t>
  </si>
  <si>
    <t>…citadb D. Josef Uraga al arcedianato de Baronceli, á D. Juan Manuel Bedoya: para la dignidad de chantre de la iglesia cate dral de Patencia, que resultará vacante por promoción de D. Gregorio Ceruelo de la Fuente al obispado de Oviedo, á D. Josef Gutierez Ortega, cu ra de la parroquia de S. Nicolás de la ciudad de Valladolid: para otra dig nidad titulada del Salvador eri la propia catedral de Patencia, que resultará vacante por promoción dé D. F.amon Vald…</t>
  </si>
  <si>
    <t>Cerverá, Pedro Juan</t>
  </si>
  <si>
    <t>Pedro Juan Cerverá</t>
  </si>
  <si>
    <t>…rono de Suecia.” &gt;. ( u, , •.&gt;; , ... ^ • ,' , :;&gt; r,..nl ... • .y .y / ESPAÑA. • ;■ .. Madrid 14 de Febrero, ' EJ iuéYés 9 del corriente tuviéronla; honra de presé atar se áS. M.,Don Pedro Juan Cerverá, arcediano de Meáinasidnhb* Bernabé JosiífGjbeza, relator del consejo supremo de la Guerra, comisionados por el i.ustrísimo cabildo de Cádiz para presentar un ex-emplar de la defensa que hizo el último en la célebre causa, formada de orden de la Regencia al e…</t>
  </si>
  <si>
    <t>Cervino, Antonio</t>
  </si>
  <si>
    <t>Antonio Cervino</t>
  </si>
  <si>
    <t>…nongía de la catedral; de Orihuela vacante por fallecimiento de Don Andres;Bayon á D. Bernardo Mafiueco. . La canongía que ha vacado en la metropolitana de Granada por muerte . de D. Antonio Cervino á. D. Alejandro Perez y Romero» cura propio de la colegiata de Osuna. . El arcedianato y canongía vacantes en la colegiata dé Vitoria por falle cimiento de D.-Juan Prudencio de Verástegui á D. Feliciano Josef Áúiz Maumonv '■ •• :: - u* La ración vacante eñ ía…</t>
  </si>
  <si>
    <t>Cervino, Tomas</t>
  </si>
  <si>
    <t>Tomas Cervino</t>
  </si>
  <si>
    <t>…Qiiintario,"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t>
  </si>
  <si>
    <t>Cespon, Ramón</t>
  </si>
  <si>
    <t>Ramón Cespon</t>
  </si>
  <si>
    <t>…ónimo Roxo, del de Cazadores del Rey; D. Cesar Tournel, d¿l Real Cuerpo de Artillería , y D. Gerónimo Alvarez , del de Húsares extinguidos de León: de Teniente á D. Felipe Castro, D. Ramón Cespon, D. Jacinto Arteaga y D. Bernardo de Castro, del Provincial de Santiago; D. Jacobo Pardo y D. Josef Boltorna, del de Tuy; D. Lorenzo Valcarcel y D. Josef Sansiz, del de Lugo; D. Baltasar Valcárcel, del segundo de Asturias; Don Josef Martínez, del de Cazadores…</t>
  </si>
  <si>
    <t>Cevailos, Pedro</t>
  </si>
  <si>
    <t>Pedro Cevailos</t>
  </si>
  <si>
    <t>…es, ha conseguido por fin el dulce placer de ver en algún tanto confirmados sus sinceros deseos, y el que volviendo á tomar el primer secretario de Estado y del despacho el Excmo, Sr. D. Pedro Cevailos á su cargo y baxo su inmediata protección el estudio de clínica central de esta corte creado en 1795, S. M. haya nombrado ya para una de las cátedras que había vacantes en él al médico de su Real familia D. Hilario Torres, sugeto harto conocido por su vasta e…</t>
  </si>
  <si>
    <t>Cevalios, Pedro</t>
  </si>
  <si>
    <t>Pedro Cevalios</t>
  </si>
  <si>
    <t>…vo á quien corresponda que se observen religiosa mente las leyes que prescriben el exámen que debe hacerse de las demas obras que hayan de darse á la prensa. = Está rubricado. = A D. Pedro Cevalios."</t>
  </si>
  <si>
    <t>Cevaliós, Pedro</t>
  </si>
  <si>
    <t>Pedro Cevaliós</t>
  </si>
  <si>
    <t>…según él se le coloque. Tendreislo entendido , y lo comunicareis para su cumplimiento á los demás Ministerios .^Rubricado ae la Real mano.=:En Pa lacio á 31 de Agosto de 1815.5= A D. Pedro Cevaliós.”</t>
  </si>
  <si>
    <t>Cevalíos, Pedro</t>
  </si>
  <si>
    <t>Pedro Cevalíos</t>
  </si>
  <si>
    <t>1227</t>
  </si>
  <si>
    <t>…mi Secretario dé Estado y del despacho de Marina. Tendreislo entendido y lo comunicareis á quién cor responde. = Rubricado de la Real mano en Palacio á 23 de Octubre de 1815 .3 A D. Pedro Cevalíos. Circular del Ministerio de Estado. t Eí Rey , qué dia y noche, se desvela por hacer el bien y prosperidad de sus puéblós','después de dar á la Religión el primero de sus cuidados, no puede dejar de ponerlos en aquellos objetos, que no solo importan por su te…</t>
  </si>
  <si>
    <t>…con la igualdad y justicia que exije el derecho natural y de gentes. Tendreislo entendido y dispondréis lo necesario á su cumplimiento. En S. Lorenzo á 2 de Noviembre ae 1815; = A D. Pedro Cevalios. Circular del Ministerio de Guerra. Al Teniente general D. Nicolás Mahy comunico con esta fecha lo siguiente: „ Enterado el Rey nuestro Señor de las diferentes representaciones que V. E. há dirigido en distintas épocas, quejándose de Ja orden que expidió la R…</t>
  </si>
  <si>
    <t>Cevallos, Cándido Francisco</t>
  </si>
  <si>
    <t>Cándido Francisco Cevallos</t>
  </si>
  <si>
    <t>…ra la de Cinco Villas en Aragón á D. León González del Camino; para la de la vi lla de Monoyar á D. Andrés Soler; para lá de Rivaroja á D. Vicente María López ; para lá de Turis á D. Cándido Francisco Cevallos; para la de Bélgida á D. Simón Perez López; para la de Chelva á D. Josef Morant y Se— arra; para la.de Concentaina á D« Gregorio Amorrich; para la de Elda á ). Francisco Pomares y Seller; para la de Chiva á D. Hilario Josef de Menf doza; para la de Bellinova…</t>
  </si>
  <si>
    <t>Cevallos, Josef</t>
  </si>
  <si>
    <t>Josef Cevallos</t>
  </si>
  <si>
    <t>1339</t>
  </si>
  <si>
    <t>…eben ser fehacientes de los efectos y valores que re presenten, y que estos deben presentarse liquidados, ó cuando esto no sea posible , calculado en metálico su justo importe. El brigadier D. Josef Cevallos, capitán general interino de las provincias de Venezuela, con fecha de 18 de Julio de este año desde Caracas,ha dirigi do al Ministerio universal de la Guerra el oficio siguiente: ,,Excmo. $r.: En parte de esta misma fecha y bajo el número 31 noti cio á V. E.…</t>
  </si>
  <si>
    <t>Cevallos, Juan de Dios</t>
  </si>
  <si>
    <t>Juan de Dios Cevallos</t>
  </si>
  <si>
    <t>…, gobernador militar de ella: para el de Alcalá la Real á D. Francisco Gregorio de Vargas Machuca: para el de Xerez de la Frontera á D. Fernando de Reynoso: para el de Antequera á D. Juan de Dios Cevallos; y para el de Ronda á D. J^ef Gregorio Aragón. Para el corregimiento de letras de Mancha Real á Don Femando Segovia: para el de las Alpujarras del reyno de Granada, su ca-^ pita! Uxijar, á D. Joaquín Castells y de Montaner: para el de Loxa á Don Juan Víctor N…</t>
  </si>
  <si>
    <t>Cevallos, Pedio</t>
  </si>
  <si>
    <t>Pedio Cevallos</t>
  </si>
  <si>
    <t>…istro del Supremo Consejo de dicho ramo. Tendreisto.f entendido, y dispondréis lo necesario á su cumplimiento. = Rubricado de la Real mano, s Palacio 10 de Diciembre de 1815 . = A D. Pedio Cevallos. . z Circulares del Ministerio de Guerra. i.a Cuando el Rey nuestro Señor quiso manifestar su soberana gratitud á la benemérita oficialidad de sus egércitos que constantemente ha consagrado su vida en la carrera de las armas, tuvo á bien crear la Orden Real y…</t>
  </si>
  <si>
    <t>Cevallos, Pedro</t>
  </si>
  <si>
    <t>Pedro Cevallos</t>
  </si>
  <si>
    <t>…del distintivo de órdenes extrangeras. Tendreisio entendido, y dis pondréis lo conveniente á sil cumplimiento. = Rubricado de la Real ruanos JEn Palacio á 6 de Enero de 1815. ss A D. Pedro Cevallos. Circulares del Ministerio de Hacienda» i.4 Conociendo el Rey nuestro Señor la surtía importancia de fomentar el.comercio* y.especialmente la industria popular de la Nación, Jo qual no puede conseguirse sin facilitar á sus amados vasallos los medios de ocupar…</t>
  </si>
  <si>
    <t>…cuy o. cuerpo hizo la campaña de. Portugal del año de 1762., y se halló en la expedición y sangrienta batalla de Argel; pasó á su solicitud á la expe icion mandada por el JExqmo. Sr. D. Pedro Cevallos contra^ el Brasil, facilitando con un reconocimiento sumamente ar riesgado la toma del fuerte ;de Sta. Cruz y sus baterías en la isla de Sama Catalina, de cuyas resoltas se le confirió el gobierno .del . mismo fuerte., que desempeñó hasta la devolución dé la…</t>
  </si>
  <si>
    <t>…que lo ■permita su mucho declive. Habiendo puesto á L. R. P. de nuestro benéfico y deseado Soberano esté proyecto por couducto de su primer secretario de Estado y del despacho el Sr. D. Pedro Cevallos, S. M., qué solo desea el bien y prosperidadjde sus pueblos, y que Tora como perdido el dia que ri,o Ies dispensaalguna gracia* se ha dignado aprobarlo, comisionando y autorizando á su zelosq atitor ra que pase desde luego á sentar jas primeras bases, y propo…</t>
  </si>
  <si>
    <t>…rme á los altos fines que me he propuesto. Tendreislo entendido, y dispondréis lo necesario á spcumplimien to. := Rubricado de la Real mano. = Palacio á 10 de Febrero de 1815. = A D. Pedro Cevallos.” Circular del Ministerio de Guerra. Penetrado el Rey nuestro Señor del distinguido mérito que coutraxo el Quarto Exército del mando del Teniente General D. Manuel Freyre en la sangrienta y gloriosa batalla dada el dia 10 de Abril de 1814 á la vista</t>
  </si>
  <si>
    <t>…antes, haga la aplicación de ellos. Tendreislo entendido, y comunicareis las órdenes y avisos correspondientes.=Rubricado de la Real mano. = En Madrid á 21 de Febrero de 1815. = A D. Pedro Cevallos.” Circular del Ministerio de Hacienda. Por Real decreto expedido en 23 de Junio del año último se sirvió el R ey nuestro Señor anular el de las Cortes generales y extraordinarias de 13 de Setiembre de 1813 , y mandar que desde su publicación quedase sin efect…</t>
  </si>
  <si>
    <t>…jasto aprecio por su acierto en hacer la. Tendreislo entendido, y dispondréis lo necesario á que tenga efecto. = Rubricado de la Real mano.= En Palacio á 17 de Marzo de 1815. = A Don Pedro Cevallos. 1 ) 2° La junta, que por mi decreto de 10 de Febrero último mandé for mar para el restablecimiento y arreglo de los seis colegios mayores de Sala manca , Valladolid y Alcalá de Henares, compuesta del presidente y dos ministros de mi consejo Real y de la cáma…</t>
  </si>
  <si>
    <t>…iati, teniente coronel del regimiento de Asti. ESPAÑA. Tolosa 16 de Abril. Han llegado á esta ciudad sucesivamente dos correos despachados por Bonaparte con pliegos para el Excmo. Sr. D. Pedro Cevallos, primer secre tario de Estado; pero el Capítan general en cumplimiento de las órdenes que tenía no quiso permitirles que continuasen su viage á Madrid, y los mandó salir inmediatamente para Francia. ¿ Madrid % í de Abril. El dia 27 de Noviembre último el cond…</t>
  </si>
  <si>
    <t>…mible escollo de los seminarios. Ultimamente se instruye al pú blico de que el seminario de Vergara estuvo siempre baxo las órdenes é ins pección del ministerio de Estado; pero el Sr. D. Pedro Cevallos, deseoso de procurar lo mas conducente al servicio del Rey y del Estado, y creyen do que por la casualidad de haber sido siete años director del seminario el Sr. ministro universal de Indias tendría los conocimientos prácticos que se requieren para poner aque…</t>
  </si>
  <si>
    <t>…ei Torco pa» la apertura solemne de la cátedra de economía política» Díase' principio al acto leyendo el secretario una Reai orden comunicada en 18 de Abril últi— mo por el Excmo. Sr. D. Pedro Cevallos, primer secretario de Estado, por la cual, conformándose S. M. con lo informado por la sociedad en orden á una solicitud de D. Josef Felipe de Olive, para, que se trasladase á esta cor te la cátedra de economía política embleíckbt y i desempeñada por éí nmmo…</t>
  </si>
  <si>
    <t>…os 7 de Julio de 181 j.'zzClausel.” ESPAÑA. Madrid 14 de Julia. El enviado y ministro plenipotenciario de S. M. I. el Emperador de Ru sia. en esta corte ha entregado al Escmo. Sr.-D. Pedro Cevallos, primer se cretario de Estado y del Despacho, el siguiente listado del egército que marcha d las órdenes del mariscal Barclay de TollL Tercer cuerpo, general en gefe el teniente general Dokloroff._— 7.3 divi sión de infantería, teniente general Kapzeuiteh___…</t>
  </si>
  <si>
    <t>…meridad de la empresa , pues no bien había empezado á arder el fuego de la insurrección, cuando se ha conseguido sofocarle, como consta de los oficios adjuntos dirigidos al Escmo. Sr. D. Pedro Cevallos. i.° ,, Escmo. Sr.: Lleno de gozo, y á la vista del tumulto que grita la victo ria de su Rey y de la justicia, despacho al dador ganando horas con la agra dable noticia de que se ha concluido felizmente la escena horrorosa que á este pueblo el mas leal prepar…</t>
  </si>
  <si>
    <t>…nta sin nin gún género de follage. Tendreislo entendido, y dispondréis se publique para su debido cumplimiento.zrRubricado de la Real mano. =Palacio á 24 de Se tiembre de 1815.=:A D. Pedro Cevallos. ElCapitan general del reino de Galicia D. Felipe Saint-Marcq dice entre otras cosas al,Sr. Secretario de Estado y del despacito de la Guerra con fecha 23 de este mes lo siguiente: „A las nueve de la mañana de hoy han abandonado precipitada y ver gonzosamente…</t>
  </si>
  <si>
    <t>…cuerpo patriótico con la madurez y tino correspondiente á la reunión de luces que posee, y eleva do luego á la consideración de S. M. por su primer Secretario de Estado el Escmo. Sr. D. Pedro Cevallos, obtuvo la Real aprobación, y S. M. se dignó mandar en consecuencia se pusiese inmediatamente en' práctica, y fuese el que en lo sucesivo haya de servir de norma á los profesores elegidos para el desempeño de dichas cátedras. Mas como las intenciones de S. M.…</t>
  </si>
  <si>
    <t>…uarde á V. muchos años. Madrid 9 de Octubre de 181*5. El Capitán general de Galicia ha dado cuenta al Rey nuestro Señor con fecha de 3 del corriente, y por conducto del Excmo. $r. D. Pedro Cevallos, de háberse egecutado en aquel dia la sentencia pronunciada en consejo de guerra dé pena ordinaria de horca en el sedicioso^D.'Juán Díaz Porlier., la que sufrid en castigo de su atroz delito de rebelión, y dé la inaudita y alta perfidia cón que intentó subver…</t>
  </si>
  <si>
    <t>…eto, á fin de que á la mayor brevedad se emprenda una ^&gt;bra que á i* vez reclaman la&gt;religión y ¡el estado. =s Rubricado de la Reai mánó¿=En Palacio á íp de Noviembre de 1815. = A D. Pedro Cevallos. 1 Circular del Ministerio de Hacienda de España k Queriendo el Rey determinar reglas fijas y acomodadas á las actuales circunstancias del ÍEstado sobre id ealidad y cantidad de fianzas que deben prestar los empleados en la Real Hacienda, y también sobre el p…</t>
  </si>
  <si>
    <t>…Andrés de Herrasti. = Por mandado deS. Jaime Morillo, escribano- = Registrado.=Lugar del sepilo.” Madrid 2$ de Noviembre. ARTICÚid DE OFICIO. Circular del Consejo Real. El Exétno. Sr. D. Pedro Cevallos,. primer Secretario de Estado y del Despacho» comunicó al Consejo por medio del Excmo, Sr. Duque del Infan tado, Presidente de él, la Real orden siguiente: Excmo. Sr.: Los Superiores de las cuatro religiones Redentoras han repre sentado á S. M. que siendo pec…</t>
  </si>
  <si>
    <t>…cis co el Grande, á la que pasó en gran ceremonia desde la pieza que le estaba destinada para vestirse el manto, é hicieron su profesión en la forma estable cida los Excmos. Sres. D. Pedro Cevallos, D. Ignacio de Alava, inquisidor ¿eneral, Duque de Alagon , Conde de Torre jon \ y Marques de Sta. Cruz* caballeros novicios Grandes Cruces de la Orden. .Sucesivamente se cantó upa</t>
  </si>
  <si>
    <t>…s conforme sobre ei particular, y entre tanto publica reis este mi Real decreto, y me propondréis^las ideas que os parezcan mas convenientes. En Aranjuez á 22 de Marzo de 1808.= A D. Pedro Cevallos.” „Y de Real orden lo traslado á*V. S. I. para la noticia del Consejo, y á fin de que lo mande publicar.” Y en 2 de Abril del mismo ano de 1808 dirigió el referido Excmo. Señor D. Pedro Cevallos al Excmo. Sr. Duque del Infantado , Presidente del Con sejo, el…</t>
  </si>
  <si>
    <t>Cevallos, Pedro de</t>
  </si>
  <si>
    <t>Pedro de Cevallos</t>
  </si>
  <si>
    <t>1094</t>
  </si>
  <si>
    <t>…ste empleo, según lo disfrutan los de mas de su clase.Terídreislo entendido, y lo comunicareis á quien corresponda. Palacio iS de Setiembre de 1815. = Rubricado de la Real mano.=A Don Pedro de Cevallos.” ’ Circular del Consejo Re ah La Sala del Crimen de la Real Audiencia de Estremadurá hizo presente á $. M. que con motivo de haberse advertido que en la causa que se sigue contra varios sugetos sobre adhesión á las nuevas instituciones había omitido el Comis…</t>
  </si>
  <si>
    <t>Cevallos.’, Pedro</t>
  </si>
  <si>
    <t>Pedro Cevallos.’</t>
  </si>
  <si>
    <t>…egún ¡ las eircun$/r tandas lo exijan. Teiidreislo entendido, y dispondréis lo .necesario 4 su cumf ;plimiento. s Rubricado de la Real mano.cz Palacio á 3 de Febrero de t8i¿. s=rA Don Pedro Cevallos.’* ; J . Circular del Consejo Real. ’* V«.J • -i. ’.'.h - •- '• ; * •; v • •" ■ * / / ' S’ . . • ' ¿. " ' ‘ ■ i * . Cop esta fecha comunico 4 los Generales y Vicarios generales de las Or denes, Religiosas de orden del Consejo la siguiente:: . ,„Con Techa 29 de…</t>
  </si>
  <si>
    <t>CévaUbs, Pedro</t>
  </si>
  <si>
    <t>Pedro CévaUbs</t>
  </si>
  <si>
    <t>…4, Temen te General dfe los Reales Exércitos.Tendreislo: en-' tendido , y dispondréis lo necesario á su cumplimiént6.í Señárado’ délaReal' mano. Palacio á 25 de Marzo dé 1815. = A D. Pedro CévaUbs¿*^ C ; ^ 5i.0í ,, Desde él instante en que la divina Providencia mérestiíuyó al trono dé^faiv madores, enxugando las lagrimáis í:que mis fieléa y amados vásallói dérram: banrpor mi pérdida liberíád * deseoso décÓrresjjtqfidér á su 'aitióf y*fi—" délidñd const…</t>
  </si>
  <si>
    <t>Cevaüos, Pedro</t>
  </si>
  <si>
    <t>Pedro Cevaüos</t>
  </si>
  <si>
    <t>…an cia , no se volvió á pensar en él hasta que en él. año de 1802 , á solicitud de la Real sociedad Aragonesa, y siendo primer secretario de Estado y del des pacho universal elSr. D. Pedro Cevaüos, se suscitó de nuevo el pensamien-: to, y se mandó que los arquitectos académicos de Ja dé Zaragoza , Inchauste y Rocha formasen los planes, proyectos, nivelaciones , y cálculo de la obra, y diesen cuenta al ministerio de sus resultados para resolver lo mas c…</t>
  </si>
  <si>
    <t>Ceyallps, Pedro</t>
  </si>
  <si>
    <t>Pedro Ceyallps</t>
  </si>
  <si>
    <t>…miento. Tendreislo entendido, y dispondréis lo necesario á que tenga efecto esta mi benéfica determinación. r= Rubricado. de la Real mano. = Palacio á 17 de Diciembre de 1815. =5A D. Pedro Ceyallps.” ? Real cédula de S. ,M. y Señores del Consejo. \ D. Fernando vii por la gracia de Dios, Rey de Castilla, de León , de Aragón &amp;c. &amp;c. A los del mi Consejo, Presidentes;, Regentes &amp;c., sabed: Que en 21 de Noviembre próximo tuve á bien dirigir al Duque Preside…</t>
  </si>
  <si>
    <t>Chacón, Antonio</t>
  </si>
  <si>
    <t>Antonio Chacón</t>
  </si>
  <si>
    <t>…Francisco Gómez Valbüena, á D. Benito Lobato y Ca4 balleró, canónigo magistral de la de Coria: para la dignidad de chantre dé la iglesia catedral de Zamora ¿vacante por muerte de D. Antonio Chacón , á Pedro Tíbiircio Gútiérrejí, Conservándole los honores de oidor de la Reíd fcbanfeiflería dé Valkdólid: para la dignidad de prior de Acoba- ycanongía de la iglesia catedral de Lugo, que resultan vacantes por promoción de Don Manuel Fernandez Várela át dean…</t>
  </si>
  <si>
    <t>Chacón, Juana</t>
  </si>
  <si>
    <t>Juana Chacón</t>
  </si>
  <si>
    <t>…e se ausentó de la de Tordesillas en el año de 1809 con dirección al egército. La persona que supiere de él ó tuviese alguna noticia de ■su paradero tendrá la bondad de avisarlo á Doña Juana Chacón, su muger, vecina de dicha villa de fordesilias, ó á D. Teiesforo Chacón, secretario del número y ayuntamiento de la de Torrelobaton .y su jurisdicción. En la villa de Dríebes, provincia de Madrid en la Alcarria, nueve leguas de distancia de esta capital, y u…</t>
  </si>
  <si>
    <t>Chacón, Teiesforo</t>
  </si>
  <si>
    <t>Teiesforo Chacón</t>
  </si>
  <si>
    <t>…ército. La persona que supiere de él ó tuviese alguna noticia de ■su paradero tendrá la bondad de avisarlo á Doña Juana Chacón, su muger, vecina de dicha villa de fordesilias, ó á D. Teiesforo Chacón, secretario del número y ayuntamiento de la de Torrelobaton .y su jurisdicción. En la villa de Dríebes, provincia de Madrid en la Alcarria, nueve leguas de distancia de esta capital, y una de Estremera y de Mondejar, y de 60 vecinos, se halla vacante el parti…</t>
  </si>
  <si>
    <t>Chamasson</t>
  </si>
  <si>
    <t>…de que este depósito de la riqueza délos particulares será religiosamente respetado. FRANCIA. Lorien i ij de Febrero. Ha entrado en este puerto la urca la Egipcia, mandada por el caballero Chamasson, conduciendo á bordo á los prisioneros franceses que se hallaban en las islas Canarias. Estos prisioneros vienen muy agradecidos de aquellos habitantes y de los empleados, que durante su mansión en aquellas islas Ies han manifestado que habían olvidado los mo…</t>
  </si>
  <si>
    <t>Chamorro, Miguel López</t>
  </si>
  <si>
    <t>Miguel López Chamorro</t>
  </si>
  <si>
    <t>…nobleza y pueblo, fue conducido el Real retrato á la capilla de la propia universidad, éir qufe'prdhuncló una oración retórica en latín análoga á las circunstancias dél dia el Br. D. Miguel López Chamorro, alumno de la universidad, Eñ se guida cantóla misa el Sr. canciller y abad mayor de la insigne iglesia cole-r gial de dicha villa el Dr. D. Luis María Esquivel, y acabada se cantó un so lemne Te Deum. A continuación volvió á tomar el retrato el Dr.D. Juan Ne…</t>
  </si>
  <si>
    <t>Chamorro, Pablo</t>
  </si>
  <si>
    <t>Pablo Chamorro</t>
  </si>
  <si>
    <t>…Cambil, D. Vicente. Dolz , D. Manuel Fernandez , D. Rafael Montemayor, D. Ga briel Villoría, D, Diego Latorre, D. Pedro Vidal, D. Antonio Rey, D. Pe dro Áhnabai, D. Manuel Lomar, D. Pablo Chamorro , :D, Josef Ckuñer. DvJosefGucrra, D. Juan Sevillano , H. Josef Fonseca, D. Sancho Estrada, ¡BJosefSoler , D. Diego Delgado* D* Rafael Vargas, D. Josef Llanzo, Don Josfef Astraudi ,.D. Juan de Sotomáy or, D. Cayetano Perez Dávila, D. Ma nuel Drapie, D. Antoni…</t>
  </si>
  <si>
    <t>Charaochin, Antonio</t>
  </si>
  <si>
    <t>Antonio Charaochin</t>
  </si>
  <si>
    <t>…o de 1815. = A D. Luis María de Salazar. ‘El Rey se ha servido nombrar para la vara de alcalde mayor de la ciu dad di Huesca á D. Josef Antonio Generes: para la de la de Manresa á D. Antonio Charaochin: para la de Puigcerdá á D. Nicolás Lnendia: para</t>
  </si>
  <si>
    <t>Chasco, Lorenzo</t>
  </si>
  <si>
    <t>Lorenzo Chasco</t>
  </si>
  <si>
    <t>…deshizo este cuerpo, y desde.entonces ño se ha Vuelto á saber dé, él. Se suplica al que sepa de él lo avise á D. Antonio Clemente Bahámónde en Árahda de Duero. 1 Se desea saber de D. Lorenzo Chasco, natural de está corte,’ adonde se retiró Hace Un año desde la Ivla de Leóní*1 La persona que supiere de él‘ se servirá avisarlo en esta córte á D* Ventura Garclntórená en la callé del Lobo, núm. 16, quarto ;éntrésueló¡ ’’ • : :T ' • * \ Se desea saber si exi…</t>
  </si>
  <si>
    <t>Chavarrpcha, Antonio</t>
  </si>
  <si>
    <t>Antonio Chavarrpcha</t>
  </si>
  <si>
    <t>74 instancia de D. Antonio Chavarrpcha , Alférez del .Regimiento de Drago nes del Rey , en que solicitaba se íe&lt; auxiliase con algunas pagas á cuenta de las que ha devengado durante ha estado prisionero en Francia» ha teni do á bien S. M. mandar que mediante á que, como todos los prisioneros, ha r…</t>
  </si>
  <si>
    <t>Cheli, Domingo</t>
  </si>
  <si>
    <t>Domingo Cheli</t>
  </si>
  <si>
    <t>…s Viü&amp;padierna^ D- Bernabé Arjranz^ D* Juair derMetidie^í.1^. Aatóriioíde Castro y Tovar, D. Josef 01mo,D. Juan de Arcos ,D.Pedro Recaudo!,pon Miguel Rabe, D. Antonio Josef Royo , D. Domingo Cheli y D. Cenon Gar cía: á los capitanes marques dé A-yerve , D. Josef Rubio ¡ B. Aníbal Chela, D. Antonio Melgarejo, D. Miguel María Campero, D. Baltasar Belmohte, D. Manuel Mendoza, D. Manuel de Reina; D. Josef Navarro, D. Miguel Mauduit, D. Francisco Rico., D. Ramón de Tuertó…</t>
  </si>
  <si>
    <t>Chepieff</t>
  </si>
  <si>
    <t>…a división de infanteríai teniente general Esfen/^—i 9.a rdivision id., mayor general' Oudom. ___io,a división id., teniente general Lieven. _ 2.a división de húsares, te-* diente general Chepieff. — Ciento veinte piezas de artillería. Este cuerpo, igualmente que el cuarto, forman la izquierda del egército, y marchan por Nuremberg:sobre Maouheim. . ; La reservada CormaniaiSégu^da divisioniidev granaderos al mando del te niente general Laskewitz. 3.a di…</t>
  </si>
  <si>
    <t>Cherif, Josef María</t>
  </si>
  <si>
    <t>Josef María Cherif</t>
  </si>
  <si>
    <t>…e Julio de 1815. S. M. se ha servido nombrar para tres plazas de alcaldes del crimen de Ja audiencia de Cataluña á D. Fermín Fernandez de la Cuenta, á D. Pablo Jover y Placies y á D. Josef María Cherif; y para la de fiscal del crimen jen comisión de-la iftisma audiencia á D/Ignacio María Higueras, catedrático •de leyes de partida de la universidad de Sevilla, y abogado del colegio de dicha ciudad. • ' Nota de los prelados, cabildos, ciudades y otras corpora…</t>
  </si>
  <si>
    <t>Chin, Antonio Jesús de</t>
  </si>
  <si>
    <t>Antonio Jesús de Chin</t>
  </si>
  <si>
    <t>…nuestro Señor se ha servido nombrar Coroneles de los regimien tos provinciales de Jerez, Ciudad-Rodrigo, Laredo, Santiago, Tuy, Bu jalance , Cuenca y Monterey, á los de infantería D. Antonio Jesús de Chin chilla, D. Pedro de Prado, D. Francisco del Aguila, D. Felipe Muñoz, D. Andrés Arroyo, D. Angel Alvarez Sotomayor, D. Pedro Angel Marcó del Pont y D. Heradio Alaiz. Y para igual empleo del regimiento provincial de Betanzos al Teniente coronel agregado al mism…</t>
  </si>
  <si>
    <t>Chocano, Antonio</t>
  </si>
  <si>
    <t>Antonio Chocano</t>
  </si>
  <si>
    <t>…ulo de Defensa de la religión cristiana. La presente es un tomo en 4.0, y se vende en el despacho de la imprenta Real á 2 1 rs. á la rústica y 26 en pasta. El profesor de guitarra D. Antonio Chocano, habiendo logrado reunir todo lo mejor que se ha escrito á solo y concertante por los autores mas célebres con arre glo á este instrumento, asi como también de música vocal, como son seguidillas, canciones patrióticas, cabatinas, arias italianas &amp;c., ha resue…</t>
  </si>
  <si>
    <t>Choya, Pedro Nolasco Josef de</t>
  </si>
  <si>
    <t>Pedro Nolasco Josef de Choya</t>
  </si>
  <si>
    <t>…real mensual cada discípulo de cartilla, dos los de leer, tres los de escribir y contar, y otras adealas. Los pretendientes dirigirán sus memoriales y muestras, franco de porte, á D. Pedro Nolasco Josef de Choya, escribano de ayun tamiento de dicha villa, quien los admitirá hasta a 5 de Diciembre próximo, y avi sará al agraciado. ! Se abre subscripción á la obra intitulada Vida de Joaquín Murat, y relación de los acontecimientos políticos y militares que le han preci…</t>
  </si>
  <si>
    <t>Chue, Josef</t>
  </si>
  <si>
    <t>Josef Chue</t>
  </si>
  <si>
    <t>…admirable Ascensión del Ser flor y i la hora de nona: contiene-una sucinta idea de esta festividad; la nona y mita trfducida, y algunas reflexione* sobre el evangelio: por el Dr. D. Josef Chue ca y Mezquita: un tomo en 8.° á 6 rs. en pasta. = La Tauromaquia ó arte de to rear: obra útilísima para los toreros de profesión, para los aficionados, y toda cla se jle personas que gusten de toros : su autor Josef Delgado (alias Hiilo) : un tomo en 4.0 con…</t>
  </si>
  <si>
    <t>Ciaran, Juan Bautista</t>
  </si>
  <si>
    <t>Juan Bautista Ciaran</t>
  </si>
  <si>
    <t>488</t>
  </si>
  <si>
    <t>…a justicia hasta 30 de Junio próximo: las cartas se diri gen por Vitoria ó Mondragon. Se hace saber á los herederos del difunto conde de Sta. Ana de Izaguirre, y 3 los albaceas de D. Juan Bautista Ciaran que tuviesen acción mas directa á los asun tos que dexó pendientes el citado conde, se presenten á deducirla con la compe tente justificación , ó en Cádiz á la casa de Aguado y Guruzeta, ó en Guayaquil en la de D. Bernardo Roca; pues habiendo fallecido D. Ant…</t>
  </si>
  <si>
    <t>Cid, Segundó García</t>
  </si>
  <si>
    <t>Segundó García Cid</t>
  </si>
  <si>
    <t>…a ciudad de los Reyes, reino del Perú, en 14 y 18 de Marzo de 1616; á fin de que en el término de 20 dias comparezcan en dfehb supremo tribunal y escribanía de cámara del cargo de D. Segundó García Cid, por donde se siguen autos, á usar del derecho que les asista. \ Se halla vacante el partido de médico de la villa de Peñafiel, en la provincia de Valiadolid: su renta anual son 89 rs. en dinero efectivo, cobrados y pagados en , tercios por la justicia; 300 r…</t>
  </si>
  <si>
    <t>Cid, Segundo- García</t>
  </si>
  <si>
    <t>Segundo- García Cid</t>
  </si>
  <si>
    <t>…........................................................................ ...................— ■ -- ■ ------------- ----------- • ■ ■■■ — ■■ Én el consejo y escribanía de cámara de D. Segundo- García Cid se ha formado expediente á instancia del señor marques de Villafranca, duque de Medinasidonfa, sobre que no se le impida con ningún motivó ni pretexto el libre uso de las casas, charcas, torres, almacenes y demas edificios y artefactos que le pertenecen en vi…</t>
  </si>
  <si>
    <t>Cidron, Antonio</t>
  </si>
  <si>
    <t>Antonio Cidron</t>
  </si>
  <si>
    <t>…Carreño, D. Matias Case ro, D. Manuel Bénjumeda * D. Gerónimo Muñoz, D. Sisto Fajardo, D. Ma-„ miel Fernandez 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 Oña, D.. Francisco Antdhio Líbref…</t>
  </si>
  <si>
    <t>Cienfuegos, Josef</t>
  </si>
  <si>
    <t>Josef Cienfuegos</t>
  </si>
  <si>
    <t>…éndole la cesión de una canongía con que anteriormen te habia sido agraciado en la catedral de Badajoz. En poder del capitán ayudante de estado mayor del egército de la iz quierda D. Josef Cienfuegos existen los despachos y demas papeles del te niente coronel y ayudante segundo del antiguo estado mayor D. Josef Mar tin de Ortega, muerto en la gloriosa batalla de Tolosa en Francia, ocurrida el 10 de Abril de 1814. Si alguno fuere interesado en dichos papel…</t>
  </si>
  <si>
    <t>Cifuentes, Isidro</t>
  </si>
  <si>
    <t>Isidro Cifuentes</t>
  </si>
  <si>
    <t>7X9 Josef Saavedra , D. Maimel del Barrio, D. Bartblómd Labrador, D. Raimun do Marín, D. Josef Fernandez de los Muros, D. Fernando Plaza, D. Isidro Cifuentes, O. Antonio Montesinos, D. Lorenzo García, D. Miguel1 Blanco* D. Francisco Sancha, D.-AntonioEstevezyD; Ildefonso Mansilla, D. Gre-f gOrio Pieoir, D. Cristóbal Bermejo ,D. Francisco López, D. Francisco Arahuetes i D. Joaquín Escorriguela, D. Francisco Biatela…</t>
  </si>
  <si>
    <t>Cilla, Ignacia Obeno de</t>
  </si>
  <si>
    <t>Ignacia Obeno de Cilla</t>
  </si>
  <si>
    <t>…yal y Poveda, que le obtenía, al obispado de Calahorra. El Rey nuestro Señor se ha servido admitir la cesión que por impulsos del mas respetuoso amor á su Real Persona le ha hecho Doña Ignacia Obeno de Cilla, vecina de Guisona ,de 3©i$ rs. vn. vencidos por una pensión que tiene de40 rs. mensuales sobre la tesorería de reatas de Barcelona, y de Jas demas cantidades que venza durante la vida de su hijo, que se obliga á man tenery en su virtud ha mandado S. M. que s…</t>
  </si>
  <si>
    <t>Cincúnegui, Antonio Ventura</t>
  </si>
  <si>
    <t>Antonio Ventura Cincúnegui</t>
  </si>
  <si>
    <t>…D. Rafael Legpbien, D. Miguel Roldan , D, Rafael Aristegui y Don Josef Estrada. - Grado de. intendente de marina á los comisarios ordenadores D, Domingo CarruagatovD; Juan Nieto y D. Antonio Ventura Cincúnegui. 1 Gradó; de. comisarios de marina ordenadores á lps de guerra D. Antonio Camilo de Valencia y D. Francisco Paula Bermudez. •, s Obeion al sueldo. de i $0 escudos á los comisarios de guerra de 100 Don</t>
  </si>
  <si>
    <t>Cini, Antonio Caro y</t>
  </si>
  <si>
    <t>Antonio Caro y Cini</t>
  </si>
  <si>
    <t>…Cornago ; para la de las villas de Onil, Castalia y Tibi á D. Benito Dieguez. Igualmente se ha servido S. M. reponer en la vara de alcalde mayor segundo de la ciudad de Zaragoza á D. Antonio Caro y Cini. Nota de las ofertas que han hecho al Rey nuestro Señor, y S. M. se ha dignado aceptar. D. Santiago Diez Rodríguez, beneficiado rector de Martiaeo , 417635 rs. vn. que importan los suministros que ha hecho para la subsistencia de los egércitos : D. Miguel Vil…</t>
  </si>
  <si>
    <t>Cirer, Matías</t>
  </si>
  <si>
    <t>Matías Cirer</t>
  </si>
  <si>
    <t>…aquín Huerta , D. Francisco de Paula Moreno, D. Mariano Millar, D. Juan Eira, D. Antonio Castaño, D. Josef Ferraz , D. Francisco Arroyo, D. Raimundo * Carbonell , D.'Rafael Amandi,D. Matías Cirer , D. Andrés Ramos, D. Jo sef Ibardó, H; Gabriel Calabaza Casimiro Quesada^D.** Josef Arcos, Don Fermín Moza, DPAnjgel Villa, JL Florentino García., D. Rafael Alcalde, D, Ambrosio Doz, D. Vicente Guisber, D. Mariano Rodríguez, D. Eusebio Gavilanes, D. Juan Pol…</t>
  </si>
  <si>
    <t>Cirios</t>
  </si>
  <si>
    <t>…Guadalquivir; que se abriese el canal de Ciezar en el reyno de Murcia provectado de antemano', dando el encargo de su execra ción á. sus augustos germano y Tio los Sres. Infantes D. Cirios y D. Anto*. nio; ha decretado por Real orden de 10 de Diciembre ultimo que se con tinúenlos planes y nivelaciones pendientes ia' guerra había interrumoi*» do para llevar á c«b &gt; la importantísima ebra-del canal de Tamarite de .Li tera en el reyno de-Aragón. , Entre qua…</t>
  </si>
  <si>
    <t>…bellas artes de la ciudad dé Tarragona* cuyo* rápidos progresos había interceptado la última guerra, se complace en mitarse rastfo(eeida al impulso del zelo del mariscal de campo D. Cirios deEs¿ paña , gobernador militar y político de ,esta plazá, :y. de. los demás señores y.ocáIe.S;!que componen su ilustré"junta,-que sensibleJLJa pérdida *de los -iñdividuos-qiie 'trabajaron gloriosamenteu en un establecimiento tan recomendable, ha: procurado s…</t>
  </si>
  <si>
    <t>Ciscar, Francisco</t>
  </si>
  <si>
    <t>Francisco Ciscar</t>
  </si>
  <si>
    <t>…Castañeda» D. Juan Francisco Püi¿t D. Ramon Hcrrera yíCfüzat, D. Francisco Millau, D. Vicente Fran cisco1 de ¡Voz , Martin Francisco Triarte, D. Josef Sartorio, D. Diego Bu trón, D. Francisco Ciscar, D. Josef Mollinedo, D. Fermín Esterripa y D. Francisco de Paula Osorio. -Ascenso á capitanes de navio áTos de fragata D. Francisco Man¡on, Don Faustino Gnimii,: D. Rafael• Lobo, D. Pedro Acevedo, D. Juan de Vargas Lana, D. Jacinto Rotnarate,: ¡ DJ Eduardo Br…</t>
  </si>
  <si>
    <t>Cisne, Juan Sánchez</t>
  </si>
  <si>
    <t>Juan Sánchez Cisne</t>
  </si>
  <si>
    <t>…, frente á la Real casa de Postas , á 85 rs. ea pasta y 65 en rustica. Se venden sueitos los tomos 4.0 y 5.0 Ideas sueltas sobre la ciencia militar, por el brigadier de infantería D. Juan Sánchez Cisne/os, coronel agregado al regimiento de Málaga, individuo de méri to de varios cuerpos científicos de Europa en la clase de ciencias físicas y natura les, y dos veces benemérito de la patria en grado heroyco y eminente. Se hallara en esta corte en la_librería d…</t>
  </si>
  <si>
    <t>Cistieros, Lorenzo</t>
  </si>
  <si>
    <t>Lorenzo Cistieros</t>
  </si>
  <si>
    <t>…a los puertos de España; y para la utilidad de los que puedan ser nombrados para tales encargos en lo sucesi vo* asi como también la de qualesquiera vasalla holandés, el expresado Don Lorenzo Cistieros avisa que vive en Madrid en la calle de Toiedo» esquina á la Imperial, casa del conde Humanes» nñm. 9» quarto segundo.</t>
  </si>
  <si>
    <t>Ciudad-Rodrigo, Duque de</t>
  </si>
  <si>
    <t>Duque de Ciudad-Rodrigo</t>
  </si>
  <si>
    <t>de Tolosá de Francia , baxó las órdenes y sabia dirección del Señor Duque de Ciudad-Rodrigo , Capitán General de los Reales Exércitos, y en Gefe de los de operaciones; y queriendo S. M. por lo muy satisfecho que está del valor y disciplina con que obraron las bizarras tropas de dicho Quarto Exército, tanto en aquella memorable jornada, quanto durant…</t>
  </si>
  <si>
    <t>Clancarry</t>
  </si>
  <si>
    <t>…comisión encargada de examinar, la población, real de. las. provincias que pierde la Erusia, y la de los paísesque.FeEjjMrá eo jnd^mJoi^pioOrJE^ta combi.Qn se reunirá en casa del lord Clancarry , ministro de Inglaterra cerca de ia corte de Rusia;, y los consejemos de. Estado Hcfmanny Jordans serán, individuos de; ella por parte de ’lá Prustín v * Si. se. tiene la diqfaa: de&gt;consei;var3 la *,se ¿puedé,asegurar que no tar dará en. establecerse; nn sis…</t>
  </si>
  <si>
    <t>Clancarty</t>
  </si>
  <si>
    <t>170</t>
  </si>
  <si>
    <t>…á las macos de esta potencia, y el n fluxo benéfico de las dos potencias llamadas á ejercerlo sobre Alemania se perdería enteramente?' Los individuos de la comisión que preside el lord Clancarty, á la que asiste también un ministro de Francia para averiguar la población de la prusia antes de la batalla de Jena, han tenido disputas muy acaloradas en estas últimas sesiones. H*n vuelto á abrirse las conferencias sobre los asuntos de Alemania, y en ellas…</t>
  </si>
  <si>
    <t>…mitiese á Viéna las cartas que V. E. me remitió para inteligencia de los Soberanos alia dos y de los plenipotenciarios reunidos allí. Tengo la honra &amp;.ce=.Castíereagk.'’ Carta del conde Clancarty al vizconde Castlereagh. Milord: en virtud del oficio de V. E., núm. 3 y de los diferentes documentos que te nia adjuntos en que venia la propuesta hecha por el actual gobierno de Francia* y la respuesta de V. K.. tenso el honor de participarle, para que info…</t>
  </si>
  <si>
    <t>…o tiene relación con la confederación germánica, pues solo se de duce á la repartición de las provincias de Alemania, de cuya suerte no se ha decidido aun. El barón de Anstetten y lord Clancarty asistirán á éstas Negociaciones en nombre eje la Rusia y de la Inglaterra, que se presentan co mo mediadoras. Todos los dias llegan nuevos ministros, y se espera que se abran pronto las .conferencias preliminares. BAVIERÁ. Nuremberg 3 de Diciembre. • El Conde…</t>
  </si>
  <si>
    <t>Clark, Juan</t>
  </si>
  <si>
    <t>Juan Clark</t>
  </si>
  <si>
    <t>…ados de provinciales á los individuos de la citada milicia que ¿ continua ción se expresan: de Capitanes á D. Bernardo Seguy, D. Jorge Flemingg y D. Pedro Corifac¡o:de tenientes á D. Juan Clark y D. Juan O-Reylly; de subtenientes á D Gerónimo Alvarez y D. Joaquín Sánchez. En consideración á los buenos servicios de D. Luis Clonet, comandante del cuerpo reglado de voluntarios del Mississipi» se ha dignado S. M. pro moverlo á teniente coronel de infantería. ’ El Rey nues…</t>
  </si>
  <si>
    <t>Clau</t>
  </si>
  <si>
    <t>…medidas por grandes, y extraordinarias que sean basten á desvanecer el temor en que yiven día y noche los empleados y las tropas de Napoleón, pues el mismo comandante de ellas, el general Clau^el, se ve obligado á abandonar por las noches su alojamiento, y refugiarse en alguno dedos quarteles. • JÉn Ba &gt; ona el descontento no ha llegado á tanto ; pero se ha explicado lo suficiente para conocer que no están aquellos habitantes contentos ni dis puest…</t>
  </si>
  <si>
    <t>…mayor, Aquilino Es cudero. En virtud de providencia del Sr. D. León de la Cámara Cano, dei consejo de S. "M., teniente primero de corregidor efe esta heroica villa , refrendada de D. Clau dio Sanz, escribano del numero, su fecha’ 1 2 del corriente, se hace saber á todos los acreedores de la testamentaría del Exorno. Sr. D. Manuel Miguel OsonV, 'mar ques que fue de Alcañices, que no han acudido todavía, á liquidar los créditos que</t>
  </si>
  <si>
    <t>Clausel</t>
  </si>
  <si>
    <t>…abló al general Excelmans, que marchaba hacia la columna que seguía muy inmediata á Luis Estanislao Xavier;cuando habló al general conde de Erlon , que debía recibirle en Lila; al general Clausel, que iba a Burdeos, donde se hallaba la duquesa de Angulema ; al general Grouchy, que marchaba á apaciguar las turbulencias civiles excitadas por el duque de An gulema ; en todas partes en fin ha dado órdenes S. M. el Emperador para que tus personas fuesen re…</t>
  </si>
  <si>
    <t>Clemen-de-Ris</t>
  </si>
  <si>
    <t>…nidad de par de Francia á los sugetossiguientes, que no tuvieron in conveniente en hacer parte, de lá cámara de los; Pares en tiempo del usurpa dor, desdé 20 de Marzo último..__El conde Clemen-de-Ris, el conde Colchen, el conde Cornudet, el conde de Aboville, el mariscal duque de Dantzick ( Lefevre), el conde de Croix, el conde Dedelei-de-Agier, el conde Dejean, el conde Fabre del Aude, el conde Gassendi, el conde Lacepede, el conde Látour-Maugbourg, el d…</t>
  </si>
  <si>
    <t>Clemente, Manuel Polar y</t>
  </si>
  <si>
    <t>Manuel Polar y Clemente</t>
  </si>
  <si>
    <t>…or de la villa de Mbmblanch: para la de la ciudad de Balaguer á D. Agustín Velasco Calleja: para la de la villa de Callosa de Segura á D. Vicente Diez Ruesgas: para la de Lombay á D. Manuel Polar y Clemente: para la de Bicon y Quesa á D. Francisco de Paula Villareal: para la de Enguerá á D. Manuel Alonso Hernández: para la de Castellón de Nules á D. Luis Castroverde: para la de Ayelo de Maiférit á D. Antonio !Lorca Herrera: para la de Mogente á D. Cristóbal Berc…</t>
  </si>
  <si>
    <t>Clemente, Pedro Antonio Portillo y</t>
  </si>
  <si>
    <t>Pedro Antonio Portillo y Clemente</t>
  </si>
  <si>
    <t>…Segorve á Don josef Tomas Aparicio: para la de Villalonga, en el partido de Denia, á Don Agustin Velasco y Calleja: para la de Novelda á D. Miguel Elias Sicardo: paraTa de Pego Ú D. Pedro Antonio Portillo y Clemente: pajra la de Planes y pueblos de su Baronía á D. Mateo-Miranda; y para la de fa villa de Albaida á D. Antonio Rico y Gómez. Igualmente ha nombrado S. M. para la vara de alcalde mayor de la ciu dad de Palma, en Mallorca, á D. Juan Manuel Lubet. ' Los habitates…</t>
  </si>
  <si>
    <t>Clinton, S. H.</t>
  </si>
  <si>
    <t>S. H. Clinton</t>
  </si>
  <si>
    <t>…os. No ha habido ningún oficial, ninguna clase de tropa que no se haya conducido bien. „Debo no obstante, hacer mención particularmente para la aprobación de $. A. R. del teniente general S. H. Clinton, del mayor general Adam , del teniente general Carlos, barón Alten, gravemente herido, del mayor general S. Colín Halket, ídem, del coronel Ompteda* del dé la misma graduación Mitchell, comandante de una brigada de la cuarta división, de los mayores generales…</t>
  </si>
  <si>
    <t>Clívillesmenor, Francisco</t>
  </si>
  <si>
    <t>Francisco Clívillesmenor</t>
  </si>
  <si>
    <t>…sco de la Mata.. . £ Mn Zamora.........^ D. Manuel de Humara. .Mn Salamanca__ D... Francisco de Zuñiga y Barbosa.. . . . Mn Santander....... Señores Vial é hijo.. Mn Cartagena.*.^ D. Francisco Clívillesmenor. Mn Zeuta............. D* Gárlosde Agúlrreul/ f,J. V.’.l</t>
  </si>
  <si>
    <t>Clonet, Luis</t>
  </si>
  <si>
    <t>Luis Clonet</t>
  </si>
  <si>
    <t>…lemingg y D. Pedro Corifac¡o:de tenientes á D. Juan Clark y D. Juan O-Reylly; de subtenientes á D Gerónimo Alvarez y D. Joaquín Sánchez. En consideración á los buenos servicios de D. Luis Clonet, comandante del cuerpo reglado de voluntarios del Mississipi» se ha dignado S. M. pro moverlo á teniente coronel de infantería. ’ El Rey nuestro Señor ha visto con cómplacencia los sentimientos de lealtad y amor á su Real Persona que le han manifestado D. Jos…</t>
  </si>
  <si>
    <t>Cnckburn</t>
  </si>
  <si>
    <t>…lante de Santa María á bordo del Ceylan i 18 de Enero: „Hemos abordado un navio que iba á Cork; y me aprovecho de esta ocasión para que sepáis que estamos aqui con la división del almirante Cnckburn. Hemos desembarcado hace tres dias 5po hombres, y hemos tomado á Santa María con poquísima resistencia; esperamos conseguir grandes venta jas en estas costas. El almirante habla de atacar á Nueva-Yorck ” _ Santa María está sitnada en la embocadura del rio de…</t>
  </si>
  <si>
    <t>Có</t>
  </si>
  <si>
    <t>…Nüeva-Yórck , recibidos por tXMacdanaJd^ - dan por positivo que las coleólas de la 'Martinica y de la Guadalupe- se ^éa* negaron el 9 dé Nqviembreálos comisarias franceses por el almirante Có«t chrane, que ha mandado ya que se retirasen las guarniciones- inglesas. Ánadcnquehabianyayltegado áéstasco¡oó¡asr8.buqoev-expedido»deFrañcia. Las cartas de Londres anuncian la lle¿ada i;ia Martmica del navío &gt;í/* fredo, capitan Guibert, qüe salid dé Bárdeos»…</t>
  </si>
  <si>
    <t>Co, CárloS</t>
  </si>
  <si>
    <t>CárloS Co</t>
  </si>
  <si>
    <t>…s ¿ D, Juan Víctor Lotente para que la sirf va hasta que cumpla su sexenio: en la de la Nava del! Rey á D. Juan Amó* nio Bernal hasta que cumpla el suyo: en la de .Odiar de Baza a D. CárloS Co va rubias hasta que cumpla los seis años; y en la de Alinonte-á D. Ruper* to de Orozco hasta cumpfir seis años. El Rey nuestro Señor se ha servido conceder los honores de su secretarlo ’ orden dei D. Joaquín Hidalgo González., caballero dé la Real y distingui…</t>
  </si>
  <si>
    <t>Co, Josef</t>
  </si>
  <si>
    <t>Josef Co</t>
  </si>
  <si>
    <t>…fcuenca, EX Francisco Caso, D. Felipe Mendicuti, í). Baltasar Gonzajes* *&gt;¿X;FVancisep de Torres, D. Andrés Casainayer, D. Francisco Reguera , D. Antonio García, D. Pedro Pineda , D. Josef Co nejo, D^Ramon Agón', D. Manuel -Gá'stambide , D. Juan Palomero , D. Ra^ mon Oleína, D. Fernando Belarde,;D. Miguel Almagro, D. Manuel Ovan do , Ds. Bartolomé González , D. Antonio María; Mvuñoz , , Dr Miguel María Muñoz V D. Josef Sancliez, D. Mánüel Áranda ^…</t>
  </si>
  <si>
    <t>Coca, Benito</t>
  </si>
  <si>
    <t>Benito Coca</t>
  </si>
  <si>
    <t>…o Roldan, D. Laureano Melena, D. Josef Sandoval, t). An&gt; • tonio Megía, É). • Eugenio Ábergoza , D. Francisco Aguírre , D. Braulio Ro-í drigo, D. Manuel Medina , D: Josef Ria ño y D. Benito Coca. (Se continuará.) t , Artículo de, .oficio del ministerio de la Guerra. &gt; , ;[ En el despacho de hoy he hecho presente al Rey nuestro Señor lo qué ■ : 1'• - ‘■:r' ,r •sigue: "v , „ Señor : Cuando guiado dé mí zelo por el mejor servició de.VIM. y pói la felici…</t>
  </si>
  <si>
    <t>Coca, Miguel</t>
  </si>
  <si>
    <t>Miguel Coca</t>
  </si>
  <si>
    <t>…a, D. Santiago Piñeiro, D. Juan de Mata Marina, 0. Fernando Ruiz&gt; 0, Fulgencio de Toro, D. Andrés Costa, 0.: Manuel Guillelmi ;0.^Jüañ Pé rez Dd vi la, 0. Antonio Primo de Ribera, D. Miguel Coca ySandovalt0bn Juan Pernee de León, 0. Juan López Pinto , 0. Eusebio Martínez* 0* Fran* cisco Bedoya, D. Sebastian de Urra, 0. Patricio Ortiz, D. Francisca Escara re, 0. Nicolás Fuentes, 0. Vicente Buyo, 0, Antonio Basurta, D. Melr* i Gareíajchór Quintana, &gt;0.…</t>
  </si>
  <si>
    <t>Coca, Tomas</t>
  </si>
  <si>
    <t>Tomas Coca</t>
  </si>
  <si>
    <t>1333</t>
  </si>
  <si>
    <t>…mientos provinciales de Logroño y Mondoñedo al coronel de infanteríaDon Antonio Delgado, segundo ayudante general que fue del -estado mayor del ‘egército, y al capitán graduado de coronel D. Tomas Coca. Él Éxcmo. Sr. capitah genera! de esta provincia de Castilla la Nueva, con acuerdp del Sr. D.r Julián de Iturralde, su auditor de guerra t en cuyo juzgado penHe la testa mentaría* y ocurrencia' de -acreedores del présbítéró D. SalvádoV Xirnenez Córóríado; éáp…</t>
  </si>
  <si>
    <t>Cocbrane</t>
  </si>
  <si>
    <t>…del echiquter á sir -Giibert Heathcote; lord canciller Mr. Preston; presidente del consejo el conde de Stanhope; guar da del sello privado B. Gordon; primer lord del almirantazgo lord Cocbrane; los tYes-secretarios dé estado lord Ossultoo, sir Cárlós Monck y Mr. Pe* ters Monroe. • f El Príncipe Regente ha hecho publicar un cartel, en que ofrece roo libras esterlinas y el perdón del Rey á los que revelen los autores ó fautores de los últimos alborot…</t>
  </si>
  <si>
    <t>Cochrane</t>
  </si>
  <si>
    <t>…Diciembre que pocos dias después de U partida de sir A. Cochrane pasó un convoy con 4® hom bres con dirección á Jamayca, al que siguió otro de igual fuerza para la misma isla. El almirante Cochrane habia ¡do á la Guadalupe á buscar al contra^almirante Durham para que le acompañase á la expedición; pero este no pudo seguirle por estar ocupado en la entrega de la isla á los fran ceses. Cochrane dió la vela para el golfo mexicano, y se espera de dia en dia…</t>
  </si>
  <si>
    <t>…Setiembre anua-» éian que 14^’ingieses habían desembarcado á la orilla izquierda del Movi-4 la.—« Otras cartas qué han venido por Jamaica dicen que la expedición man** dada por el almirante Cochrane, después de haber limpiado las orillas y las islas del Mississipi íde los enemigos q'ue se, oponían al desembarco de las tro pas, habían conseguido desembarcarlas, y se hallaban el 24 de Diciembre delante de la Nueva-Orleans. El general Pakenham con su divisi…</t>
  </si>
  <si>
    <t>…el primero de estos puertos los siguientes buques,, que se hallan ya en franquía: el M,ontagne, de 74 cañones, espitan Heywcod; el Ajax, de 74, capitán Manday ; el Orates r de 36, capitán Cochrane; el Spartan, de 36, capitán Homby;. el Detiree* de 36 * capitán Wooldridge; el Antelia, de 36, ca pitán Ptoby; el Leven r de..... capitán Bluett; el Perseas %de..... capitán A’Coust, y otros quatro buques menores. Ha llegado de Ostende á Margatte un paquete,…</t>
  </si>
  <si>
    <t>Cockburn</t>
  </si>
  <si>
    <t>…e transporte, 10ídem para hospitales.’ Total 226 buques , que componen 36 menos que el mes pasado. El bergantín de guerra Julio ha dado la vela para Sta. Elena con pliegos para e! almirante Cockburn. El general Bonaparte no ha enviado carta alguna por la embarcación que ha venido de Sía. Elena, y prohibió escribir á los que le acompañan. Los papeles holandeses del 2 hablan de la partida del Príncipe heredero de Orange el 29 del anterior para Berlín, de d…</t>
  </si>
  <si>
    <t>CockJbarn</t>
  </si>
  <si>
    <t>…res de tropas inglesas habian desembarcado y tomado posesión de la isla de Cumberland, y que la opinión general era que; Savannach. seria atacada luego que llegase la división del almirante CockJbarn. . Mr. Vensittart se ha hecho el favorito de las damas, por haber 5 sido quien propuso la contribución sobre los celibatos. ¿ FRANCIA. ' ’ a París 25 de Febrero. Escriben de Viena que el librero Botta , d¿ Tubingue, ha comprado los manuscritos del príncipe de…</t>
  </si>
  <si>
    <t>Codes, Tornas de</t>
  </si>
  <si>
    <t>Tornas de Codes</t>
  </si>
  <si>
    <t>…co , D. Juan Enébuisen, D. Juan Piich, D. Mariano Al-* dama, D. Pablo Estogui, D. Policarpo Aldama, D. Josef Guerrero , D. Jo^.ef Torrubiai, Di Gabriel del Rio, D. Juan Gutiérrez, D. Tornas de Codes, Di Josef Navarro; D. Juan Ruiz &gt; D. Salvador González, D. Rafael Solano, Di Josef; Majríaí Prieto , Q¿ Fráncisco Cervera &gt; D. Francisco , Cascos, D. Juan Tejadár, DvBasilioBayoni, D.Joaquin Dolz, D. Salvador Arnardo, D. An tonio Marcoletá, D, Josef Gáliano,…</t>
  </si>
  <si>
    <t>Coello, Josef</t>
  </si>
  <si>
    <t>Josef Coello</t>
  </si>
  <si>
    <t>794</t>
  </si>
  <si>
    <t>…grafía castellana, fueron premiados con medallas de oro y plata como los mas sobresalientes los alumnos siguientes: D. Miguel Palomares, D. Mi guel de Arévalo, D. Esteban Santaló, D. Josef Coello y D. Antonio Martí nez ; y como se presentaron algunos alumnos que se acercaban en conocimien tos á los premiados, dispuso la junta de censura darles una distinción que les sirviese de recompensa á su aplicación, como se verificó en 17 de ellos. Concluido éste acto se distribuy…</t>
  </si>
  <si>
    <t>Cogollor, Roque Antonio de</t>
  </si>
  <si>
    <t>Roque Antonio de Cogollor</t>
  </si>
  <si>
    <t>…S. M. en 24 de Diciem bre anterior. Se hallará en el despacho de la imprenta Real Y su precio 4 rs. Los Aldeanos críticos, ó cartas críticas sobre lo que se verá : dadas á luz por D. Roque Antonio de Cogollor, quien las dedica al príncipe de los peripatéticos D. Aristóteles de Estagira. Es obra del P. Francisco de Isla: un tomito en 8.°~ Origen de la potestad temporal de los Papas: obra escrita en francés por Mr. Sabbathier , y traducida al castellano por D. C. y…</t>
  </si>
  <si>
    <t>Coheredo</t>
  </si>
  <si>
    <t>…de enemigos que se componía de unos 2 á 3® hombres, de un escuadrón de coraceros y de alguna artillería; los ataco y loTárrojó hastá hacerlos énrrairsé en Metz. ’ ' El cuerpo del general Coheredo (que es el primero) se empeñó seriad mente el 28 de Junio entre Donnemarie y Befort con la retaguardia de Lecóurve, y le hizo gran numero de prisioneros, obligándole á retirarse en to das direcciones : su pérdida fue de 300 hombres entre muertos y heridos. El…</t>
  </si>
  <si>
    <t>Colche, Pedro</t>
  </si>
  <si>
    <t>Pedro Colche</t>
  </si>
  <si>
    <t>…ef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 D. Francisco de Mena, D. Nicolás…</t>
  </si>
  <si>
    <t>Colchen</t>
  </si>
  <si>
    <t>…á los sugetossiguientes, que no tuvieron in conveniente en hacer parte, de lá cámara de los; Pares en tiempo del usurpa dor, desdé 20 de Marzo último..__El conde Clemen-de-Ris, el conde Colchen, el conde Cornudet, el conde de Aboville, el mariscal duque de Dantzick ( Lefevre), el conde de Croix, el conde Dedelei-de-Agier, el conde Dejean, el conde Fabre del Aude, el conde Gassendi, el conde Lacepede, el conde Látour-Maugbourg, el duque de Praslin, e…</t>
  </si>
  <si>
    <t>Coleta</t>
  </si>
  <si>
    <t>…uisiese hacer al agunas preposiciones seria recibido; ai dia‘ isiguiemeí-, ,.. Con efecto esta, maña na vino el general Carrascosa; y el general Niepperg por parte del Austria, el general Coleta por la de Ñapóles, y yo , á falta de comandantes ingleses, hicimos uñ convenio militar.-_.Por parte de Ñapóles se hicieron proposicio nes totalmente inadmisibles; por la nuestra se exigió la abdicación del maris cal Murat. El general Gelétasdéseába asegura ra…</t>
  </si>
  <si>
    <t>Coll, Jayme</t>
  </si>
  <si>
    <t>Jayme Coll</t>
  </si>
  <si>
    <t>404</t>
  </si>
  <si>
    <t>…tendidos que pasado dicho término sin haberlo hecho, se procederá á lo que corresponda. D. Antonio Elola, espitan retirado y vecino de esta corte, tomó en 16 de Mar zo anterior de D. Jayme Coll, de este comercio, los vales Reales siguientes de 1 * de Setiembre sin renovar desde el año de 1809, uno de 600 pesos, núm. 1192/, y los seis siguientes de 150 pesos, números 152143, 198245, 209740, 168209, 180801 y 148792. Estos siete vales se remitieron por…</t>
  </si>
  <si>
    <t>Collado, Joaquín</t>
  </si>
  <si>
    <t>Joaquín Collado</t>
  </si>
  <si>
    <t>Llórente, D. Celestino Rodrigue* y D. Joaquín Collado: al de volunta* ríos de Avila D. Josef Aíárcon: á los del regimiento provincial de Segovia 1). Nicolás de Torres, D. Bernardo Miravalles , D. Gerónimo Rodrigo, D. Domingo Chaves y D&lt; Fernando Mateos Mettdez : á los de los batalló-» nes de Ciudad-Rodrigo D. Ra…</t>
  </si>
  <si>
    <t>Collado, Torcuato Antonio</t>
  </si>
  <si>
    <t>Torcuato Antonio Collado</t>
  </si>
  <si>
    <t>…para la segunda a D. Manuel de Ondarza, Regente de lá de Sevilla: para la Regen cia dé Astúrias á D. Miguel Antonio Blanes, Oidor de la audiencia de Gali cia: parala de Sevilla á D. Torcuato Antonio Collado: para la fiscalía de lo civil de la misma audiencia de Sevilla á D. Francisco Gómez Fernandez, Fiscal de lo criminal ; y para esta resulta á D. Manuel Caballero. El inspector general de Milicias ha dado cuenta al Rey nuestro Señor de que para costear la bande…</t>
  </si>
  <si>
    <t>Collegno</t>
  </si>
  <si>
    <t>4t8. entre los qualés se contaban Mattel, decano del sacro colegio, OpizZóm,’ ar zobispo de Bolonia, y Galefli; el caballero Radicar i y el caballero Collegno y otros empleados por parte, de S. M. Después de haber descansado algún tiempo se puso á córner S. S. en la mesa que. estaba preparada de orden de S. M., que tiene mandado que los gastos del Padre Santo se hagan por su tesorería Real. Todos los vecinos ilumin…</t>
  </si>
  <si>
    <t>Collell, Francisco</t>
  </si>
  <si>
    <t>Francisco Collell</t>
  </si>
  <si>
    <t>…cio Caro ,*comandanté ael castillo de A'¿arefc en la Havana; D. Jo sef Sallent, teniente coronel comandante del batallón de voluntarios de Ma?-. drid , que esistia en Montevideo , D. Francisco Collell , comandante del ter cer batallón del regimiento infantería de la Luisiana, y' I).‘ Felipe Andráde, capitán de dragones d¡e Ateico.: - r r ¡r; h. ¡01 Tenientes coroneles á tí. Vicente Llórente^ sargento mayor del fuerte de S. Garlos de Peróte en Nüéya-Espáña;…</t>
  </si>
  <si>
    <t>Colloredo</t>
  </si>
  <si>
    <t>…ustríaca de Mazzuchelli delante de Schlesttadt por tener el enemigo una guarnición de 6® hombres. El cuartel general de S. A. I. estaba el 3 en St. tíSíez, desde donde dice que el mariscal Colloredo habia tomado por asal to el dia 2 la ciudad y fuerte de Montbeillard, en donde se hallaron siete ca ñones y gran cantidad de pertrechos: el número de prisioneros era grande, y de hora en hora iba aumentándose. La vanguardia del general Ledener atacó el 27 una…</t>
  </si>
  <si>
    <t>…&gt; \. C *„.. • ' i ^ ‘ Páreceique el cuerpo diplomático, ó 'á lo menos los embajadores ;dfe las potencias deí primer órden^ seguirán á M1VL á Italia*. Aj ■ Se asegura que el feld- mariscal Colloredo se retira del servicio. El- feldmariscal Simpschen, condenado él año pasado á perder todos sus empleos, ha conseguido qué se vuelva á ver su causa. * Las noticias dadas por ¡algunos periódicos de Bayiera sobre reunión de tropas austríacas destinadas contra la…</t>
  </si>
  <si>
    <t>…age, está muy lejos de exigirle en una estación, tan rigorosa. El cuerpo de egército austriaco , que permanece reunido á orillas del Inn, será de 30 á 40© hombres, y le mandará el conde Colloredo. El cuartel general del egército ruso del mediodía se ha trasladado desde Mohilew á Tultschin. -.;r ; ALEMANIA. : Hamburgó 2$ dé Noviembfe. Después de la última derrotá.de Bonáparte , y antes que este se entregase á los ingleses, sé habló de un büque dinamarq…</t>
  </si>
  <si>
    <t>Colloredo, Gerónimo</t>
  </si>
  <si>
    <t>Gerónimo Colloredo</t>
  </si>
  <si>
    <t>…is; el general Quimont ha entrado en (pi4ebrá y en]Xión; S. A. R. el‘archiduque Fernando ha entrado én Ve^ souT y Langres ; los cuerpos que mandan el Príncipe de Hohenzollerñ y «f conde Gerónimo Colloredo han pasado el Rhin en Basilea, y han entrado en la Alsacia; el. Príncipe-Real de Wprtemberg se; dirigía ¿sobre Luneville, adonde ha debido llegar ya; el Príncipe de Wrede se halla en Nancy; el feld-mariscal-conde- Barclay de Tolly está en Dos-Puentes ; el inf…</t>
  </si>
  <si>
    <t>Colloredo-contra</t>
  </si>
  <si>
    <t>…y y el ti se estableció aquí.' S. A. I. el Archiduque Fernando, que- tenia el 9 su cuartel general en -Jóinvüíe.» iñjbrmd ¿4 Príncipeide un ventajoso- ataque hecho por el mariscal conde Colloredo-contra 4a-1 poSiclóii fortificada del general Lecourve en si campo atrincherado delante ae Beíbrt. Este ataque completó el entero blo queo de aquella fortaleza. Habría sido, imposible apoderarse de esta posición, á no ser por las juiciosas disposiciones del general…</t>
  </si>
  <si>
    <t>Colmenero, Nicolás</t>
  </si>
  <si>
    <t>Nicolás Colmenero</t>
  </si>
  <si>
    <t>…e Segovia: para otra canongía de la iglesia catedral de Zamora, qne re sultará vacante por promoción de D. Juan de Vargas y Varaez á otra de la iglesia metropolitana de Granada, á D. Nicolás Colmenero: para otra ca-‘ nongía de la iglesia catedral de Orense, que resultará vacante por promo ción de D. Pedro Andrés Pourret á otra de la iglesia metropolitana de San-; tiago, á D. Matías González» cura ecónomo de la parroquia de Santiago y S. Juan de esta corte:…</t>
  </si>
  <si>
    <t>Colomer, Juan Bautista</t>
  </si>
  <si>
    <t>Juan Bautista Colomer</t>
  </si>
  <si>
    <t>…catedral de Tertosa á Don Josef Ramón López: é Ibarra: para el arcedianato de Borriol de la misma iglesia á D. Santiago Antonio Mendez; y para dos canongías de la propia iglesia á D. Juan Bautista Colomer y D. Carlos García Velarde. El Rey ha tenido á bien conceder á D. Pablo Infante los honores de contador de sus Reales exércitos en consideración á su zelo patriótico en las urgencias pasadas; á las delicadas comisiones que ha desempeñado á satisfac ción del gobierno legítimo, y…</t>
  </si>
  <si>
    <t>Colomer, Salvador</t>
  </si>
  <si>
    <t>Salvador Colomer</t>
  </si>
  <si>
    <t>32</t>
  </si>
  <si>
    <t>…gona en el año de 1811, y fue conducido á Francia y vis to en Angulema en el mismo año, se servirá avisarlo 4-Ignacio Bach, vecino de dicha ciudad de Vich, su padre, ó en Madrid á D. Salvador Colomer, calle de los Jardines, núm. 13. Sermones del P. Fr. Sebastian Sánchez Sobrino: tomo 14: contiene un novena rio del glorioso S. José. Se hallará con los anteriores en la [librería de la viuda de Barco López, calle de la Cruz, y en Granada en la de Martínez. —…</t>
  </si>
  <si>
    <t>Comandante, Benito María PanigOj Teniente Coronel y</t>
  </si>
  <si>
    <t>Benito María PanigOj Teniente Coronel y Comandante</t>
  </si>
  <si>
    <t>…de Castilla la Vieja comunico con esta fecha lo que sigue: „ He dado cuenta al Rey nuestro Señor de una representación que diri gió el Inspector general interino de Infantería de D. Benito María PanigOj Teniente Coronel y Comandante accidental del Regimiento de Oviedo, en que hacia presente á S. M. el sentimiento que causó á todos los Oficiales y demás Individuos de dicho Cuerpo la prevención que se hizo por el Minis terio de Gracia y Justicia al Regente y Oidores de aquella Audiencia pa…</t>
  </si>
  <si>
    <t>Combo, Ignacio Josef de</t>
  </si>
  <si>
    <t>Ignacio Josef de Combo</t>
  </si>
  <si>
    <t>…y Tienda, D. Diego Miguel Bravo, Don Antonio vidaurreta, D. Juan Zarate, D. Josef Irunciaga, D. Josef Perez Quintero, D. Joaquín Martínez de Medinilla, D. Rafael Vicente Bourman,’ D. Ignacio Josef de Combo, D. Joaquín García' Mellado, D. Josef Gerau de Arellano , E&gt;; Juan López Fraga , p. Manuel de Lardizabal y Montoya , Ba rón de Castieí, D. Santiago Usoz y Mozzi, D. Blas Manuel de Loya, Don osef Vicente de Barrenechea, D. Simón de León Santos, D. Josef Escara…</t>
  </si>
  <si>
    <t>Comendador, Vicenta</t>
  </si>
  <si>
    <t>Vicenta Comendador</t>
  </si>
  <si>
    <t>…rés Escovar. El regente D¿ Francisco Cañdéba, vicario de la villa de Biar , deí partido de Gijona en el reino de Valencia, desea sáber el paradero de DI Martin de Brea, ma&lt;rido de Doña Vicenta Comendador, vecino que fue de Madrid en la cal’e del Moli no del Viento» casa núm. 3, cuarto segundo, paira-tratar.de una herencia qüe le pertenece, y de la que es albacea testamentario. Quien sepa el paradero ó tenga noticia de Braulio Roa, natural de la villa de Almog…</t>
  </si>
  <si>
    <t>Conchero, Pedro Rodríguez</t>
  </si>
  <si>
    <t>Pedro Rodríguez Conchero</t>
  </si>
  <si>
    <t>…achocalle ancha de Majaderitos, números 6 y 7. Viador cristiano, ó el hombre peregrino en este mundo , que camina á la pa tria celestial por, movimientos anagógicos: traducido por D. Pedro Rodríguez Conchero, presbítero, adornado con una. lámina fina: un tomo en 8.° Se hallar! en la librería de Divíla i cálle de lás¡Carretas. Ja 4 "TT Irrrr? Nota* La felicitación hecha á S. M. por el cabildo de caballeros £pfrar des del hospital de Sta, María dé Esgüeva de la ciu…</t>
  </si>
  <si>
    <t>Conde</t>
  </si>
  <si>
    <t>…0 del mismo mes se presentaron también á S. M., y le fe licitaron con igual motivo en nombre del partido de Castropol y de sus 14 concejos en el principado de, Asturias ,&gt;el limo. Sr. Conde, del Pinar, del Real</t>
  </si>
  <si>
    <t>Conde, Bruno</t>
  </si>
  <si>
    <t>Bruno Conde</t>
  </si>
  <si>
    <t>…r reloba ron y ViHásexmil, en el obispádó de Patencia, nombradas la primera de Arteaga, y la segunda de Romerino y Oreja, vacantes por muerte de D. Miguel Mar** tm dé lá Fuente, á D. Bruno Conde, Él Rey nuestro Señor se ha servido , á consulta de la Cámara, repone* en las plazas que sirvieron en la chancillería de Giánada á D. Jf aqjuín Lo renzo Mozo y IX Antonio de la Parra; y en atención ál mérito y a las pruebas que han dado de lealtad y patriotis…</t>
  </si>
  <si>
    <t>Conde, Juan Sánchez</t>
  </si>
  <si>
    <t>Juan Sánchez Conde</t>
  </si>
  <si>
    <t>…anto tribunal de Córdoba, en atención á sus méritos y servicios: para otr$ canongía de la referida iglesia catedral de Piasencia, vacante por muerte de D. Luis Merino de Vargas, á D. Juan Sánchez Conde, canónigo de la de Coria: para otra de la misma iglesia de Piasencia, vacante por fallecimiento de D. Juan Muñoz, á D. Bruno del Castillo, cura de la parroquial de San Pedro de Ciudad-Rodrigo: para otra canongía de la iglesia catedral de Co ria, que resultará…</t>
  </si>
  <si>
    <t>Conde, Julián</t>
  </si>
  <si>
    <t>Julián Conde</t>
  </si>
  <si>
    <t>…orio Baeza, D. Francisco La-Reguera y D. Vicente Aneses ; subtenientes de cazadores á D. Domingo Miranda y D. Juan Manuel Piedra, y 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Campuzano, gobernador de las a…</t>
  </si>
  <si>
    <t>Connelli, Timoteo</t>
  </si>
  <si>
    <t>Timoteo Connelli</t>
  </si>
  <si>
    <t>…coroneles de infantería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 Sisto Fajardo, D. Ma-„ miel Fernandez Rey na, D. F raneisco Bonet, D. Jose…</t>
  </si>
  <si>
    <t>Consejo, Gobernador del</t>
  </si>
  <si>
    <t>Gobernador del Consejo</t>
  </si>
  <si>
    <t>1048</t>
  </si>
  <si>
    <t>…gidor de Madrid debe subdelegar sus facultades, respectivas á teatros, en los Corregi dores ó Alcaldes mayores, conforme se mandó en Real orden de 14 de Ene ro dé 1801 para con el señor Gobernador del Consejo cuando era protector de los teatros del reino. Publicada en el Consejo la antecedente Real resólücion ha acordado su cumplimiento ; y que se circule á la Sala de Alcaldes de la Real Casa y Cor-, te, Chancillerías y Audiencias*, Corregidores, Gobernadores y Al…</t>
  </si>
  <si>
    <t>Consejo, Presidente del</t>
  </si>
  <si>
    <t>Presidente del Consejo</t>
  </si>
  <si>
    <t>…6 participo á V. E. para qué disponga lo conveniente alcumplimiento de esta Soberana resolución. Dios guarde á V. E. muchos años. Palacio 22 de Diciembre de 1814 = Tomas Moyano. = Sr. Presidente del Consejo.” Publicada en él la antecedente Real orden en 2 del corriente, la ha man dado guardar y cumplir, y.que con su inserción se comunique á la Sala de Alcaldes de Casa y Corté, Chancillerías y Audiencias, Corregidores, Go bernadores y Alcaldes mayores, para que c…</t>
  </si>
  <si>
    <t>…sti cías del Rey no el cumplimiento de la Real Cédu -a de -15 .de Ma.yo de 1788, que forma la Xey 27 &gt; lib. 7.0, tít. 11 de la Noví ima Recopilación, en que se manda dar cuenta al Sr. Presidente del Consejo de .las ocurrencias graves que en lajmisma se citan, y que las Autoridades que lo han executado á consecuencia de dicha circular ha sido especialmente en quanto á causas criminales, con una confusion-y desorden que usurpan al Consejo el tiempo que necesita pa…</t>
  </si>
  <si>
    <t>1444</t>
  </si>
  <si>
    <t>…d-rra¿r, nrñq “.im : :EÍ Rey pues ¿ aceptando y acogiendp temsu benéfico corazón las ideas de la Sección / se ha dignado comunicar por elMinisterio dé Gracia :y Justicia ai Excmo. Sr. Presidente del Consejo , y este al; de la'Junta ó Sección con fecha de 26 del pasado Setiembre : „QueS. Mv aprueba ¿«propuesto por ia misma Sección sobre losrmedios adaptables , para:. la^jcompatente jdotación i^dé las escuelas del reinos y* habilitaba! Minrstro mas íantiguo doella…</t>
  </si>
  <si>
    <t>Constantino</t>
  </si>
  <si>
    <t>…s coronel Mr. de Brisen, ha entrado de guarnición en esta capital. Idem 4. El célebre príncipe de B’ucher lia marchado de Francfort del Oder. _ El regimiento de coraceros del gran duque Constantino se va á acantonar en Landsberg sobre el Wartha ; el de Silesia dicen que saldrá también muy pronto de Berlín para Züeniig.</t>
  </si>
  <si>
    <t>Cónsul, Manuel de Torres</t>
  </si>
  <si>
    <t>Manuel de Torres Cónsul</t>
  </si>
  <si>
    <t>…ción. De Real orden lo comunico á V. para su inteligencia y efectos cor res pon* dientes. Dios guarde á V.' muchos años. Madrid 17 de Marzo de 1815. El Rey se ha servido nombrar á D. Manuel de Torres Cónsul, fiscal dél C^n.ejo Real, para plaza del mismo tribunal, y para esta fiscalía á D. Jo-</t>
  </si>
  <si>
    <t>…e&gt;Marcenado y. D¿ Juan Perez Villamil;, y de los Sres. marque^ de Vista-alegre, .Dvjüáquib Maríade Velaicde ^el l-lmo; Sr. D. Bernardo Rae-} ga J déi Real Consejoiy Cámara ;;y ;él Sr. D. Manuel de Torres Cónsul", del</t>
  </si>
  <si>
    <t>Cónsul, Manuel Vicente Torres</t>
  </si>
  <si>
    <t>Manuel Vicente Torres Cónsul</t>
  </si>
  <si>
    <t>…e en el día 15 del corriente á las 1 2 por ante el escribano del número D. Juan Raya. * • f ■ r Én virlu(d dé providencia dada en 30 del mes de Agosto del corriente año por el S-. D. Manuel Vicente Torres Cónsul, del consejo Real, y juez interventor por S. M. de los estados y rentas del Escmo. Sr. duque de TTamames, refrendada de ÍDoñ Luis López de Castro, escribano de provincia y comisiones de S. M.que entiende en ella, sé cita, llama y emplaza á los compradores de…</t>
  </si>
  <si>
    <t>Conti, Ramón</t>
  </si>
  <si>
    <t>Ramón Conti</t>
  </si>
  <si>
    <t>…de León por la promoción del expresado D. Josef Perez García, á D. Fernando Hermoso, El Rey se ha dignado nombrar para el corregimiento político de la ciudad y plaza de Almería á D. Ramón Conti, gobernador militar de ella: para el de Alcalá la Real á D. Francisco Gregorio de Vargas Machuca: para el de Xerez de la Frontera á D. Fernando de Reynoso: para el de Antequera á D. Juan de Dios Cevallos; y para el de Ronda á D. J^ef Gregorio Aragón. Para el…</t>
  </si>
  <si>
    <t>Contreras, Francisco</t>
  </si>
  <si>
    <t>Francisco Contreras</t>
  </si>
  <si>
    <t>sales, D. Diego.Carbonell,D. Antonio Bórdon$,D. Ignacio Velazquez,Don Andrés Ramos, D. . Josef Velez, D. Francisco Contreras, D. Manuel Auñon, Dt' Josef Palillos, D. Antonio Acosta, D» Francheo Menduiña, D. Julián Senessens^iD* Josef AraüjoyD. Antonio Rute, D. Manuel Santander, D. Josef Domínguez , D. Josef!Montero y D. Pedro .Trasierra , D. Frandsco Olmo:,* Don Fermí n Meneos^ «Dv…</t>
  </si>
  <si>
    <t>Contreras, Juan Senen de</t>
  </si>
  <si>
    <t>Juan Senen de Contreras</t>
  </si>
  <si>
    <t>…o no pudo ser empleado en servicio activo de los egércitos, á pesar de las dili gencias constantes con que solicitó su conclusión. 5,° Y por ultimo, que el gobernador de Tarragona D. Juan Senen de Contreras y la guarnición llenaron sus deberes, y dejaron bien puesto el ho nor de las armas. Todo lo que de orden de S. M. comunico á V. E. para su inteligencia, y á fin de que en su cumplimiento se publique esta Real declaración en la for ma prevenida por la ordenanz…</t>
  </si>
  <si>
    <t>Cóoké</t>
  </si>
  <si>
    <t>…ofi ’, tiéitd'élt el dnr.'úha^fberzá^cbiisiderabie-.-en los PaiSes~ Baxo*y en la frontera de Erancía. Se; compone de quatro divisiones. ' s J . La primera, á las órdenes del mayor general Cóoké, se compondrá &lt;de latprixnera y segunda brigadas inglesas de infantería, formadas de ios -ségdrf— dos y terceros b¿tilíones, del íprimer regimiento de guardias dé: infan teríá, del.segundo Batallón deCoídstream, ydelsegündó y teíderb batalleñde (as guardias d…</t>
  </si>
  <si>
    <t>Cooke</t>
  </si>
  <si>
    <t>…po. ~„Me es de la mayor satisfacción el asegurar á V. S. que el egército jamas ni en ninguna otra ocasión se ha conducido mejor. La división de guardias á las órdenes del teniente general Cooke, que ha quedado gravemente Herido* el mayor general Maitland y el mayor general Byng dieron el egempío ad mirable de valor y bizarría, que fue seguido de todos. No ha habido ningún oficial, ninguna clase de tropa que no se haya conducido bien. „Debo no obstan…</t>
  </si>
  <si>
    <t>Cora, Josefa Almoyna de</t>
  </si>
  <si>
    <t>Josefa Almoyna de Cora</t>
  </si>
  <si>
    <t>…los señores oficiales del exército, y otra qualquiera persona que sepa de su paradero, ó tenga noticia cierta y positiva de su muerte, tenga la bondad de comunicarla ó á su mu ger Doña Josefa Almoyna de Cora, residente en la villa de Vivero , obispado de Mondoñedo, reyno de Galicia, ó en Madrid á D. Francisco Eleuterio Abad y Saavedra, que vive calle de las Carretas, núm. 11, pues conviene mucho, y hará un favor grande á su familia, y el gobierno lo apreciará par…</t>
  </si>
  <si>
    <t>Corbineau</t>
  </si>
  <si>
    <t>…á Gompiegne. Otras tropas han tomado posición en Meaux. El ter cero y cuarto cuerpos mandados por el general v andamme han venido aquí á reemplazar lá tropa del general Reille* El general Corbineau trabaja mu’cho en la reorganización del egército. El Duque de Dalmacia ha salido esta mañana para París. Mons 27 de Junio. S. M. Luis XVIII y SS. AA. el conde de Artois y el duque de Berri han llegado con el egército Real hoy á medio día á esta ciudad. Se dic…</t>
  </si>
  <si>
    <t>Córdoba, Luis de</t>
  </si>
  <si>
    <t>Luis de Córdoba</t>
  </si>
  <si>
    <t>…avio, que recayó en él en 1781, prosiguió su carrera, hallándose en el descubri miento de la isla de David, hoy llamada de S. Carlos, en la expedición de Argel, en la escuadra del general D. Luis de Córdoba, en la cual pasó á Brest, y en la toma de Panzacola y Movila, mandando después varios bu ques mayores y convoyes, y egecutando distintas conducciones de tropas, víveres y pertrechos desde -la Havana al Guarico, de Veracruz á la Havana, y de Alicante á diferen…</t>
  </si>
  <si>
    <t>Córdoba, Lujs de</t>
  </si>
  <si>
    <t>Lujs de Córdoba</t>
  </si>
  <si>
    <t>…s-y én. el apresamiento dé quatro xabeques morunosvEn’ la guerra de 1779» siendo teniente de navio, sirvió de ayudante de la mayoría general de la esquadra que mandaba el teniente general D. Lujs de Córdoba; y desde entonces co’menzó ya*a dar á conocer su infatigable aplicación, la generalidad de sus conocimientos , y sobré.todo la.prudencia* el tino y la profundidad de su juicio. Por .este tan singular conjunto de recomendables circunstancias fue .muy apreciado…</t>
  </si>
  <si>
    <t>Córdoba, Ventura</t>
  </si>
  <si>
    <t>Ventura Córdoba</t>
  </si>
  <si>
    <t>…D. Joaquin Henriquez, D. Isi dro de Diego, D. Silverio López, D. Francisco de Oña, D.. Francisco Antdhio Líbref ; D. Joaquín MuezVD. Juan Ignacio*Cervera, D. Salvador Ce bollino, D. Ventura Córdoba, D.Í Patricio 5alanueva, D. Pedro de la Torre, D. Miguel Oliver, D. Pascual Menacho, D. Cárlos Teodoro,Gil, D. Claudio Vinuesa, D. Juan Qüirante, D. Josef María Muñdz*, D. Francisco Ocaña, IX Antonio Gayosrí ,. D. Antonio García, D. Víctor Perez, D. Francisco…</t>
  </si>
  <si>
    <t>Cordon, Juan Josef</t>
  </si>
  <si>
    <t>Juan Josef Cordon</t>
  </si>
  <si>
    <t>…eal iglesia y monasterio colegial de nuestra Señora de Roncesvaíles : para el deanato de la iglesia catedral de Cádiz, vacante por fallecimiento de D. Fran cisco Caraza y Sousa, á D. Juan Josef Cordon, canónigo de Ia.de Guadalaxara de Indias: para la abadía de la iglesia colegial de Alfaro, diócesis de Tarazona, vacante por muerte de D. Bernardino de Aldama y Bustamante, á D. Martin Ramírez de la Piscina, canónigo de la iglesia metropolitana de Burgos: par…</t>
  </si>
  <si>
    <t>Cornago, Francisco</t>
  </si>
  <si>
    <t>Francisco Cornago</t>
  </si>
  <si>
    <t>…Amorrich; para la de Elda á ). Francisco Pomares y Seller; para la de Chiva á D. Hilario Josef de Menf doza; para la de Bellinova á D. Benito Gabriel Aguilera; para la de Relleo I D. Francisco Cornago ; para la de las villas de Onil, Castalia y Tibi á D. Benito Dieguez. Igualmente se ha servido S. M. reponer en la vara de alcalde mayor segundo de la ciudad de Zaragoza á D. Antonio Caro y Cini. Nota de las ofertas que han hecho al Rey nuestro Señor, y S. M.…</t>
  </si>
  <si>
    <t>Cornejo, Bartolomé</t>
  </si>
  <si>
    <t>Bartolomé Cornejo</t>
  </si>
  <si>
    <t>…órat hermanos, D. Antonio Bringas,D. Sebastian de Aldama, Di Domingo Nava, Don Manuel Gerónimo dé Bringas con los cinCo gremios mayores, Enrior y Corrier, Bretón, Landay Viguri, y D. Bartolomé Cornejo, á quienes por no haberse pre sentado no se les ha satisfecho su haber respectivo ¿ que ascenderá de 9 á ioQrs.vn.; y para verificarse la conclusión de este negociado, y alzarse el embargo hecho á los bienes ir efectos de aquella casa, se ha mandado por dicho…</t>
  </si>
  <si>
    <t>Cornel, Francisco Xavier</t>
  </si>
  <si>
    <t>Francisco Xavier Cornel</t>
  </si>
  <si>
    <t>1381</t>
  </si>
  <si>
    <t>…libre de lanzas y media anata, en atención á sus servicios, para sí, sus hijos, herederos y sucesores. En atención á los servicios y méritos del brigadier de los Reales egércitos D. Francisco Xavier Cornel, ha venido el Rey nuestro ^Señor en nombrarle gobernador militar de ía plaza de Murviedro. El Rey nuestro Señor se ha dignado admitir la oferta de 30080 rs. vn. que ha hecho á S. M. directamente el corregidor y ayuntamiento de la ciu dad dé Ronda; y ha mandad…</t>
  </si>
  <si>
    <t>Cornel, Javier</t>
  </si>
  <si>
    <t>Javier Cornel</t>
  </si>
  <si>
    <t>…referida Real orden ; y dignándose S. M. admitir la dimisión que de dicho encargo há hecho el mariscal de campo D. Juan de XJrbina,-nombra do al efecto., se ha servido nombrar al brigadier D. Javier Cornel, que se ha lla agregado al regimiento dé Valencey y para que desempeñe dicha comisión; y al mismo tiempo ha tenido por conveniente el Rey, resolver, que luego que justifiquen lós oficiales de los citados cuerpos tener derecho á sus pagas se trasladen á sus re…</t>
  </si>
  <si>
    <t>Cornudet</t>
  </si>
  <si>
    <t>…entes, que no tuvieron in conveniente en hacer parte, de lá cámara de los; Pares en tiempo del usurpa dor, desdé 20 de Marzo último..__El conde Clemen-de-Ris, el conde Colchen, el conde Cornudet, el conde de Aboville, el mariscal duque de Dantzick ( Lefevre), el conde de Croix, el conde Dedelei-de-Agier, el conde Dejean, el conde Fabre del Aude, el conde Gassendi, el conde Lacepede, el conde Látour-Maugbourg, el duque de Praslin, el duque de Plasenci…</t>
  </si>
  <si>
    <t>Coronado, Josef Martínez</t>
  </si>
  <si>
    <t>Josef Martínez Coronado</t>
  </si>
  <si>
    <t>7Í° ... , : , Josef¿Perez de. Castro, D.: Jósef LliriaS ,D. Francisco' Castañeda, D. Juan Liebres, D. Pedro'-Góíñéz-, Di. Fráñcls^o de Paula Rámlréz¿ DI Cecilio Mó¿ lina, D. Josef Martínez Coronado, D.. Gerdriimo Gallardo, D. Francisco Calero, D. Patricio González y D. Juan Josef Constantini (*). ,0 i 1 i ? ví 0..r-C . T A . , En el Real cuerpo de Guardias de su Real Persona. Grados de tenientes coroneles, a los subrtgadieres D.Luls Fernandez Li nares ,…</t>
  </si>
  <si>
    <t>Córóríado, SalvádoV Xirnenez</t>
  </si>
  <si>
    <t>SalvádoV Xirnenez Córóríado</t>
  </si>
  <si>
    <t>…ncia de Castilla la Nueva, con acuerdp del Sr. D.r Julián de Iturralde, su auditor de guerra t en cuyo juzgado penHe la testa mentaría* y ocurrencia' de -acreedores del présbítéró D. SalvádoV Xirnenez Córóríado; éápitaii y director qiie fue del extinguido’ Real:cuerpo de'Cosmógrafos dé Estado, lia*iiiand&amp;db se celebre junta de acreedores, herederos y demas intere sados á dicha testamentaría* páéa” atorrar lo conveniente á:su reintegro, y señalado para ella el .lunes…</t>
  </si>
  <si>
    <t>Corral, Francisco</t>
  </si>
  <si>
    <t>Francisco Corral</t>
  </si>
  <si>
    <t>…ue¡todos sus habitantes contribuyeron á iarjla»enentable • desgracia ¡que padeciió; dentro jde¿él-, potos, dias antés la compañía íde tiradores del centro&gt; mandada' por su capitan D. Francisco Corral. • f, . De todos estos antecedentes inferirá V. E. cuan. necesario y .útil ha sido ocurrir á contener los pioyectos:de lós rebeldes, generalmente encarnizados en casiitodos los pueblos áe.estas.provjnciás^y qiíe. en efecto se ha conse«gúido este ¡interesante;…</t>
  </si>
  <si>
    <t>Corral, Josef Manzano del</t>
  </si>
  <si>
    <t>Josef Manzano del Corral</t>
  </si>
  <si>
    <t>…a guerra , con la cóñdicion de que si se con cluye antes de un año entregará hasta, el completo de 12® rs.: D. Josef An tonio Blanco 8627 rs. importe de réditos de una capellanía :D. Josef Manzano del Corral 4500 rs. en réditos de vales , y los qué produzcan 10 vales de 150 pesos de la creación de Setiembre durante la presente guerra y un año después de concluirse, y ademas cuatro reales diarios durante dicha guerra:</t>
  </si>
  <si>
    <t>Corral, Juan Varela del</t>
  </si>
  <si>
    <t>Juan Varela del Corral</t>
  </si>
  <si>
    <t>…ido de villanueva ae los Infantes al Lie. D. Juan Francisco Arias; para la del partido de Baítar al Lie. D. An tonio de la Sierra y Lamas; para la del partido de Puente-Cástrelo á Don Juan Varela del Corral; para la del partido de Cambados á D. Ramón An tonio de- Galarveta; para la del partido de Villamea de Laza á D: Josef Alonso y Granja ; para lá. del partido de Baños de Moigas á D. Femando</t>
  </si>
  <si>
    <t>Corral, Manuel</t>
  </si>
  <si>
    <t>Manuel Corral</t>
  </si>
  <si>
    <t>…io, sien do perpetua esta distinción en la familia del referido Tiburcio Alvarez por haber hecho prodigios de valor; y queda asimismo dispuesto S. M. á pro porcionar al Presbítero D. Manuel Corral, actualmente Cura Párroco de Castelo, en el Arzobispado de Santiago, el premio á que se hizo ¿creedor por su zelo y sufrimiento en Francia , como Capellán del Regimiento Provin cial de Santiago que era en el referido sitio. Finalmente es la voluntad de S. M.…</t>
  </si>
  <si>
    <t>Correa, María Gertrudis</t>
  </si>
  <si>
    <t>María Gertrudis Correa</t>
  </si>
  <si>
    <t>…suntos importantes la existencia ó fallecimiento de D..¿Pie? go Selonf, natural de Cartagena de Levante, avecindado en Guadalajara de Indias, dedicado.-al. comercio, y casado con ^Doña María Gertrudis Correa, natural de la misma ciudad ; si pasó ó no á Veracruz como pensal^i hacerlo en el año de 1800, y en caso de haber falleaid^oi dejo ^ó'^ao hijos^ Ess^personas que pudiesen comuni-</t>
  </si>
  <si>
    <t>Correjes, Ventura</t>
  </si>
  <si>
    <t>Ventura Correjes</t>
  </si>
  <si>
    <t>…uis Campos, D. Josef Serón., I}. Isidoro Lacrbix,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t>
  </si>
  <si>
    <t>Corres, Josef Joaquín de</t>
  </si>
  <si>
    <t>Josef Joaquín de Corres</t>
  </si>
  <si>
    <t>…Antonio Sierra , D, Josef María Lauquer, D. Josef Dá^ viía, ,D&lt;Antonio Alvare^, D, Joaquín Asensio, D. Benito Ibañez, D. Anto nio Casbas j D. Francisco Botella,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t>
  </si>
  <si>
    <t>Corres, Pedro</t>
  </si>
  <si>
    <t>Pedro Corres</t>
  </si>
  <si>
    <t>…en breve cuando pasemos él lsere para volver á comenzar las hos ti iidades,:=Te ngo la honra &amp;c. =G. Fielding. ■ ESPAÑA. - . i'.J'.í/ 3VC Calanda Je^elf^no ): 3:4* Julio* Deseando D. Pedro Corres, maestro de primeras letras de esta villa, dar «ntótimonio dé sú 'zéld por la enséiianza confiada á sü cuidado , y de la apliéáCibh y ápiroVechamiento‘de sus discípulos , resolvió celebrar unos examénéS'públicos y genérales. A- cuy o -efecto precedido cóhvité…</t>
  </si>
  <si>
    <t>Cortabarría, Antonio Ignacio de</t>
  </si>
  <si>
    <t>Antonio Ignacio de Cortabarría</t>
  </si>
  <si>
    <t>…or cargo , ne venido en nombrarle para una pla za del Consejo de la Cámara de Castilla/’ Asimismo se ha servido S. M. nombrar para la plaza del consejo Real, vacante por muerte de D. Antonio Ignacio de Cortabarría, i D. Manuel de Xeon Santos de S. Pedro, Regente de la audiencia de Galicia: para la pri mera de las dos plazas del consejo Real, mandadas consultar últimamente, á D. Juan Benito Hermosilla, Regente de la audiencia de Oyiedo, y para la segunda a D. Manuel de…</t>
  </si>
  <si>
    <t>Cortas, Manuel</t>
  </si>
  <si>
    <t>Manuel Cortas</t>
  </si>
  <si>
    <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 Sisto Fajardo, D. Ma-„ miel Fernandez Rey na, D. F raneisco Bonet, D. Josef María de Novoa, Don Miguel Mir, D…</t>
  </si>
  <si>
    <t>Cortazar, Benito</t>
  </si>
  <si>
    <t>Benito Cortazar</t>
  </si>
  <si>
    <t>…a; Cuesta y Gómez, ó alguno de sus parientes, que en el año de 1791 vivía en la calle del Burro, casa nueva de las monjas gerónimas. La persona que tuviere' alguna noticia acuda á D. Benito Cortazar, que vive Corredera de S. Pablo, casa del conde de Alcolea, para comunicarles noticias interesantes. Se desea saber de la existencia ó muerte de D. Cristóbal de la Barrera,:soldado distinguido del regimiento i.° de Saboya, que desde la batalla de Tudela no se…</t>
  </si>
  <si>
    <t>Cortázar, Josef Ignacio</t>
  </si>
  <si>
    <t>Josef Ignacio Cortázar</t>
  </si>
  <si>
    <t>…u parte empleó todo el dia en danzas y Juegos de cucaña. For la noche se celebró un vistoso y muy concurrido bayíe , que duró hast ia el amanecer, habiendo tenido el espresado Dr. D. Josef Ignacio Cortázar ■ no'la satisfacción de que en todo el diá y la noche reynase el mejor orden , obstante el numeroso concurso de uno y otro sexo, y la alegría dé que te bailaban todos enagenados, y que no se cansaban de espresar con vivas y aclamaciones. , . . . . ~ 1 ■ Valen…</t>
  </si>
  <si>
    <t>Cortés, Antonio María</t>
  </si>
  <si>
    <t>Antonio María Cortés</t>
  </si>
  <si>
    <t>…er sido alumna del referido establecimiento de ianar del Aibaycin, desde él año de 1800 preci samente hasta el dé la fecha , presente mejor hiladas dos libras de lana del país. BI Sr. D. Antonio María Cortés, tesorero principal de rentas, 3lo rs» al maestro ú oficial que acredite su pericia en una pieza de su arte concluida, ademas de sujetarse á prueba de repente en el dibuxo de otra qnalquierá que se le proponga. Otro individúo 200 rs. ai que indique el mejor m…</t>
  </si>
  <si>
    <t>Cortes, Josef</t>
  </si>
  <si>
    <t>Josef Cortes</t>
  </si>
  <si>
    <t>…ntiguo de $u ciase; eL grado de teniente coronel al alférez D. Vicente Martínez, ayu dante dragón: el empleo de capitanes supernumerarios, sin antigüedad, á los primeros tenientes D. Josef Cortes y D. Manuel Liaño: el grado de coronel al primer ayudante mayor del batallón D. Carlos Gonzakz Lianos con la antigüedad del 29 de Mayo. También se digno S. M. autorizar al Escmo^ Se ñor Marques de S. Simón para que espidiese licencias absolutas á los irídividuos que juzgase ac…</t>
  </si>
  <si>
    <t>Cortés, Pedro</t>
  </si>
  <si>
    <t>Pedro Cortés</t>
  </si>
  <si>
    <t>…Castro, Don Josef Morales, D. Joaquín Soravilla , D. Francisco,Mora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 los sargentos primeros D. Juan Pedro Boullu, D. Miguel Campillo, D. Juan López,…</t>
  </si>
  <si>
    <t>Cortés, Rafael</t>
  </si>
  <si>
    <t>Rafael Cortés</t>
  </si>
  <si>
    <t>…fragata D&gt; JoaquínSantaolay a, y el de dragones de. S. Luis D. Nicolás Acosta, al subteniente deTampico D. Francisco Rodríguez, y á los alféreces de fragata í&gt;- Juan Montenegro y D. Rafael Cortés, destacados por mí estos últimos con su infantería á ponerse en la barranca y acábar con los rebeldes que se habían guarecido en ella, como en efecto murieron muchos á sus manos, ínterin yo por .las alturas de la derecha perseguí mas dé una legua á los cabeci…</t>
  </si>
  <si>
    <t>Cortés, Tomas</t>
  </si>
  <si>
    <t>Tomas Cortés</t>
  </si>
  <si>
    <t>…Tobías Blanco Cabrera, D. Francisco Labandeyra, Doh Andrés Fernandez Caballero y D. Diego Prieto. - ; Ascenso á capitanes de fragata á los tenientes de navio D. Ramón de Eulate , D. Tomas Cortés, D. Pedro Bucheli, D. Sebastian Paez de la Cadena, D. Francisco Lafita » D. Joaquín Gil de Bernabé, D. Gregorio Roldan , Don Redro de Nava, iD; Miguel Araoz, D.: Juan Echenique, *6/ Vicente Varela, D. Agustín Blondo, D. Agustwt Wautersy D. Ramón Allendey-D» B…</t>
  </si>
  <si>
    <t>Cortiél, Joaquín Ferraz y</t>
  </si>
  <si>
    <t>Joaquín Ferraz y Cortiél</t>
  </si>
  <si>
    <t>…otra canongía y dignidad de arcediano de Alcaráz, de la de Toledo, á D. Pablo Fernandez de Castró: para Otra canongía, que resulta ^ácánté en ia catedral de Avila por promoción de D. Joaquín Ferraz y Cortiél á otra de la iglesia metropolitana de Valencia, á D. Andrés Toro é Iriiárri, cura párroco de Foncastin, vicaría de Medina del Campo: para otrá canongía, vacante en la iglesia metropolitana de Sevilla por promoción de 15. Juan Acisclo de Vera y Delgado, arzobi…</t>
  </si>
  <si>
    <t>Corveteo.'</t>
  </si>
  <si>
    <t>…e la egecucion de la presente úrden. Dado en el palacio de" las Tullerías de París á 5 de Octubre de 1815, y el 22 de nuestro reinado. = Zw¿r.= El ministro secretario de Hacienda, conde Corveteo.' ' Los austríacos están quitando los caballos de bronce colocados en el ar co triunfal de Carruossel. Estos caballos parece que están destinados á maní—&gt; féstar aí mundo las vicisitudes de ia guerra y de la fortuna. En tiempo de Ne rón fueron transportados d,e…</t>
  </si>
  <si>
    <t>Corvetto</t>
  </si>
  <si>
    <t>…to de las Bo cas delRódano.' : ; v :/■ i. i . : r ■ v DeJa Policía general él señor de Cazes, consejero de Estado. De Justicia el conde de Marbois , par de Francia. De Haciénda el conde Corvetto, consejero de Estado. ; Escriben de Námes, con fecha ¡de 24 de Setiembre, lo que sigue: entre ayer y hoy han salido de esta ciudad el estado mayor:prusiano y las tropas de la misma nación que formaban Ja última guarnición nuestra.! El ¡ mismo movimiento se ef…</t>
  </si>
  <si>
    <t>Cos, Fernando</t>
  </si>
  <si>
    <t>Fernando Cos</t>
  </si>
  <si>
    <t>…ue de bía percibir por el consumo y suministios que por cuenta de sus rentas se hicieron á las tropas. Asimismo se na servido ef Rey nuestro Señor aceptar ef donativo que ha hecho D. Fernando Cos, vecino de la ciudad de Santander, de 22189. rs. 32: mrs.vn.en un crédito Contra lácsprestfda ciudad y su partido de las cua tro villa* de fa costa de _,Ca nrabda, mandando S. M. que eu.suReal nombre se lie den las gracias, y se publique én la gaceta*</t>
  </si>
  <si>
    <t>Cosmau</t>
  </si>
  <si>
    <t>…iéndose á S, M. sin rendirse á las tropas estrangeras. Mr i Lebertre y el capitán de navio Roussen han venido á París comi sionados por el teniente general Brenier y por el contra-almirante Cosmau á rendir al Rey la sumisión de las tropas de mar y tierra dé Brest, en don de se ha tremolado la bandera blanca con beneplácito y regocijo de los ve cinos de la ciudad. Se asegura que el feld-mariscal Blucher va á establecer su cuartel general á Chartres. El…</t>
  </si>
  <si>
    <t>Costa, Andrés</t>
  </si>
  <si>
    <t>Andrés Costa</t>
  </si>
  <si>
    <t>…Salvador Moreno* Vicente Vázquez, D. Tomas Dolagaray, D. Silvestre Blanco , D.&lt; Pedrof Valera, D. Santiago Piñeiro, D. Juan de Mata Marina, 0. Fernando Ruiz&gt; 0, Fulgencio de Toro, D. Andrés Costa, 0.: Manuel Guillelmi ;0.^Jüañ Pé rez Dd vi la, 0. Antonio Primo de Ribera, D. Miguel Coca ySandovalt0bn Juan Pernee de León, 0. Juan López Pinto , 0. Eusebio Martínez* 0* Fran* cisco Bedoya, D. Sebastian de Urra, 0. Patricio Ortiz, D. Francisca Escara re, 0.…</t>
  </si>
  <si>
    <t>Costan, Joaquín</t>
  </si>
  <si>
    <t>Joaquín Costan</t>
  </si>
  <si>
    <t>…se de los suministros que ha hecho á las tropas. Los camareros de los gloriosos S. Ildefonso y S. Atilano, patronos de la ciudad dé Zamora , 90362 rs. de réditos de sus capitales. D. Joaquín Costan 6496 rs., importe de sus sueldos vencidos. El monasterio de S. Gerónimo de Zamora 17720 rs. de suministros</t>
  </si>
  <si>
    <t>Coüaredo</t>
  </si>
  <si>
    <t>…fueron arrojado* de ella por el regimiento austriaco de Wurtemberg. El Archiduque estaría eh St., Marce-aux-Mines el i .° de Julio, en cuyo dia debía embestirse Schlettstadt. - El conde Coüaredo tuvo otra acción seria el 29 último en las cercanías de Befort. En virtud de la naturaleza de] terreno fue grande la oposición; pe ro fue muy pequeña la pérdida de los austríacos. 2.9 Cuartel general imperial de Nanci 6 de Julia de 1815. Milord: Los egércitos…</t>
  </si>
  <si>
    <t>Couplgny, Alejandro</t>
  </si>
  <si>
    <t>Alejandro Couplgny</t>
  </si>
  <si>
    <t>…informes que se hayan re cibido. Teniendo que comunicar cosas interesantes. f D. Antonio Praxts, comisionado que fue en -el.año de -8o8 para el vestuario de la tropa y división de D. Alejandro Couplgny , áí venir aquélla á esta corte después de la batalla de Bailen, acudirá á ¿asa de D. Félix Lázaro y Angúix, que vive calle de los Negros, núm. 32 ; ó des de donde ¿sté avisará á dicho D. Félix de su paradero. ' Se desea saber de Julián Pimentel y López, sarg…</t>
  </si>
  <si>
    <t>Coutard</t>
  </si>
  <si>
    <t>…ers, en Aire ; del; mariscal de campo Argencc ,enel dcpartameiritoldee Nievre; del teniente generál conde de Lapóipe, gobernador de Lila y. de su guarnición ; del teniente general barón Coutard, gefe de las guardias nacio nales de la misma plaza; del teniente general conde Lemarrois, comandante superior de las divisiones militares 14.a y 15.a; dél teniente general conde Leclerc; del teniente general Ronciere, inspector de caballería, ; comandante de…</t>
  </si>
  <si>
    <t>Covarrubias, Garlos</t>
  </si>
  <si>
    <t>Garlos Covarrubias</t>
  </si>
  <si>
    <t>…ález Bravo: para Gober nador Justicia mayor de Valde-Caballeros, y Juez privativo ae las Reales dehesas de los Guadalupes á D. Pedro León de la Plaza Segura: para la de Portillo á D. Garlos Covarrubias: para la de Gimena á D. Josef Mateos y Valle: para la de Garrobillas á D. Dionisio Marcelino Angulo: para la de Cuevas de Vera á D. Josef Vicente de Castro: para la de Benvipre á Don Josef Ruvial: para la de Orgiva á D. Gines Muñoz Paíao: para la de Revi lla…</t>
  </si>
  <si>
    <t>CqntreraSry, Gregorio de</t>
  </si>
  <si>
    <t>Gregorio de CqntreraSry</t>
  </si>
  <si>
    <t>…e de sus caudales piibUcost es pueblo, de. 550. vecinos ,. de mucho paso, y arriería. Los pretendí ¿rites dirigbán sus memo.riales abarúniamiento de dicha villa. ,p o ^ mano de su secretario D. Gregorio de CqntreraSry y'aWrí»» 1 ............ób t- :i ^ Se halla vacante ,1a plaza de médico de, Ja? vRla.dé S. Mí rtin de la Vega ^distan te quatro leguas dé Madrid : su dotación es ^gop.rs, anudes; en lainteligenpia que si algún cirujano latino pretendiese esta.plaza será coa.la…</t>
  </si>
  <si>
    <t>Craiwinkel, Josef María de</t>
  </si>
  <si>
    <t>Josef María de Craiwinkel</t>
  </si>
  <si>
    <t>…rría y D, Eduardo de Silva. j í Lá consideración de capitanes vivos y efectivos: de infantería á Jos alfére^s fí. Rafáel Valcárcel i&gt;.D.'Eduardo de Brett, D.. Francisco de Baños y D. Josef María de Craiwinkel. ' - .-,ó Grado de capitan.de intateríaqal sargento.primero. y .furriel mayór gra.duado de teniente D. Antonio Andrí: grados de teniente á los de la misma clase graduados de subteniente D. Alejandro Valle y D. Guillermo Yanosen; y grados de subteniente á los…</t>
  </si>
  <si>
    <t>Craoyvinguel, Miguel</t>
  </si>
  <si>
    <t>Miguel Craoyvinguel</t>
  </si>
  <si>
    <t>…e por fallecimiento de D. Lucas Quiñones, á D. Juan González Villar, canónigo lectoral de la misma catedral: para el[ de la iglesia metropolitana de Granada, vacante por muerte de D. Miguel Craoyvinguel, á D. Josef Alonso Montoya, deán de la iglesia catedral de Almería: para el de la de Lugo , vacante por fallecimiento de D. Antonio de Lence, á D. Manuel Fernandez Varela, prior de Accba, y canónigo de la misma catedral: para una canongía de la iglesia catedr…</t>
  </si>
  <si>
    <t>Cremona, Santos</t>
  </si>
  <si>
    <t>Santos Cremona</t>
  </si>
  <si>
    <t>…ase ro, D. Manuel Bénjumeda * D. Gerónimo Muñoz, D. Sisto Fajardo, D. Ma-„ miel Fernandez 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 Oña, D.. Francisco Antdhio Líbref ; D. Joaquín MuezVD.…</t>
  </si>
  <si>
    <t>Crene-</t>
  </si>
  <si>
    <t>…ochecer del dia 2 envió un parlamentario pidiendo un armisticio: la respuesta de los alia dos fue que entregase á Befort. El general barón Fximont refiere desde Shene que el 28 el general Crene-</t>
  </si>
  <si>
    <t>Crenne</t>
  </si>
  <si>
    <t>…nte rechazó todos sus ataques, sino qiiele embistió y le derrotó enteramente, persiguiéndole hasta Jivian.__El general íRadivdjevich hace un elogio particular del teniente de feld-mariscal Crenne^víHe, y sobre todo del mayor general Bdydann, que con cuatro compañías iiostuvo un combate bríllanté: y decisivo .contra 13® hombres.v El mayor S. Ennois, del séptimo batallón de cazadoresy el capitán ScH-midt, que se distinguió^páTrticulafmenteíCon su- cáinp…</t>
  </si>
  <si>
    <t>Crespa, Manuel</t>
  </si>
  <si>
    <t>Manuel Crespa</t>
  </si>
  <si>
    <t>…sef Navarro, 0; Baltasar Co&gt; mellas, 0. Juan Brayo, D. Josef González Merino, D. Joaquín Aguado , Bou Ramón Palacio, D. Josef Meneses , D. Antonio Riosoto , 0. Manuel Monde* toro, D. Manuel Crespa, D. Luis María Sarasti, D. Tomas Orive, 0. Ma« jnuel Cayaleri , D. Agustín del Barco, D. Francisco Andrada, D. Juan Ltí« »ás,D. Joaquín ALvarez Maldbnado, 0. Rodrigo Sánchez Airona, D. RaU* hiel Arango, D. Lean. Grl de Palacio, D. Joaquín Villaba, 0. Antonia…</t>
  </si>
  <si>
    <t>Crespo, Braulio</t>
  </si>
  <si>
    <t>Braulio Crespo</t>
  </si>
  <si>
    <t>I&gt;. Miguel Pavat, y D. Francisco Qnadrado , dei segando Batallón de ídem; D. Braulio Crespo, D. Juan Zaragoza, D. Josef González, D. Pedro Iribarren, D. Joaquín Rodríguez, y JX Francisco Manso, del tercer Batallo.n de ídem; D. Francisco Picado, Ayudante de U plaza dé. Ciudad-?Ro drigo, y D. Josef Borgara y D. Jqaa Fermín Castillejo., del Batallen de…</t>
  </si>
  <si>
    <t>Crespo, Felipe</t>
  </si>
  <si>
    <t>Felipe Crespo</t>
  </si>
  <si>
    <t>…nuel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 IX Plácido Gúell, D. Joaquín González', IX Juan García-, '0; Ramón de Coba, D. Josef Mon tano,,? D. Ignacio Foja, rD. Antonio Marco ,…</t>
  </si>
  <si>
    <t>Creux, Jayme</t>
  </si>
  <si>
    <t>Jayme Creux</t>
  </si>
  <si>
    <t>…mostraciones correspondieron con las voces de viva el Rey. El dia 16 de Octubre próximo pasado tuvo la honra de felicitar á S. M. á nombre del cabildo de la santa iglesia de Urgel D. Jayme Creux, canóni go doctoral de la misma, y electo obispo de Menorca, acompañado de Don Juan Roca, canónigo de la colegiata de Guisona,en los términos siguientes: „Señor: tarde podria parecer que llega el cabildo de Urgel á manifestar á V. M. sus sentimientos de respe…</t>
  </si>
  <si>
    <t>Cris</t>
  </si>
  <si>
    <t>…ingo Henriquez de Puerta, á D. Ramón de Valdes Llanos, dignidad de abad y canónigo de la de Falencia: para una ca nongía de la iglesia catedral de Plaseqciá, vacante por muerte de D. Cris tóbal Hernández y Araujo, á D. Ramón de Pineda, inquisidor jubilado del santo tribunal de Córdoba, en atención á sus méritos y servicios: para otr$ canongía de la referida iglesia catedral de Piasencia, vacante por muerte de D. Luis Merino de Vargas, á D. Jua…</t>
  </si>
  <si>
    <t>1412</t>
  </si>
  <si>
    <t>…obernador interino, el referido alcaide mayor D. Pedro Josef Rovira, el sargento mayor graduado de teniente coronel D. Josef de Mosquera y Figueroa, y el teniente coronel graduado D. Cris tóbal Frucker y O-Donell, director de la escuela militar de cadetes; y ha biendo llegado á la iglesia se cantó con la mayor pompa el Te Demn, y en seguida se celebró una misa solemne con sermón; y concluida esta función fue conducido el retrato á las casas co…</t>
  </si>
  <si>
    <t>Crisóstomo, Juan</t>
  </si>
  <si>
    <t>Juan Crisóstomo</t>
  </si>
  <si>
    <t>…spo de León: para la de Campana á D. Josef Domingo Casaux: para la de Fuentidueña á D. Mariano Vergara Perez: para la de Almázan á D. Agus tín Medina y Lavalle: para la de Zafra á D. Juan Crisóstomo de la Peña: para la de Cazorla á D. Manuel María de Peralta: para la de Benamegí á D. Cristóbal María Auton: para la de Cervera del Rio-Pisuergá á D. Roque Naranjo: para la de Astudillo á D. Eustaquio Manuel de Irala y Zavala: para la de Lora del Rio á D. Man…</t>
  </si>
  <si>
    <t>Cristóbal</t>
  </si>
  <si>
    <t>…goleta á la Jamayca para conducir al comisario francés, á quien dexó en la"-mejor-casa de Puerto-Príncipe, y principió á tratar con él sobre ciertas negociaciones. La conducta del rey Cristóbal se explicará fácilmente si se reflexiona la preferencia que ha dado á Petion el gefe de los comisarios franceses. Este escribió á Petion un mes ames que Cristóbal, el qual no podía ignorar la salida de la goleta para conducir á e.tos comisarios á la capital d…</t>
  </si>
  <si>
    <t>…nso, Carrero, contador de la Real H-r ........v ..... ......XX' v.:,:?HpB|P|cs de tesorero de egército á D. Domingo Pogío y Alfaro, tesonero principal dé renté? de- Canarias &gt; y á D. Cristóbal .Garrido, tesorero p^inet^ paJ:dé.rcntas^de,Alicané?. ;■ ...,y:;X. •* . Cruces supernumerarias, de Carlos nr. * * \ j 'XX' • * W' ,v ^ ’■ * ^ XX- "T^“‘ '•* &gt;' &lt; ÍX¿ ■’ £¡L¿ A Dv pamiago Di^gp Calong£&gt; D. r rancisco 4e tSaidWez«iixKYi^^ dedfcf •comisión de pré…</t>
  </si>
  <si>
    <t>…noticia acuda á D. Benito Cortazar, que vive Corredera de S. Pablo, casa del conde de Alcolea, para comunicarles noticias interesantes. Se desea saber de la existencia ó muerte de D. Cristóbal de la Barrera,:soldado distinguido del regimiento i.° de Saboya, que desde la batalla de Tudela no se sa be positivamente de su suerte. La persona que supiese de ella tendrá la bondad de avisarlo á D. Antonio, su hermano, que vive Postigo de S. Martin, núm. 2…</t>
  </si>
  <si>
    <t>…uerpo de Aírtdtóav &gt; :&gt;: n r-yj .v.l'p.'-ío - De coronel al teniente coronel D. Manuel Matm&gt; de Guinea: de tenientes coroneles á los&gt; sargentos mayores 0.* Juan Ramírez Piéarro i, D. Cristóbal dé Reina, D. Vicente González Moro, D. &gt; Jman Loriga, D. Fernando Gocho, D. Mateo Hernández, 0. Pedro del Barco ; Jrá los capitanes D. Luis Abneig^ D. Josef Luna, D. Antonio Loriga, D. RamónCucalón., D.RamonTavaiy D, Pedro Argaiz, D:¡ Pabío Venéwies .y jDi jF…</t>
  </si>
  <si>
    <t>…sef Tovar y D. Josef González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 D. Josef.Escovar;D.:Santos Leccea£ D. Bernardo Latorre, D. Joaquín de la Cámara…</t>
  </si>
  <si>
    <t>Cristóbal, Henrique</t>
  </si>
  <si>
    <t>Henrique Cristóbal</t>
  </si>
  <si>
    <t>…había vendido á Taussaiut; que sus instrucciones secretas eran el excitar una revolución, y que en consecuencia había sido arcabuceado como espía.” Los partidarios añaden ,,que el rey Henrique Cristóbal había dado cuenta al presidente Petion de haber puesto preso á Franco, y que Petion había puesto presos á Lovaysse y Draveman, que eran los otros dos comi sarios que habian ido á Puerto- Príncipe con ios mism-s designios que Fran co al Cabo, Esta circunstanci…</t>
  </si>
  <si>
    <t>Croft, Juan</t>
  </si>
  <si>
    <t>Juan Croft</t>
  </si>
  <si>
    <t>…RTUGAL. . " Lisboa es de Eneré. En la sesión de la academia Real de las Ciencias de esta ciudad de n^e este mes se presentó por primera vez, después de sn vuelta de Inglaterra, el Sr. Juan Croft, individuo de ella,, y actualmente empleado en la embaxada británica en esta ciudad,,y pronunció et discurso siguiente: ,, Tengo la mayor satisfacción de hallarme otra vez en un país qne apre cio cordialmente, y sobré todo ahora que me veo,en el seno de este…</t>
  </si>
  <si>
    <t>Croquer, Eligió</t>
  </si>
  <si>
    <t>Eligió Croquer</t>
  </si>
  <si>
    <t>…dé Apodápa* D. Francisco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t>
  </si>
  <si>
    <t>Cruz, Antonio</t>
  </si>
  <si>
    <t>Antonio Cruz</t>
  </si>
  <si>
    <t>…o, que ha merecido la aprobación de todos los inteligentes, que lo prefieren al que viene del estrangero, por ser de mejor calidad, como lo ha demostrado el catedrático de química D. Antonio Cruz delante de sus discí pulos. Se ha arreglado ai equitativo precio de 8 rs. libra y 180 rs. arroba al pie de la fábrica; y para mayor comodidad del público se venderá también en la botica de la Puerta del Sol, frente al Vivac. Se advierte que de esto* precios s…</t>
  </si>
  <si>
    <t>Cruz, Gonzalo de Herrera Beltran de Santa</t>
  </si>
  <si>
    <t>Gonzalo de Herrera Beltran de Santa Cruz</t>
  </si>
  <si>
    <t>. t , t *029 En atención i fas distinguidas circunstancias de D. Gonzalo de Herrera Beltran de Santa Cruz , vecino de la plaza de la Habana, y en consideración á los servicios que ha hecho,se ha dignado el Rey nuestro Señor concederle fa llave de gentilhombre de cámara con entrada. La junta general del principado de Asturias en la sesión celebrada en 29 de Mayo ú…</t>
  </si>
  <si>
    <t>Cruzado, Antonio</t>
  </si>
  <si>
    <t>Antonio Cruzado</t>
  </si>
  <si>
    <t>…a^ principalmente la que venia batida por íás referidas guerrillas , contra la que destaque con buen suceso la primera compañía de fusileros del primer regí-, miento al; mando del capitán D. Antonio Cruzado; y en seguida hice que* subiese toda la gente al cerro, quedándome sólo coi) ipphombres para aien-^ der á las .necesidades que pudiesen sobrevenir ep la, diversidad de ataques á, que estaban esparcidos mis cuidados , porque se peleaba á un mismo tiempo•.*-&gt; .…</t>
  </si>
  <si>
    <t>Cuadrado, Ignacio</t>
  </si>
  <si>
    <t>Ignacio Cuadrado</t>
  </si>
  <si>
    <t>…f Saravia ,* D. Manuel Vigo, Don Gaspar Pineda, D. Josef Mozo, D. Juan de* la Cueva, D. Juan Delgado,: D. josef Febrer , D; Mariano Henarejos, D; Ciríaco Mella , D. Juan Sanjurjo, D. Ignacio Cuadrado,: D. Juan Aleson, D. Honorio Siréra ; D. Pedro Vizcarrondo, D. Josef Guimbarda, D. Juan Sotélo, D¿ Tiburdo Basanta, p. Rodrigo Tavira , D. Manuel de Lis , D/Felipe Herreros , el marques del Moral, D. Sebastian Iglesias, D. Salvador de Cárdenas, D..Andrés Maym…</t>
  </si>
  <si>
    <t>Cubero, Josef Figuez y</t>
  </si>
  <si>
    <t>Josef Figuez y Cubero</t>
  </si>
  <si>
    <t>…manifestando verbalmente el objeto de ellav Presentáronse á ser examinados D. Juan Nepomuceno Magan, guardia su pernumerario de menor edad de la Real Persona, D. Pascual Asensio, Don Josef Figuez y Cubero., D. Nicolás Diaz Lavandero, D. Manuel Batanero, D. Fernando Arranz de la Torre y D. Joaquín Amor, quienes hicieron los «pércidos que prescribe-el reglamento de esta escuela, en cuyo intermedio el*</t>
  </si>
  <si>
    <t>Cuellar, Josef María de</t>
  </si>
  <si>
    <t>Josef María de Cuellar</t>
  </si>
  <si>
    <t>…s de oficinas, y personas de am bos sexos de la primera distinción que la autorizaron con su presencia. A es te discurso se siguió la lectura de una memoria, en la que su autor el doctor D. Josef María de Cuellar, abogado en esta ciudad, y secretario segundo de la corporación , espuso los trabajos de la sociedad: después de lo cual se pro cedió á la distribución de los premios; y concluida esta leyó el secretario per petuo primero de este cuerpo un pequeño discurso,en…</t>
  </si>
  <si>
    <t>Cuellar, Ra.tncn de Milla</t>
  </si>
  <si>
    <t>Ra.tncn de Milla Cuellar</t>
  </si>
  <si>
    <t>…ue quiera mejorar dicha postura'acudirá á hacerlo á la secre taría de dicho hospital , donde se le demostrarán las condiciones» . Estando pendiente por la escribanía del número de D. Ra.tncn de Milla Cuellar la dimisión de bienes hecha por la casa de comercio d«:P- Francisco Sacristana é hijos de esta corte, se ha mandado convocar á junta de acreedores,por el Sr. Don León de la Cámara Cano, del consejo de S. M., y teniente primero de corregidor, .Señalando para e…</t>
  </si>
  <si>
    <t>Cuellar, Tomas</t>
  </si>
  <si>
    <t>Tomas Cuellar</t>
  </si>
  <si>
    <t>…Xavier Tristan, á Frey D. Josef Serafín de Lara, cura rector de la parro quial de Martos en el mismo obispado: para otra de la de Lugo * vacante por muerte de D. Miguel Uñarte, á D. Tomas Cuellar, medio-racionero dé la de Segovia: para otra canongía de la iglesia catedral de Zamora, qne re sultará vacante por promoción de D. Juan de Vargas y Varaez á otra de la iglesia metropolitana de Granada, á D. Nicolás Colmenero: para otra ca-‘ nongía de la igles…</t>
  </si>
  <si>
    <t>CueMár, Pedro Antonio de</t>
  </si>
  <si>
    <t>Pedro Antonio de CueMár</t>
  </si>
  <si>
    <t>…oficio de regidor perpetuo de la ciudad de Búrgos qué pertenece í los hijos 'del difunto D. Ramón Quintano y Sta. María, caballero que fue del orden de Caútrava, acuda en Madrid á D. Pedro Antonio de CueMár, que vive calle de Leganitos, núm. 1 2 , cuarto principal, y en Búrgos á D. Joaquín Quintano, quienes informarán de sus cualidades y precio. Cualquiera persona que tenga algún crédito activo ó pasivo con la testamentaría del difunto D. Felipe Díaz de Ortega,…</t>
  </si>
  <si>
    <t>Cuenta, Béliard da</t>
  </si>
  <si>
    <t>Béliard da Cuenta</t>
  </si>
  <si>
    <t>…ación se mejora de dia en dia, ! i t* , rr, k »..• ’ - nr&gt;f«;I .ki' El mariscal Grouchy se ha reunido y*. Este mariscal estaba en Rbetél el 24. • EGERCITO DEL" MOSELÁ. .1 t ! : El general Béliard da Cuenta que el enemigo estaba eh Sarrebruck; y que una desús columnas, procedente de Blisberckenyse hallaba también en Rítche. El general ha1 tomado; providencias para cortar estos movimientos. ; El general &lt; Dumonceaü anuncia , con referencia á un paite el general L…</t>
  </si>
  <si>
    <t>Cuervo, Eugenio Manuel</t>
  </si>
  <si>
    <t>Eugenio Manuel Cuervo</t>
  </si>
  <si>
    <t>934*. consejo, y cámara de Castilla-;. D. Eugenio Manuel Cuervo, auditor de guerra, y IX Manuel Fernandez y Reguero, diputado del espresado partido, c . .*v ; ARTICULO DE OFICIO. El Rey se ha servido espedir el decreto siguiente: * Deseando^ promover las ciencias y facilitar su estudio á todos mis amados vasallos, como qu…</t>
  </si>
  <si>
    <t>….-y'. : ,i: ¿i l. ' ¡ '--y . - ' • ■’ El R ey se ha servido crear dos plazas mas de-alcaldes mayores del crtmen en la audiencia de Galicia, y ha ndiribrado S. M. para la primera á Don Eugenio Manuel Cuervo, asesor togado de las islas de Ibrza y Fonnentera, y para la segunda á D¿ Félix Andrés, d[e Pazos, y, Montenegro. i j ¿ ¡1'• , cy /. • ■ y-&gt;'. i;"! y •. .'-a -■ ..'.Li' 'i ' r. o.. ; • / * . EÍ Réy nuestro 5eñor , á cuyo conocimiento ha llegado pdr conducto d…</t>
  </si>
  <si>
    <t>Cuesta</t>
  </si>
  <si>
    <t>…isionero de allí para Francia, sin haber vuelto á saber de su existencia: y asi-:j mismo del de Baltasar Martin , también miliciano provincial, presentado en Aréválo aÍ Etcmq. Sr. general Cuesta, y cabo, 2 ° del &amp;eal cuerpo de Artillería de Segóvia, destacado á la batería de Casa blanca de Zaragoza en fines de 808. los subscriptores á la historia razonada de la gloriosa revolución de España con tra é! tirano Napoleón acudirán á recoger el tomo 4.0 á…</t>
  </si>
  <si>
    <t>Cuesta, Melchor de</t>
  </si>
  <si>
    <t>Melchor de Cuesta</t>
  </si>
  <si>
    <t>…do Cayetano García á otra canongía de Oviedo á D. Juan Antonio Fuero,: arcediano de la iglesia* de Chiapa , en la provincia de Goatemala; y la ración que vacó por fallecimiento de D. Melchor de Cuesta á D. Diego Martin Blan co : el beneficio servidero de la ciudad de Cazorla, que vacó por muerte de D. Alejandro Ufano, á D. Juan Gómez de la Torre: otro beneficio servide ro vacante en la parroquia de S. Pablo de Ubeda por muerte de D. Manuel Aguayo á D. Gasp…</t>
  </si>
  <si>
    <t>Cueto, Josef Sánchez</t>
  </si>
  <si>
    <t>Josef Sánchez Cueto</t>
  </si>
  <si>
    <t>…ra la ce Villafranca del Vierzo á D. Antonio Piernas : para la dé Rivadavia á D. Martin Rodríguez Ojea: para la de la Rambla á D. Antonio Hermida , Bascoas: para la de Belmonte á D. Josef Sánchez Cueto: para la de Saníúcar de Barrameda á D. Jacobo Vázquez García: para la primera de Córdo ba á SD. Josef García Leca: para la de Sigüenza á D. Juan Peynador y Pi no: para ia de Iguña á D. Isidoro de Josué y Barreda: para la de Leinus á D. Francisco de Paula Vill…</t>
  </si>
  <si>
    <t>Cuicheyro, Juan</t>
  </si>
  <si>
    <t>Juan Cuicheyro</t>
  </si>
  <si>
    <t>…te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 Francisco Espiñeyra , del de Lu go; D. Pedro Tineo,…</t>
  </si>
  <si>
    <t>Cumbo, Josef</t>
  </si>
  <si>
    <t>Josef Cumbo</t>
  </si>
  <si>
    <t>faro Vazqiiez de Acuña.=La canongía que ha vacado en la catedral de Segorve por fallecimiento de D. Pedro Lorenzo Bueno á Fr. D. Josef Cumbo, del orden de S. Juan.=La canongía vacante en la catedral de Lugo por muer te de D„ Antonio Lence á D. Pedro Martínez Sarmiento, cura párroco de San Pedro de aquella ciudad.=La ración vacante en la parroquial de Berbegal, diócesis de Lérida, á D. Josef Cagigo…</t>
  </si>
  <si>
    <t>Cuquexo, Manuel</t>
  </si>
  <si>
    <t>Manuel Cuquexo</t>
  </si>
  <si>
    <t>Lamas: para el de S. Vicente de Viíoa, en el obispado de Lugo /vacante por ascenso de D. Benito Perez Taboada al curato de Sta. María de Fecesj á D. Manuel Cuquexo, diácono, natural de Villamayór de la Boullosa,dió¿ cesis de Orense; y para el curato del lugar de Navascurial, en el estado de Piedrahita, diócesis dé Avila, vacante por ascenso de D. Juan Josef García Margallo al de S. Martin de Aguis, en ei obispado de Ore…</t>
  </si>
  <si>
    <t>Custodio</t>
  </si>
  <si>
    <t>…mitirán las posturas que se hiciesen, siendo ajrrégifiidás á lo anteriormente prevenido, y deberán egecutafse pdr la e$ciíbá$ífi principal de Guerra de esta provincia del cargo de D. Custodio llefitiquefi, sita en la calle del Príncipe. En él ju/gado del Sr, D. Joaquín de Almazanydel cónsfejb de S. M.yfehíenté de corregidor de esta' villa, y por la escribanía del numero dé ’Dv JüánP Antomb de' Frraza, se hallan radicados los autos - de testamentar…</t>
  </si>
  <si>
    <t>Cutanda, Joaquín Sánchez de</t>
  </si>
  <si>
    <t>Joaquín Sánchez de Cutanda</t>
  </si>
  <si>
    <t>…fallecimiento del limo. Sr. D. Francisco Porro y Peynado, á Don Gerónimo Castillon y Salas, maestrescuela de la catedral de Huesca: para la de Hoesca, vacante por muerte del limo. Sr. D. Joaquín Sánchez de Cutanda, á D. Eduardo María Saeñz de la Guardia, deán de la iglesia cate dral deJLéfida: para el deanato de la iglesia catedral de Barbastro, vacante por fallecimiento de D. Francisco Falces, á D. Joaquín Allue y Bendicho, canónigo de la misma,catedral» y para el ofi…</t>
  </si>
  <si>
    <t>Czartorisky</t>
  </si>
  <si>
    <t>…dimisión deí ministerio de Negocios extrangeros, y que S. M., el Emperador Alejandro ha, qonty brado en su lugar al conde de £$po de Istria por lo que toca aLImpeno xa^ •o , y al príncipe Czartorisky per I9 que pertenece á laPalonb.</t>
  </si>
  <si>
    <t>Czemichejf</t>
  </si>
  <si>
    <t>…Spira: 28 en Rheinzabern: 29 en Weiffenburg : 30 en Haguenau; i.° de Julio en Savern: 2 en Saarbourg: 3 en Hall: 4 en Vick: 5 en Nanci. Relación de la ocupación de Chalons por el general Czemichejf\ El general Czernicheíf, después de haber hecho diferentes marchas forza das, llegó el 13 de Junio delante de Chalons sobre el Marne, y habiendo sabido que habia en la ciudad una guarnición compuesta del regimiento 12.a de infantería de línea y 6 piezas de ar…</t>
  </si>
  <si>
    <t>Czernicheff</t>
  </si>
  <si>
    <t>…isos del Duque de Weliington y del mariscal Blucher, de avanzar rápida mente. Parece qtle las autoridades de Nanci piden al Príncipe Wrede que man tenga el ¡orden en la ciudad. El general Czernicheff se encontró á la izquierda del Mosela, entre Metz y Longvióñ V con úti cuerpo de enemigos que se componía de unos 2 á 3® hombres, de un escuadrón de coraceros y de alguna artillería; los ataco y loTárrojó hastá hacerlos énrrairsé en Metz. ’ ' El cuerpo del ge…</t>
  </si>
  <si>
    <t>CzernicheíF</t>
  </si>
  <si>
    <t>…ríncipe \Vrede por Nanci, y hoy está en Pont-au-Mousson. La caballería de los generales Lambe rt y Korff ocupan el país, y patru llan hácia Verdun, Clermont, Dunn, Montmedi &amp;c. El general CzernicheíF estaba el 29 en Rheims , y se adelantó el 2 á Chalons , en donde tuvo una acción brillante. Según los mejores informes que he podido adquirir, parece que envió unos 100 caballos como vanguardia al mando del coronel Nastetz, que se metieron dentro de la ciudad…</t>
  </si>
  <si>
    <t>Czernicheíf</t>
  </si>
  <si>
    <t>…oberanos y del Príncipe feld-mariscal Schwarzenberg se pondrá en marcha mañana para Void. 3= Tengo la honra &amp;c.= Stevoart. ' ¡P. JO. Acabo de recibir noticia de que hoy llegará el general Czernicheíf á Meaux, sitio en donde el 9 pensaba establecerse el Príncipe Wrede. Es tracto de un oficio del general Cat heart al vizconde Castlereagh desde el cuartel general de Nanci el &lt;T de Julio de 181$. El Emperador de Rusia, acompañado del de Austria y del Rey de P…</t>
  </si>
  <si>
    <t>…bajo de Toul, donde Iiay un vado , y el Mosa en Fagrti, y avanzara á Uvid. Tengo la honra de incluir una relación de la ocupación de Chalons so bre el Mame por el teniente general conde Czernicheíf, con algunos cosados y otras pocas tropas ligeras, donde cogió al enemigo seis piezas, y con tinuó á unirse ó con el mariscal Blucher ó con el Duque de Wellington. El Príncipe Wrede ha avanzado por el camino real de Strasburgo á Pa rís , y estaba en St. Dizie…</t>
  </si>
  <si>
    <t>D, Blas Ñégfo y</t>
  </si>
  <si>
    <t>Blas Ñégfo y D</t>
  </si>
  <si>
    <t>…n Jbséf Baríiteli. Grado de capitán de infantería al sargento primero graduado de teniente D. Bernardino Garay: grados de teniente á los de lá misma clase graduados de subteniente D. Blas Ñégfo y D.- Rufino de Castro ; y grados de subteriiente á'lps dé la propiaclase D* Peregrino Bau, D. Cárlos González , D. Anto nio .Bárfiiosp/, P* Pedro .Giménez', fí. Francisco Muñoz y fí. Alejandro Barrios-. .: -f ' • i. En el regimiento de sus Reales guardias de infa…</t>
  </si>
  <si>
    <t>D, Domingo Chaves y</t>
  </si>
  <si>
    <t>Domingo Chaves y D</t>
  </si>
  <si>
    <t>…D. Joaquín Collado: al de volunta* ríos de Avila D. Josef Aíárcon: á los del regimiento provincial de Segovia 1). Nicolás de Torres, D. Bernardo Miravalles , D. Gerónimo Rodrigo, D. Domingo Chaves y D&lt; Fernando Mateos Mettdez : á los de los batalló-» nes de Ciudad-Rodrigo D. Ramón ViMate, D. Marcelo Sicilia , D. Ju?ndé Sahtgun Vicente, D. Tomas PefeZ, D. Juan Orejas , D. Antonio García, D Josef Noguera, D. Josef Zoyíó Calvo, D. Manuel García y D Vicen* te…</t>
  </si>
  <si>
    <t>D, Josef López y</t>
  </si>
  <si>
    <t>Josef López y D</t>
  </si>
  <si>
    <t>…ender á capitán de granaderos al de fusileros t). Ramón Caro» y ^ñira Ja resolta de este al ayudante mayor de dicho cuerpo D. Bartolomé Lizon: ¿ capitanes segundos á los tenientes D. Josef López y D; Luis Ginetir á ayu dante mayor del 2° batallón al capitán segundo D. Josef Osorio: á tenien te de granaderos al de la misma clase graduado de capitán D. Salvador Valdeyuli: á tenientes de fusileros á los subtenientes D. Cárlos Ñoñez, Don Juan Nuñez y D. Jose…</t>
  </si>
  <si>
    <t>D, Juan Manuel Mico Cagigas y</t>
  </si>
  <si>
    <t>Juan Manuel Mico Cagigas y D</t>
  </si>
  <si>
    <t>…matemáticosjy c.ajU^^ ^ &lt; &amp;©$.pMNÍ¿doa en calidad de extraordinarios, por 90 jiabejr de qTÍmera^dUselrfuteron D Josef Ramón deSanta Cruz y D. Diomw'dc^nguirre: én la clase segunda D. Juan Manuel Mico Cagigas y D.Josef Saun^enja tercera D.'JasSasio</t>
  </si>
  <si>
    <t>D, Luis</t>
  </si>
  <si>
    <t>Luis D</t>
  </si>
  <si>
    <t>…las de los templarios.... y con otras va rias notas, todas relativas al trastorno que se ve hoy día en la Europa: tercera edi ción, nuevamente corregida por su autor el presbítero D. Luis D....... La mejor re comendación de esta obra es el haberse hecho en menos de año y medio tres edicio nes de ella. Se hallará,en las librerías de Rodríguez, calle de las Carretas, de Amposta, calle del Príncipe, y de Villa, plazuela de Sto. Domingo: su precio 4…</t>
  </si>
  <si>
    <t>D, Pédro Simo y</t>
  </si>
  <si>
    <t>Pédro Simo y D</t>
  </si>
  <si>
    <t>…e f« Parra y D. Joaquín Lorenzo Mózq; y para alcaldé del;crimen dé la misfma?á D. Salvador Antonio Fernandez y TorreV: pára Oidores; de la áudieñ. ciá de Sevilla á D . Josef Miér, D. Pédro Simo y D: Francisco Ola va rrieta ; y pará alcaldes de la qnadra de 'éUa’á ■ D. josef Santa 1 María, Don Eugenio de Larrumbide y- D. Manuel "Victoriano Moyaíios. Asimismo' ha conferido el empleo de juez civil de Cádiz á D. Hermenegildo Rodriguéis oidor de la audiencia…</t>
  </si>
  <si>
    <t>D, Rafael Ignacio Fañtohfip</t>
  </si>
  <si>
    <t>Rafael Ignacio Fañtohfip D</t>
  </si>
  <si>
    <t>…ernaez; D. Josef Félix Gómez; D* Diego Gas* támbide; D. Jícóbo Gattens, de Sevilla; D. Rafael de Góngora y Delgado; Do* Ignacio Casal ; D. Andrés Marzan; D. Pedro Martínez Lozano; D. Rafael Ignacio Fañtohfip D/"Joaquín dé la Barrera y Cuadra, y D. Fernando Márquez de la Plata, i fin de que los qué*$e’contemplen con algún derecho al citado vale comparezcan por sí ó por medio de sus respectivos apoderados á deducirle con las formalidades que se requieren en el términ…</t>
  </si>
  <si>
    <t>D, Roche y</t>
  </si>
  <si>
    <t>Roche y D</t>
  </si>
  <si>
    <t>…osef Vicente de Barrenechea, D. Simón de León Santos, D. Josef Escarano, Í). Francisco Hurtado de Mendoza , D. Pablo Ibañez , D. Juan Josef de Barciterrechea, D. Juan Quintana, el general Roche y D; Josef Pando. a Por la Mayordomía, mayor. ; j , i Llaves de gentileshombres de cámara con exercicio' al marques de Malpica,' al duque de San Fernando , al conde de Santa Colonia, al marquéis de Alcañices, al marques del Aguila y al conde de Qolomera. " » . :…</t>
  </si>
  <si>
    <t>D, Rufino Torrótitegui y</t>
  </si>
  <si>
    <t>Rufino Torrótitegui y D</t>
  </si>
  <si>
    <t>…D. RamonTruHol, Don -Vicente jde "Lago y D; Josef Arn*r -y I&amp;ynaydX^Jüan Diaz' Maqueda,Don -Jdsef Losada y Ribera, j D. Simón Londoñb ,30. Luis Boisgroller, D. Jacin to Marcayda, D. Rufino Torrótitegui y D." Josef García Campero, D.* Pedro Montuel, D. Joaquín Moyua, D. Manuel Salaberria, &gt;D. Eugenio Vizcaíno, D. Félix Torrontegui, D. Luis de ios Riosy1Ü&gt;.: Vicente Sáavedrá, D. Migue! Montemayor, D. Martin Mendoza, D. Julián Henriquez, D. Josef'dél' Rio Eligió, D…</t>
  </si>
  <si>
    <t>D, Secretario' del</t>
  </si>
  <si>
    <t>Secretario' del D</t>
  </si>
  <si>
    <t>…* y puedan incorporarse con loo discípulos que en el día asisten á su enseñanza* y en la segunda k&gt;s que deseen dar principia á: dichas ciencias.. ARTICÜ.üO1 DE OFICIOJEl Éxentoi- Sr. Secretario' del D^'Spacha- de ’GYa ia y Jtifíiaa ha dirigida di Exi mo. Sr.. cénded'e• Motézumay Corregidor de'esta heroica villa y el • r i v fd j i . f. i ' ' f ojictQi siguiente ¿ n Exorno. Sr*.:,Enterado*él; Rey dé lo expuesto* por. el ayuntamiento de es ta heroica^ villac…</t>
  </si>
  <si>
    <t>D, Serafín y</t>
  </si>
  <si>
    <t>Serafín y D</t>
  </si>
  <si>
    <t>…é Leoia y la casa de Gómez que lo son de Bayona^ de Francia \ á D. Luis Atami. de Vitoria; á Agustin García, de la villa de Torrijos; á Carlos y Antonio Sánchez. Antonio Blazquez, D. Serafín y D, Agustin Lezamaiz, vecinos de la vi lla del Prado; á D. Ramón de Ataola, de la de Ajofrin; á D. Josef Francisco del Valle, de Madrid, y á D. Josef Irunzaga, de la de Bilbao; todos acreedores á la testamentaría de D. Frutos Rodríguez Noles, vecino y del comerc…</t>
  </si>
  <si>
    <t>D, Tgnacio Glaetay</t>
  </si>
  <si>
    <t>Tgnacio Glaetay D</t>
  </si>
  <si>
    <t>…s Riosy1Ü&gt;.: Vicente Sáavedrá, D. Migue! Montemayor, D. Martin Mendoza, D. Julián Henriquez, D. Josef'dél' Rio Eligió, D; Juan jósef Giiidoy D/ BenitodelaRigádtf &amp; Miguel Lizarza, D. Tgnacio Glaetay D/Francispo de Zayasy-D. ;juanrMiyáres ¿ jD.&gt;Antonio -Abadía» Ds Manuel Fernandez Fiorez. IX Ramón García Florez» D. Anto*</t>
  </si>
  <si>
    <t>D, Tomas Saenz y</t>
  </si>
  <si>
    <t>Tomas Saenz y D</t>
  </si>
  <si>
    <t>…Josef Cebrian ,;D. Salvador Pa nlagua, D. Josef Saenz dé Viniegra, p. Narciso Gómez.Quintana, D. Ca yetano Pimente! ,:yá los ‘artilleros distinguidos D. Manuel Rodríguez Sote* lo, D. Tomas Saenz y D.í ¡ Josef Riera. V !* ! ^ ' - ■ . ; i -/cS ■' ■ &gt; . • : r.:u v.,* : S. M. ha nombrado oidor de la chancilíería de Valládolicl á D. Josef Alonso ValdénebrÓ t. pkfá 'qnatro plazas de alcaldes del" crimen de ella á D. Josef Gónzalei Villar ,. D. Josef María Garcí…</t>
  </si>
  <si>
    <t>Dá, Josef</t>
  </si>
  <si>
    <t>Josef Dá</t>
  </si>
  <si>
    <t>…Josef Funes, D. Ignacio Iturrigaray, D. Fran cisco Martos,: D. Francisco G^rces, ,D. Gonzalo Lobo , D. Josef Araujo, p. Josef Rovirat, D. Antonio Sierra , D, Josef María Lauquer, D. Josef Dá^ viía, ,D&lt;Antonio Alvare^, D, Joaquín Asensio, D. Benito Ibañez, D. Anto nio Casbas j D. Francisco Botella, D. Josef Rasero , D. Josef Joaquín de Corres, D. Manuel González la Madrid , D. Santiago Regoli, D. Pedro Moreno, D. Celedonio Navarro, D. Josef Faura,…</t>
  </si>
  <si>
    <t>Daendeis</t>
  </si>
  <si>
    <t>…as, de las qtiales Ru sia recibirá dos, Austria ano, Prusia uno, y Baviera con otros estados el resto. Escriben de Amsterdam estar arrestados en el Haya el almirante. Verhuel y el general Daendeis, hombres afectos á Bonaparte. En Plimouth $e ha publicado la siguiente lista ¡de los buques que van á emplearse: S. Vicente, de 120 cañones; S. Josefa de 114; Roy al Sovereing, de 110; Windsor Casi te, de 98; América , Armada, Dublin, HavaJinah, Implacable, I…</t>
  </si>
  <si>
    <t>Dairyrapíe</t>
  </si>
  <si>
    <t>…la cámara de los pares hizo ayer lord Grenville una mocion relativa i la reunión de Géíiova al rey no ale Cerdeña, y pidió que se presentasen las proclamas de lord Bentinck y del general Dairyrapíe. Pero habiendo hecho observar el lord canciller que esta iriocion hecha en este momento acarrearía una revelación prematura de ciertos objetos de la mayor impor tancia , retiró su proposición el lord Grenville. En la cámara de los comunes el canciller del ech…</t>
  </si>
  <si>
    <t>Dalmao, Gregorio</t>
  </si>
  <si>
    <t>Gregorio Dalmao</t>
  </si>
  <si>
    <t>…D. Nicolás Giezar, DvJuanVicente , D. Eduardo Paules , ,D. Francisco Sánchez, D. Josef de Castro, D. Venancio, Garnez , D. Nicolás Laborda, D. Manuel 1 aborda*, D. Nicolao Ribera, D. Gregorio Dalmao ; D. Francisco Navas., D. Filiberto Malus, D.;/Josef •¡Blanco*L). Mariano Córdoba * P. Josef Ferrer, D. Ca yetano Vivar , P,; JqseJ de^fcuenca, EX Francisco Caso, D. Felipe Mendicuti, í). Baltasar Gonzajes* *&gt;¿X;FVancisep de Torres, D. Andrés Casainayer, D. F…</t>
  </si>
  <si>
    <t>Darguines, Josef</t>
  </si>
  <si>
    <t>Josef Darguines</t>
  </si>
  <si>
    <t>…Manuel Ca beza de Míe r. i ' % Teniendo el Rey en consideración las pruebas de lealtad que ha dado el capitán graduado de teniente coronel del regimiento de infantería de Truxi11o D. Josef Darguines, qué fue sentenciado á la pena capital por el anterior gobierno francés, de la que se libró con una larga y penosa prisión, se ha servido concederle la gracia de Cruz supernumeraria de la Real y distingui da orden española de Cárlos 111. , ? Igual gracia ha c…</t>
  </si>
  <si>
    <t>Dauxion</t>
  </si>
  <si>
    <t>…ia han hecho venir á Cork un buque procedente de Haiti, y que á su antojo ha esparcido noticias de lo que ha pasado en la capital de Cristóbal. La fecha y el tenor de la carta del coronel Dauxion á Cristóbal, com paradas con las que escribió ai presidente Petion, prueban evidentemente que en la secretaría de Negocios extrangeros (que no existia con ninguna potencia) fue forjada la carta de dicho coronel. El ministro de Relaciones exteriores (conde de…</t>
  </si>
  <si>
    <t>…ario que sean con alguna verosimilitud. Mr. Draveman ha venido por falta de salud desde Jamayca á Inglaterra, y dos dias después ha marchado á París. Salió de Jamayca antes que el coronel Dauxion marchase de aquella isla para Puerto Príncipe, por cuya razón se debe dudar de la veracidad de los agentes de Cristóbal. En quanto á Medina ó Franco, seria «difícil persuadir que tenia instruc ciones secretas, cuyo objeto era excitar una revolución, pues ning…</t>
  </si>
  <si>
    <t>Dávalos, Pedro</t>
  </si>
  <si>
    <t>Pedro Dávalos</t>
  </si>
  <si>
    <t>…uno aviso, fue abandonado por la mayor parte de su gente, y der rotado completamente por los fieles que le esperaban en el tránsito, al man do , según dicen, del Mariscal de campo D. Pedro Dávalos. Con esta noticia está saliendo la tropa que aun guarnecía esta plaza, ó mas bien huye del fu ror de este pueblo nunca bien alabado, llevándose hasta los centinelas, y asi quedamos esperando por momentos ver restablecidas todas las legítimas auto ridades , y…</t>
  </si>
  <si>
    <t>Davernet, Mouton</t>
  </si>
  <si>
    <t>Mouton Davernet</t>
  </si>
  <si>
    <t>315 El general Mouton Davernet salió de Valencia con 2500 hombres de tropas que habia recogido allí, y que todas estaban animadas dei mayor entusiasmo, y se dirigió hacia Die para ¡untarse con el general Mioliis, y dirigirse juntos por Gap á Grenoble. Las tropas que manda el general Mio li…</t>
  </si>
  <si>
    <t>Dávila, Cayetano Perez</t>
  </si>
  <si>
    <t>Cayetano Perez Dávila</t>
  </si>
  <si>
    <t>…efGucrra, D. Juan Sevillano , H. Josef Fonseca, D. Sancho Estrada, ¡BJosefSoler , D. Diego Delgado* D* Rafael Vargas, D. Josef Llanzo, Don Josfef Astraudi ,.D. Juan de Sotomáy or, D. Cayetano Perez Dávila, D. Ma nuel Drapie, D. Antonio Henriqiiez , D. Francisco Trugillo, D. Joaquín Huerta , D. Francisco de Paula Moreno, D. Mariano Millar, D. Juan Eira, D. Antonio Castaño, D. Josef Ferraz , D. Francisco Arroyo, D. Raimundo * Carbonell , D.'Rafael Amandi,D. Matí…</t>
  </si>
  <si>
    <t>Davoust</t>
  </si>
  <si>
    <t>…otivo de las resoluciones que esta había tomado en sus sesiones anteriores. Escriben de Hamburgo que esta ciudad ha sido autorizada para demo ler el grande y hermoso puente que el mariscal Davoust mandó construir en r813 en el Elba, entre Hamburgo y Harburgo. Se extraña aquí esta deter minación, por cuanto el puente era muy útil para; las comunicaciones , y, no hubiera sido difícil negociar un convenio entre nuestro gobierno y ía;C¡u« dad de Hamburgo p…</t>
  </si>
  <si>
    <t>Dávtk, Cristóbal</t>
  </si>
  <si>
    <t>Cristóbal Dávtk</t>
  </si>
  <si>
    <t>…B. Josef Muñoz ,D* Juan Paredes y D. Andrés Leqnor. Grado Je capitanes ádos tenientes D. Josef Marín, D. Josef Alcázar, Dr Josef de Castro,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t>
  </si>
  <si>
    <t>Dávtlá, Ana</t>
  </si>
  <si>
    <t>Ana Dávtlá</t>
  </si>
  <si>
    <t>…ribanía de su número que eger ce D. Juan Raya, y está señalado para su remate el dia 31 de este mes á las 12 en la audiencia del mismo señor........... Por muerte en ésta corte de Doña Ana Dávtlá, natural de Cádiz, han queda do en poder de Angel Caballero, que vive calle del Toro, núm. 6, cuarto Bajo,los papeles de nobleza de los apellidos de. Dáv.ila, Quesada y Cabrera, que empie-. zan desde el año de 1489: lo que se avisa para que los parientes ó in…</t>
  </si>
  <si>
    <t>De-la-Tourdupin</t>
  </si>
  <si>
    <t>…S. M. Católica cerca de la Santa Sede: el caballero de Lebzeltern, enviado extraordinario de S. M. el emperador de Austria cerca de la Santa Sede : el arzobispo Gio; Marcheti; el conde De-la-Tourdupin, embaxador extraordinario en el con greso de Viena: el conde Cários Marescaíchi, gentilhombre del emperador de Austria, con su esposa y con la duquesa Daberg: los señores conde Manfredi, secretario de embaxada de S. M. cerca de la Santa Sede : Hendrik Vankemp…</t>
  </si>
  <si>
    <t>Decaen</t>
  </si>
  <si>
    <t>…rio por el Rey en vir tud1 de los poderes, de S. y de las órdenes^de S. A. R. el ¿oque de An gulema, ¿¿atente general de S. en las provincias del Mediodía, hemos tfcfdo y damos al conde Decaen, teniente general del exército francés, y gobernador de la i i.a división militar, todas las facultades y poder necesa rio parí la organización y distribución de las guardias nacionales; para le vantamiento de tropas de toda especie ; para la dirección genera…</t>
  </si>
  <si>
    <t>…nto hácia Barcelona; pero este movimiento parece no tener otro objeto que ocupar la frontera.. Las tropas españolas que han salido de Barcelona están acampadas cerca de Gerona. El general Decaen piensa que las hostilidades no serán de gran .consecuencia. /, .• . . : En el O. el combate de4^ Rpcáserviere hadado un; golpe mortal á la in surrección. Muchos militares insurgentes han caído en manos de nuestros sol* dados. El teniente general Lámarque' cre…</t>
  </si>
  <si>
    <t>Decken</t>
  </si>
  <si>
    <t>…ríncipe Regente y del duque de Cumberland. Parece que estas tro pas deben reunirse en las cercanías de Osnabruck, en donde recibirán ór denes para su ulterior destino. El teniente general Decken está nombrado para mandar el exército hannoveriano. Las tropas hessesas y las de Brunswick están también en marcha. Por noticias que se han recibido de Francia se sabe que S. A. R. el du que de Borbon había pasado en Angers revista á la guardia nacional de aq…</t>
  </si>
  <si>
    <t>Dedelei-de-Agier</t>
  </si>
  <si>
    <t>…dor, desdé 20 de Marzo último..__El conde Clemen-de-Ris, el conde Colchen, el conde Cornudet, el conde de Aboville, el mariscal duque de Dantzick ( Lefevre), el conde de Croix, el conde Dedelei-de-Agier, el conde Dejean, el conde Fabre del Aude, el conde Gassendi, el conde Lacepede, el conde Látour-Maugbourg, el duque de Praslin, el duque de Plasencia, el mariscal duque de Elchingen (Ney ),.el mariscal Suchet, el mariscal duque de Conegliano (Moncey), el mar…</t>
  </si>
  <si>
    <t>Degerando</t>
  </si>
  <si>
    <t>…strucción elemental, y medios de asegurar el buen éxito en Taris yen- los departamen tos. Los individuos que componen esta junta son Mrs. el duque ae Rochefoucault-Doudauville; el barón Degerando; el conde de Laborde; el conde de Lasteries; Benjamín Delessert; Carnet de la Bonardiere ; el abate Gautier, y Jomard. Han salido de esta capital con dirección á Berlín el Príncipe Blucher y el: intendente general del egército prusiano. Idem 10. Se asegura qu…</t>
  </si>
  <si>
    <t>Deíaunay</t>
  </si>
  <si>
    <t>…ulación han debido salir de Marsella el dia 10 para Córcega con tropas de desembarco, destinadas á asegurar la tranquilidad de aquella isla. Al mismo tiempo ha salido de To lón el general Deíaunay en la goleta la Cierva para juntarse á esta división. Suponen que el número de tropas embarcadas asciende á 2700 hombres. Escriben del Hannóver que la Dieta de este país debía estar abierta para el 16 del corriente, y que se esperaban proposiciones importante…</t>
  </si>
  <si>
    <t>Dejean</t>
  </si>
  <si>
    <t>…mo..__El conde Clemen-de-Ris, el conde Colchen, el conde Cornudet, el conde de Aboville, el mariscal duque de Dantzick ( Lefevre), el conde de Croix, el conde Dedelei-de-Agier, el conde Dejean, el conde Fabre del Aude, el conde Gassendi, el conde Lacepede, el conde Látour-Maugbourg, el duque de Praslin, el duque de Plasencia, el mariscal duque de Elchingen (Ney ),.el mariscal Suchet, el mariscal duque de Conegliano (Moncey), el mariscal duque de Tr…</t>
  </si>
  <si>
    <t>Delancy</t>
  </si>
  <si>
    <t>…los coroneles S. G. Woody Smitb; y tengo motivós-de estar satisfecho de la conducta del ayudante general mayor; geriferal Barnek* que ha sido herido, y del cuartel maestre general coronel Delancy, que fue muerto de una bala de cañón á la mitad de la acción. La pérdida de este óífc cial es muy grave para el servicio de S. M., y para mí en este momentol Es taba también"muy obligado á la¡ asistencia del teniente coronel lord Fitztoy Somer$et,que fue grav…</t>
  </si>
  <si>
    <t>Delgado, Diego</t>
  </si>
  <si>
    <t>Diego Delgado</t>
  </si>
  <si>
    <t>…l, D. Antonio Rey, D. Pe dro Áhnabai, D. Manuel Lomar, D. Pablo Chamorro , :D, Josef Ckuñer. DvJosefGucrra, D. Juan Sevillano , H. Josef Fonseca, D. Sancho Estrada, ¡BJosefSoler , D. Diego Delgado* D* Rafael Vargas, D. Josef Llanzo, Don Josfef Astraudi ,.D. Juan de Sotomáy or, D. Cayetano Perez Dávila, D. Ma nuel Drapie, D. Antonio Henriqiiez , D. Francisco Trugillo, D. Joaquín Huerta , D. Francisco de Paula Moreno, D. Mariano Millar, D. Juan Eira, D.…</t>
  </si>
  <si>
    <t>Delgado, Joaquín</t>
  </si>
  <si>
    <t>Joaquín Delgado</t>
  </si>
  <si>
    <t>…f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Doh Andrés Fernandez Caballero y D. Diego Prieto. - ; Ascenso á capitanes de fra…</t>
  </si>
  <si>
    <t>Delgado, Juan</t>
  </si>
  <si>
    <t>Juan Delgado</t>
  </si>
  <si>
    <t>…, D. Mauricio Albert, D. Manuel Villavicencio, D. Fran cisco Fernandez dejos Senderos , D. Josef Saravia ,* D. Manuel Vigo, Don Gaspar Pineda, D. Josef Mozo, D. Juan de* la Cueva, D. Juan Delgado,: D. josef Febrer , D; Mariano Henarejos, D; Ciríaco Mella , D. Juan Sanjurjo, D. Ignacio Cuadrado,: D. Juan Aleson, D. Honorio Siréra ; D. Pedro Vizcarrondo, D. Josef Guimbarda, D. Juan Sotélo, D¿ Tiburdo Basanta, p. Rodrigo Tavira , D. Manuel de Lis , D/Fel…</t>
  </si>
  <si>
    <t>Delgado, Pedro</t>
  </si>
  <si>
    <t>Pedro Delgado</t>
  </si>
  <si>
    <t>…e los vales á 68 pór 100: á virtud de este convenio se han satisfecho de sus respectivos créditos lá mayor parte de los acreedores, faltando únicamente que pagar D. Antonio Perez, D. Pedro Delgado, D. Antonio1 Blascuaga, D. Vicente Domínguez , Denvórat hermanos, D. Antonio Bringas,D. Sebastian de Aldama, Di Domingo Nava, Don Manuel Gerónimo dé Bringas con los cinCo gremios mayores, Enrior y Corrier, Bretón, Landay Viguri, y D. Bartolomé Cornejo, á quie…</t>
  </si>
  <si>
    <t>Delgado, Rafael de Góngora y</t>
  </si>
  <si>
    <t>Rafael de Góngora y Delgado</t>
  </si>
  <si>
    <t>…Antonio Josef García; D. Ricardo del Pilar; D. Josef Caree, h¡jó j compañía ;'D. Pedro Fermín Hernaez; D. Josef Félix Gómez; D* Diego Gas* támbide; D. Jícóbo Gattens, de Sevilla; D. Rafael de Góngora y Delgado; Do* Ignacio Casal ; D. Andrés Marzan; D. Pedro Martínez Lozano; D. Rafael Ignacio Fañtohfip D/"Joaquín dé la Barrera y Cuadra, y D. Fernando Márquez de la Plata, i fin de que los qué*$e’contemplen con algún derecho al citado vale comparezcan por sí ó por med…</t>
  </si>
  <si>
    <t>Demoíbreuil</t>
  </si>
  <si>
    <t>…se han organizado en Francia á los ojos del gobierno francés, y aun por sus mismas ordenes, varias quadrillas de asesinos, como lo probará bien pronto el procedimiento solemne del Sr. Demoíbreuil para acometer al Em perador, á sus hermanos y á sus esposas: en defecto del éxito que se es peraba de este primer paso de! complot, se dispuso en Orgon una con moción popular sobre la ruta del Emperador con el objeto de que algunos asesinos atentasen contra s…</t>
  </si>
  <si>
    <t>Deroy</t>
  </si>
  <si>
    <t>…n el Príncipe Cárlos de Bavíera; el feld-mariscal Príncipe de Wrede, comandante en gefe del egército báva ro; el teniente general Reckberg; el teniente general Raglowich; el mayor general Deroy; el Príncipe de Loevenstein; el Príncipe Real de Wurtemberg; el Príncipe Federico de Saloma 5 el Príncipe Clemente de Saxoñia; el Príncipe de Saxonia-Cobourg; el Principe Emilio de HeSse , y el Príncipe de Hesse-Philipstadt. La dieta de Zurich ha declarado in…</t>
  </si>
  <si>
    <t>Desbnreaox</t>
  </si>
  <si>
    <t>…e suplica que h*ga cuanto pueda para que se permita lo mas pronto posi ble el'paso á este correo 6 solo ó con escolta. . &gt; -&gt; rNtím. 4* B&gt;,: Gofo: fecha del 5 de Abril el teniente:general Desbnreaox, comandante de la quinta división militar, remite al ministro de Relaciones exteriores la carta que este escribió el dia 4 ai general Wolkmann , coman dante de Kehl, y la contestación de este general, en que le dice que no cree violar el derecho de las nacion…</t>
  </si>
  <si>
    <t>Desbuxfaux</t>
  </si>
  <si>
    <t>…con una gran responsabilidad, poniendo como pone trabas entre las relaciones del go bierno y&gt;las de los demas de Europa.’* ütím* 5. A. Por,un aviso, telegráfico del 8 de Abril el general Desbuxfaux informa al ministró que : el comandante de Kehl persiste en negar el paso al correo hasta que no reciba. de so corte; órdenes, que está esperando ppr Jnst4ntes. i.;; .s;-- :* : : _ . • Niím. 5. B* El general Desbnreaox escribe con fecha del 8 de Abril al coma…</t>
  </si>
  <si>
    <t>Descamps</t>
  </si>
  <si>
    <t>…en el espacio de dos meses á mas tardar, contados desde el dia de la inserción de este aviso en la gaceta. Concluido este termino se procederá á la repartición de la herencia del Sr. Descamps entre todos sus Herederos conocidos. Las cartas ó pliegos relativos al adjunto, deberán diri girse francos de porte á Mr. Fontaine, escribano real en-Mons en la Bélgica. Continuación de las sentencias dadas por la comisión nombrada por S. M. Vén deseú 4 cuart…</t>
  </si>
  <si>
    <t>Descamps, Miguel</t>
  </si>
  <si>
    <t>Miguel Descamps</t>
  </si>
  <si>
    <t>…ecedentes antes de empe zarse el curso que deban seguir con arreglo á ordenanza. Aviso a ¡os hijos de Mr. Fernando Fery ya difunto, oficial que fue al ser vicia de S. M. católica. D. Miguel Descamps, comerciante en Mons, donde murió en Marzo de 1814 á la edad de 70 años, instituyó por sus herederos universales en el artículo 8.° de su testamento auténtico á todos sus primos asi paternos como maternos , sin olvidar la familia de Fery establecida en España…</t>
  </si>
  <si>
    <t>…e lona tuvo, varios, hijos, y su esposa .según se cree era natural de Bruselas. Los hijos del espresaao D. Fernando Fery (que falleció años hace), siendo pri mos hermanos de dicho D. Miguel Descamps, tienen derecho á participar de la herencia de este; pero quedan escluidos los nietos de dicho D. Fernando Fery, á menos que el fallecimiento de sus padres, primos hermanos del di funto Descamps, hubiese acaecido posteriormente al de este. Los representan tes…</t>
  </si>
  <si>
    <t>Descras</t>
  </si>
  <si>
    <t>…arsella 1.° de Abril. £1 29 del pasado S. A. R. el duque de Angulema entró en Montelimar, y al dia siguiente el general Lebd intimó al gobernador que se sometiese al usurpador. £1 conde Descras, que era el comandante, salió con 1200 hombres de las guardias nacionales y cazadores del regimiento número 14. y con dos piezas de artillería, y derrotó á la tropa de Lebel, arrojándole di. su posición,y después volvió a entrar en Montelimar. S.A.R. hizo mar…</t>
  </si>
  <si>
    <t>Desea, Gregorio'</t>
  </si>
  <si>
    <t>Gregorio' Desea</t>
  </si>
  <si>
    <t>…s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giier, D. Benito Romasanta , D. Mariano Gómez , D. Juan: Anto…</t>
  </si>
  <si>
    <t>Desmaisieres, Miguel</t>
  </si>
  <si>
    <t>Miguel Desmaisieres</t>
  </si>
  <si>
    <t>…11 maya, á DV Antonio Manuel Montenegro y Correa , á D. Josef de Óvando y Adorno , al marques de la Vega de Armijo y á D. Francisco Mallo BoneüiJ iPiazas de mayordomos de semana á D. Miguel Desmaisieres, al conde der Cumbrehermosa, á D. Josef Losada, al marques de la Regalía y á D. Anto nio Francisco de Lecumberri y Azcué. (Se continuará.) - ^ ó . i</t>
  </si>
  <si>
    <t>Despacho, Secretario de Estado del</t>
  </si>
  <si>
    <t>Secretario de Estado del Despacho</t>
  </si>
  <si>
    <t>…ndido , y dispondréis.lo necesario á su cumplimiento. Rubricado de la Real mano. Palacio 31 de Marzo de 1815. = A D. Pedro Cerollos." Circulares del Ministerio dt Hacienda* i.a El Sr. Secretario de Estado del Despacho universal de Gracia y Justi cia con fecha de 24 de Febrero último me dixó lo que sigue: „En 9 del mes presente comuniqué a V. E. la resolución de S. M., por la que, conformándose con el dictamen del Consejo Real, se ha servido crear una Subdelegacion general…</t>
  </si>
  <si>
    <t>Despacho, Secretario del</t>
  </si>
  <si>
    <t>Secretario del Despacho</t>
  </si>
  <si>
    <t>…rticipo IV. £• de Real or den para los ^fectos convenientes en el Ministro de su Cargo. Dios guarde' i v . E. muchos años, Palacio *i5 de Enero de iSt 5. = Miguel de Lardizabal. = Sr. Secretario del Despacho dé la Guerra/* • El Rey se ha servido nombrar para la dignidad-de maestrescuela de la iglesia catedral de Cuenca, vacante por haber obtenido la canongta magis tral de la misma D. Cristóbal Amat y Socolis, á Dé Agustín Sánchez dé'Villalobos, canónigo dé la: ig…</t>
  </si>
  <si>
    <t>…CIO. Circular de la Tesorería general. El Excmo. Sr. Secretario de Estado y de! Despacho de Hacienda me comunico con fecha de 19 de Marzo de este año la Real orden que sigue: ,,A1 Sr. Secretario del Despacho de la Guerra digo hoy lo siguiente: Excmo. Sr.: El Ayuntamiento de la ciudad de Teruel, en el Rey no de Aragón, ha acudido manifestando la absoluta imposibilidad en que se halla de Henar los cupos de granos, paja y dinero que le han cabido en los repar* tos h…</t>
  </si>
  <si>
    <t>1129</t>
  </si>
  <si>
    <t>…Egército de la izquierda___ Cuartel general de Ir un.___Orden general del $ de Setiembre de 181¡¡. En oficio que el Escmo. Sr. general en gefe ha recibido en este dia del Tíscmo. Sr. Secretario del Despacho de la Guerra, se contienen, entre otras cosas relativas á la reciente espedidon de este egército á Francia, lás esprésiones siguientes: „ De todo se ha enterado S. M. estensamente, y me manda manifestar á V. E. que han merecido su Real aprobación tanto las ac…</t>
  </si>
  <si>
    <t>Después</t>
  </si>
  <si>
    <t>…l ^ónor'deipóner á lós pies déTS. A. R. - ‘' i ■l¿ „Me tomo la libertad de recomendar á la protección de V. S. á este dig no oficial. = Tengo la honra 8¿c.-ízWe¿!mgton” ^ ^ « ,,P. D. Después de escrito esto he sabido que el mayor general S. W. Ponso rnby ha muerto ,' y al comunicarlo á V. Sí debo, espresar mi sentimiento por la suerte de un* oficial qué hábia ya hecho muy brillantes é importantes servicios-'; y era el ornamento dé sil‘profesión.”…</t>
  </si>
  <si>
    <t>Dessai</t>
  </si>
  <si>
    <t>…saberrde oficio -la agradable-noticia de que el egército del general’Frimont ha llegado ya felizknéntelá su destina después de Saber derrotado^eó varios encuentras las, trapas del general Dessai x. Las tropas francef sas, luego que llegaron á Dovaine, resolvieron 00 hacer jria; feote, .siuo qué tomaronlafugapor la.parte'de Chamberí.”b v Francfort 2 de Julio. ’ ;f ' 7 ' El cuartel general del feld-mariscal Príncipe de Wrede llegó el 28 del pasado á Na…</t>
  </si>
  <si>
    <t>Dessaix</t>
  </si>
  <si>
    <t>…r el Simplón y atravesar el Valais, al mismó tiempo que ei general Bubna iba al monte Cenis. Entre tanto el enemigo salió de Chamberí y ocupó á Aíontmeillers: al mismo; tiem po el general Dessaix se: hábia Ade lantado hasta cerca deGinebra con algunos miles de hombres y bloqueó esta ciudad; tomó á Carouge y pasó el-Arve: entre tanto qiíe el coronel barón dé Welden, del estado mayor general, ocupaba la garganta de S. Mauricio, con algunos velesanos y b…</t>
  </si>
  <si>
    <t>…séptimo batallón de cazadoresy el capitán ScH-midt, que se distinguió^páTrticulafmenteíCon su- cáinpdfiía, y que fue. herido, merecen ambos una recomendación honorífica. J ■ 1 El general Dessaix se retiró en seguida á Garrouge ; el general de caballe ría Frimont debió haber llegado ayer á Ginebra, y el general Bubna se ha-** .liará y a también en la altura dé Saboya. - • ESPAÑA. :';i" 31 J &gt; ' , Madrid 3irde\Julio. ElRey nuestro Señor ha recibido de…</t>
  </si>
  <si>
    <t>Dessoles</t>
  </si>
  <si>
    <t>…mbráy, canciller y par de Francia; él duque de Daiberg, par devf Francia; el conde de Beurnonville , par de Francia; el mariscaljOudinot,:■ duque, de Reggloi». par.de, Francia; el conde Dessoles:, par de Francia * el l conde Ferrard, par.de» Francia; el conde Dupont, teniente! general * antiguo s ministro de Guerra el-abate Montesquieu * par de Francia * antiguo mitiistfrob de lo Interior; ei duque de.Feltre, par.-de Francia ;- antiguo:' ministro del…</t>
  </si>
  <si>
    <t>Dessolle</t>
  </si>
  <si>
    <t>330</t>
  </si>
  <si>
    <t>…, que se compone de la guardia nacional de caballería, y han pasado revista en presencia del príncipe coronel general. S. A. R. el conde ' de Artois, acompañado del mayor general conde Dessolle y de un nurmro-' so estado mayor, discurrió por todas las filas, no oyéndose otra voz qué la . dé viva ¿l Rtyy vtya Monsieur. En seguida, habiéndose retirado el pxínci-"</t>
  </si>
  <si>
    <t>Díaz, Angel</t>
  </si>
  <si>
    <t>Angel Díaz</t>
  </si>
  <si>
    <t>…gorio del Pozo, D. Fabian de Lastra, 0. Ricardo Rey roso, Don Víctor Cabeza de Vaca, D. Casimiro Salcedo, y D. Miguel González, del de Voluntarios de Avila; D. Francisco Herranz ,'D. Angel Díaz, y Don Vicente Tomes, del Provincial de Segovia; D. Pedro NuñeZ;, D. Manuel Calderón, D. Matías Frade, D.Francisco Antonio Ledesmá, y LF. Andrés .Muñoz, del primer Batallón de Ciudad-Rodrigo; D. Miguel Retámar, Don Juan Atienza, D. Isidoro Caballero* 0. Juliá…</t>
  </si>
  <si>
    <t>Diaz, Domingo</t>
  </si>
  <si>
    <t>Domingo Diaz</t>
  </si>
  <si>
    <t>…la media préstamera de la villa de Recuenco, que obtuvo D. Diego Mateo Villalobos, y vacó por igual motivo, el préstamo de la iglesia de Valdecabrillas, que lo está por muerte de D. Domingo Diaz, y la presta-</t>
  </si>
  <si>
    <t>Díaz, Gavino Ramón</t>
  </si>
  <si>
    <t>Gavino Ramón Díaz</t>
  </si>
  <si>
    <t>…la iglesia primada de To ledo por fallecimiento de D; Ignacio Rey Montes á D. Cárlos Gutiérrez; y la-capellanía de coro vacante enla misma iglesia por muerte de D. Juan Ser rano á D. Gavino Ramón Díaz.=rLa abadía de Castrogeriz, dignidad de la iglesia metropolitana de Burgos, vacante por fallecimiento de D. Dionisio Sainz Galinsoga, á D. Tomas Ugarte , canónigo de la catedral de Teruel, ss La dignidad cíe chantre que ha vacado en la catedral de. Cádiz por…</t>
  </si>
  <si>
    <t>Diaz, Josef</t>
  </si>
  <si>
    <t>Josef Diaz</t>
  </si>
  <si>
    <t>…D. Ildefonso Prieta, D. Angel Castellanos, D. Manuel de Ro— xas, y D. Segundo García, Capitanes de Voluntarios de Avila ; á D. Pas cual Coca , D. Cenon López, 0. Bernabé Porián, y D. Josef Diaz, del primer Batallón de Ciudad-Rodrigo; á D. Antonio Echenique, D. Domin go García , D. Hénrique Arias, D. Vicente Xerez , y D. Juan Ferrero, Sargento mayor y Capitanes del segundo Batallón de Ciudad- Rodrigo; á 0. Patricio Iñiguez, D. Blas Carrasco, D. Josef…</t>
  </si>
  <si>
    <t>Díaz, Josef Antonio</t>
  </si>
  <si>
    <t>Josef Antonio Díaz</t>
  </si>
  <si>
    <t>…aber despúes por las ocurrencias acaecidas; y te niendo que comunicarle asuntos de importancia, se suplicará,quien tenga noticia de su existencia y paradero se sirva comunicarlo á D. Josef Antonio Díaz, procura'do,r de íós Reales*consejos, que vive calle de la Concepción Gerónima entre los nú meros 20 y 21, cuarto principal. . Higiene militar, ó arte de conservar la salud dél soldado en todas sus situacio nes en mar y tierra, como son guarniciones, acantona…</t>
  </si>
  <si>
    <t>Díaz, Mariano</t>
  </si>
  <si>
    <t>Mariano Díaz</t>
  </si>
  <si>
    <t>…ues por.lá beneficencia dél Rey abierta ya esta escuela, y en ella 3é ‘peñsidñi&amp;as' qoátró1 jóvenes con 2 50 ducados cada uno baxo la enseñanza y disciplina de Macazaga^, á saber: D. Mariano Díaz, D. Antonino Macazagá,, atías Ijidalgo. y ^- Lorenzo Berrio, los cuajes, instruidos de an temano en los principios del. dibuxo, no solo aprenderán allí la construc ción: de pinzones, ()per^]tambieA quanto les, pueda ser útil en los ramos del g^ajbad^t de mmer…</t>
  </si>
  <si>
    <t>Díaz, Miguel</t>
  </si>
  <si>
    <t>Miguel Díaz</t>
  </si>
  <si>
    <t>•Y-: - ■ ' /' - 1 . L 62^ _ • nip de Lema, D. Jijan Vigodet, Dv Josef Ruiz dé Apodápa* D. Francisco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t>
  </si>
  <si>
    <t>Diaz, Miguel Raygon y</t>
  </si>
  <si>
    <t>Miguel Raygon y Diaz</t>
  </si>
  <si>
    <t>…RTICULO DE OFICIO. El Rey se ha servido nombrar para la dignidad de arcediano de la igle sia metropolitana de Granada, vacante por fallecimiento de i). Ignacio Escovedo y Mexía, á D. Miguel Raygon y Diaz, dignidad de tesorero de la catedral de Gu. dix: para una canongía, vacante en 1:&lt; misma iglesia por fa llecimiento de D. Juan Josef Sánchez Moscoso, á D. Juan de Vargas, in quisidor jubilado del santo tribunal de Córdoba, en consideración á sus mé ritos y di…</t>
  </si>
  <si>
    <t>Díaz, Pedro Josef Moyano y</t>
  </si>
  <si>
    <t>Pedro Josef Moyano y Díaz</t>
  </si>
  <si>
    <t>…egpS*: para la de Rute á D. Manuel de Santo Domingo y Herrera: para la ae lq$. Velez á D. Juan Torrecilla de Robles: para la de Orgiva á D. josef Ruiz Manzano: para la de Huelva á D. Pedro Josef Moyano y Díaz :{ pára la de Valíadolid á D. Fé lix Gallego: para la de Tarifa á~D. Manuel González Pintp: para la de Moguer á D. Pascual Félix Pui; y para la de Ífernan-Nufiez i D. Julián An drés García. Para el corregimiento de Madrigal á D. Francisco Moreno: pa ra el de…</t>
  </si>
  <si>
    <t>Díaz, Rafael</t>
  </si>
  <si>
    <t>Rafael Díaz</t>
  </si>
  <si>
    <t>…el alférez de la Union D. Ramón Abois, el teniente de navio D. Fernando Lizárza, el de fragata D. Francisco Javier Güira!, el alférez de navio D. Vicente Sánchez, y los de fragata D. Rafael Díaz y D. Angel de Santa María, que falleció, el sar gento primero de la Unión Francisco Giménez f el condestable de navio DonTomas del ara, el guardia marina D. Manuel Salas, y el primer calafate Fran cisco Javier Rodríguez, me obliga á recomendarlos á la protección de V. E. Oficios que s…</t>
  </si>
  <si>
    <t>…star le la serenidad del teniente de navio D. Fernando Lizarza, del de fragata graduado ©. Francisco Javier Guirál,, del alférez de navio D. Vicente Sán chez , y de los dé fragata D. Rafael Díaz y D. Angel Santa María, cuyo pa radera se ignora, del subteniente de granaderos de la Union D. Ramón Abois, del sargento primero de la misma Francisco Qimenéé^ .del condestable del navio D. Tomas de Lara , y en general'de todos los oficiales y guardias ma rinas, contramaestres y pa…</t>
  </si>
  <si>
    <t>Diaz, Remigio</t>
  </si>
  <si>
    <t>Remigio Diaz</t>
  </si>
  <si>
    <t>…nda de Duero, y capitán de cazadores del regimiento de Cantabria, se servirá avisarlo en Madrid, á p. Manuel de Trasviña, del comercio, calle de Postas, ó en ValladoliJ á loS'Srs. D. Remigio Diaz y compañía. Sé desea. saber el paradero ó fallecimiento de las personas de D. Juan Tomas Huici y D. Silvestre Huici, padre é hijo, naturales de la villa de Lumbier, reino de Navarra, que por Octubre de 1808 se trasladaron desde Valencia de Alcántara i la cort…</t>
  </si>
  <si>
    <t>Díaz, Simón Bayon</t>
  </si>
  <si>
    <t>Simón Bayon Díaz</t>
  </si>
  <si>
    <t>…, va cante por muerte de D. Roque Rodrigó, á D. Tomas Moyano Díaz: para la pfestamera de Huelva, que ha vacado en el de Sevilla r por fallecimiento de D. Luis Martínez Toledano, á D. Simón Bayon Díaz : para el beneficio servidero de la parroquial de la villa de Viuuesa, vacante por fallecimiento de D. Francisco Gil de Sugadi, el préstamo menor del lugar de Abion, que jo está por muerte de D. Diego Bernardo Oruña, y el beneficio simple de Castrilio de lá V…</t>
  </si>
  <si>
    <t>Díaz, Tomas Moyano</t>
  </si>
  <si>
    <t>Tomas Moyano Díaz</t>
  </si>
  <si>
    <t>…á D. Atanasio Salcedo, con retención de los que obtiene: para el beneficio simple dé S. Estéban de Balvas, en el arzobispado de Burgos , va cante por muerte de D. Roque Rodrigó, á D. Tomas Moyano Díaz: para la pfestamera de Huelva, que ha vacado en el de Sevilla r por fallecimiento de D. Luis Martínez Toledano, á D. Simón Bayon Díaz : para el beneficio servidero de la parroquial de la villa de Viuuesa, vacante por fallecimiento de D. Francisco Gil de Sugad…</t>
  </si>
  <si>
    <t>Díaz, Vicente García</t>
  </si>
  <si>
    <t>Vicente García Díaz</t>
  </si>
  <si>
    <t>…Torrehermosa á D. Gerónimo Torrecilla de Tejada: de Villanueva de los Infantes á D. Josef Andrés de Arellano: de la Solana á Don Francisco María Osorio y Becerra: de los Santos á D. Vicente García Díaz: del Toboso á D. Francisco Juan y Cantabella: de San Mateo á Don Pedro Huerta Morales: de Almonacid de Zorita á D. Antonio Fernando Briz: de Daymiel al honorario de la cámara de Comptos D. Juan Ramón de Ibarra: de Mérida á D. Joaquín María de Egui^uren: de Do…</t>
  </si>
  <si>
    <t>…lanco: para la de Salva tierra á D. Manuel del Pozo: para la de la Bañeza á D. Bartolomé García Terrón: para la de Nájera á D. Josef Eladio Garcés: para la del Ferrol y la Graña á D. Vicente García Díaz: para la de Sta. Cruz de Múdela á Don Antonio Pimentel y Valenzuela: para la de Huecija á D. Andrés Rodríguez Valenzuela: para la de Villalpando á D. Hipólito Gil Hernández: para la de Jorquera á D. Domingo Puertas*, para la de Aillon á D. Josef Puerta Benito…</t>
  </si>
  <si>
    <t>Didot</t>
  </si>
  <si>
    <t>…sar de ello no se yió éri "él comercio papel de esta especie, y parecía que este descubrimiento habia quedado sin efecto.. No obstante el dueño de la fábrica de Essoney que éra el Sr. Didot, habiendo conocido des dé luego su importancia v se aplrdo á rectificar la sjirimera ídéa , perfec cionar la máquina ; en íof cual Se locupaba quandot varias circunstanciás' lé obligaron, á;pasar á Inglaterra);; en donde efectivamente!: logró la [que. deseaba…</t>
  </si>
  <si>
    <t>Die</t>
  </si>
  <si>
    <t>217</t>
  </si>
  <si>
    <t>…servido' hasta ahora'interinamente por decretó dél R. obispo dé Falencia, su prelado; y pata el benefició servi dero déla yilla! dé Cambil, diócesis de Jaén, vacante por muerte dé D. Die go Bernardo dé pruna , á D. Francisco Manuel: de Egaña, vicario cura pár roco de la villa dé Cestón*. Habiéndose dignado, el Rey- nuestro Señor admitir de DI Domingo Sua|rez, maestro armero que fue ,del regimiento irifanfería i.° dé- lá Princesa, Ja cesión qu…</t>
  </si>
  <si>
    <t>…tado por el pueblo, Sebastian de Frutos/* En el día 3 de Noviémbre óltimo felicitaron á S. M; por comisión déla villa de la Calzada de Calatrava, provincia dé la Mancha, los Stes. D. Die go Mérgelina, del hábito de Calatrava, prior dé aquella parroquial, y Don Joséf García Caballero-, alguaeil mayor dé la misma vecindad, y regidor pérpetuo de su áy untamiento} de los quales el primero pronuncio éldiscurjorsiguiente:; -"’P *.y -v---. «I.'-, -'…</t>
  </si>
  <si>
    <t>…osí; D.Tranciscó Ramonet, coronel agregado al regimiento de dragones de la Reina, nombrándole ál mismo tiempo segun do comándame general de la espedicion destinada á Nueva-España; D. Die go Solano, .coronel del regimiento iilfantería dé Navarrai destinado á la isla de Cuba; D. Juan Bautista Esteller, secretariorde cámara de la.capitanra ge neral de las provincias del Rio de .Ia Pláta ; 'D. Josef Estanislao..Lóaqes, te niente coronel del regim…</t>
  </si>
  <si>
    <t>DiecoVenegas</t>
  </si>
  <si>
    <t>…uzáy&lt;D¿ Pedro dePalacio,D. Joaquín de Senroa y D. Nicolás Mayorga. __ •' ¡ :n Ascenso á tenientes de navio á los de fragata D.Francisco Fernandez Mi randa, D. Santiago'Echaparret, D. DiecoVenegas, D. RamonTruHol, Don -Vicente jde "Lago y D; Josef Arn*r -y I&amp;ynaydX^Jüan Diaz' Maqueda,Don -Jdsef Losada y Ribera, j D. Simón Londoñb ,30. Luis Boisgroller, D. Jacin to Marcayda, D. Rufino Torrótitegui y D." Josef García Campero, D.* Pedro Montuel, D. Joaquí…</t>
  </si>
  <si>
    <t>Diego</t>
  </si>
  <si>
    <t>…simismo' ha conferido el empleo de juez civil de Cádiz á D. Hermenegildo Rodriguéis oidor de la audiencia de Sevilla; y la alcaldía mayor criminal y dé pólibía dé aquella ciudad I D. Diego de la Peña;: el corregimiento de Velez&gt;Má laga á D. 'Jiian Pedro Talasac &gt; y él deGuadixá D, Agustín Tosamos y Laprada r é igualmente se ha 'servido reponer- en el de las quátro villas dé la: Hoya de Málaga ,' su Capital Cohín, á D. Jaari Florencio de Guzman,…</t>
  </si>
  <si>
    <t>…dos i D- Pablo García de Zúñiga ;y para ia vara de Trigueros á Di Roque Domingo de la Figuerau Asimismo en consideración á las distinguidas circunstancias, méritos y servicios dé D. Diego» López de Moría y Virues dé Segovia, señor de la villa y jurisdicción de los Arquillos déla Frontera, ha venido S. M. en con cederle merced de título de Castilla , con la denominación de conde de Vw Hacrcces , vizconde de la Cueva de Alburquerque , para sí, s…</t>
  </si>
  <si>
    <t>…oncedido el Rey cruces de primera clase en la misma Real orden.Americana á D.Tadeo Segundo Gómez, ministro del conseja de Castilla, y presidente de la junta de Hacienda de Indias: D. Diego de lá Vega, oficial de la secretaría del despacho de Marina: D. Blas Ostolaza, deán de la sarita iglesia de Cartagena: D. Antonio Remon del Valle , secre tario de la junta/milítar de Indias: D. Diego Fernandez Peredo, prior del consulado dé México; D. Tomas R…</t>
  </si>
  <si>
    <t>…, presbítero y patrimonista de la parroquia de S. Pedro de Cornazo en el arzobispado de Santiago: para el de Sta. María de Castromao,eri la propia diócesis, vacante por ascenso de D. Diego. Villar y Tenreiro al curato deS. Andrés de Villamil , á D. Cipriano Martínez , pres bítero patrimonista de Sta. María de Albeira en el arzobispado de Santiagos para ei de Sta. María de Pegeiros, en la propia diócesis de Orense, vacante por muerte de D. Jacob…</t>
  </si>
  <si>
    <t>Diego'Ocvnar</t>
  </si>
  <si>
    <t>…tomos en 1 2.0 Se hallarán en la librería de Montero, calle de la Concepción Gerónima, i 18 rs. en pasta. Én la gaceta última dé! jueves 26 dél corriente, pág. 95 j lín. Tbinas y D. Diego'Ocvnar 9 debe leerse 0-Cbwíor. ÉN LA IMPRENTA REAL. li.í</t>
  </si>
  <si>
    <t>Diégó, Juan</t>
  </si>
  <si>
    <t>Juan Diégó</t>
  </si>
  <si>
    <t>…taV María de Carmona: para una capellanía de la iglesia parroquial de S.: Andrés de :1a - -villa de Carrton-tíe los Condes, vacante por fallecimiento de -D.- Ignacio ‘Izquierdo, á D. Juan Diégó, que la ha servido' hasta ahora'interinamente por decretó dél R. obispo dé Falencia, su prelado; y pata el benefició servi dero déla yilla! dé Cambil, diócesis de Jaén, vacante por muerte dé D. Die go Bernardo dé pruna , á D. Francisco Manuel: de Egaña, vicar…</t>
  </si>
  <si>
    <t>Diego, Pedro García</t>
  </si>
  <si>
    <t>Pedro García Diego</t>
  </si>
  <si>
    <t>…oaquín María Tenreyro Montenegro , conde de Vigo, se ha servido concederle la llave de gen-* tiihombre de cámara con entrada. En, atención á los buenos y distinguidos servicios de D. Pedro García Diego,contador dé rentas de la próvincia de Burgos, y á propuesta del di rector general, se ha dignado S. M. en 31 de Diciembre último nombrar le para la contaduría de' rentas de Galicia , vacante por fallecimiento de D. Miguel de la Lastra : para la contaduría de…</t>
  </si>
  <si>
    <t>Diego.Carbonell</t>
  </si>
  <si>
    <t>sales, D. Diego.Carbonell,D. Antonio Bórdon$,D. Ignacio Velazquez,Don Andrés Ramos, D. . Josef Velez, D. Francisco Contreras, D. Manuel Auñon, Dt' Josef Palillos, D. Antonio Acosta, D» Francheo Menduiña, D. Julián Senessens^iD* Josef AraüjoyD. Antonio Rute, D. Manuel Santander, D. Jos…</t>
  </si>
  <si>
    <t>Dieguez, Benito</t>
  </si>
  <si>
    <t>Benito Dieguez</t>
  </si>
  <si>
    <t>…iva á D. Hilario Josef de Menf doza; para la de Bellinova á D. Benito Gabriel Aguilera; para la de Relleo I D. Francisco Cornago ; para la de las villas de Onil, Castalia y Tibi á D. Benito Dieguez. Igualmente se ha servido S. M. reponer en la vara de alcalde mayor segundo de la ciudad de Zaragoza á D. Antonio Caro y Cini. Nota de las ofertas que han hecho al Rey nuestro Señor, y S. M. se ha dignado aceptar. D. Santiago Diez Rodríguez, beneficiado recto…</t>
  </si>
  <si>
    <t>Dietz</t>
  </si>
  <si>
    <t>…a se hizo á la vela desde el Texel la escuadra de S.&gt; Mi destinada á Batavia, y mandada por el vice-almirante Buiskens. Se compone de los navios siguientes: el Almirante Evertzen, capitán Dietz ; el Amsterdam, capitán Uoífmeyer; el Brabante s capitán vandet-Hatt; ed Almirante Ruyter, capitán l’Hoeft;* ja fragata Marta van Reigers bergen, capitán vander-Nieport; la corbeta la Irá, capitán Pool, y el brickél Espía3 ca pitán vander-Loef. Ayer fueron li…</t>
  </si>
  <si>
    <t>Diewitch</t>
  </si>
  <si>
    <t>…ón de las tropas, como igualmente á los generales Doctoroíf, á los ba rones Osten, Saken, Rassesky y Winzingerode; á ios tenientes genérales, e¿ gefe del estado mayor del egército barón Diewitch, y el gefe de la arti llería príncipe Yaschville; á los comandantes de los cuerpos Sawanoíí, Yer-Oíock y conde Pahlen; á todos los generales de división, de briga da , y á los comandantes agregados á las divisiones, igualmente que á los co mandantes de ios re…</t>
  </si>
  <si>
    <t>Diez, Fermín</t>
  </si>
  <si>
    <t>Fermín Diez</t>
  </si>
  <si>
    <t>…ara la de Moguer á D. Pascual Félix Pui; y para la de Ífernan-Nufiez i D. Julián An drés García. Para el corregimiento de Madrigal á D. Francisco Moreno: pa ra el de Ciudad-Real á D. Fermín Diez: pará el de Benavides de Ortigo á D. Anselmo Diez Canseco: para el de Chinchón á D. Tadeo Capablanca. Jfara la vara de León á D. Joaquín Ruiz de Arechavaleta: para la del Arahal á D. Josef Miguel Monge: para la de Ayamonte á D. Juan Nepomuceno</t>
  </si>
  <si>
    <t>Diez, Juan</t>
  </si>
  <si>
    <t>Juan Diez</t>
  </si>
  <si>
    <t>…mnidad y los presos de la cárcel, á quienes se les asiste gratis. Los $ugetós qué gusten pretenderlas dirigirán sus memoriales y relación de méritos litera rios francos de porte 6 D. Juan Diez de la Cortina, alcalde de primer voto, ó á D. Juan Manuel Montiel,Jiabilitados para el efecto; previniéndose que el cirujano deberá ser latino y comadrón. Los memoriales se admitirán hasta 20 de Agosto prpximo, y las plazas se proveerán precisamente en el mes…</t>
  </si>
  <si>
    <t>Diez, Manuel</t>
  </si>
  <si>
    <t>Manuel Diez</t>
  </si>
  <si>
    <t>…Martínez, del de Cazadores del Rey; D. Rainon Maurin, del de Zaragoza; D. Gregorio Flores, D. Juan Miguel Rodríguez, D. Eusebio Rodríguez, D. Francisco Masías, D. Pedro Rodríguez, D. Manuel Diez, D. Miguel María Robles, D. Pedro Maratino, D. Francisco Antonio Pe rez y D. Manuel Martínez, del de Voluntarios de León; D. Raymundo Provedo, D. Cipriano Alvarez, D. Mariano López y D. Andrés Garrido, del de Voluntarios del Ribero: de Subteniente á D. Pedro…</t>
  </si>
  <si>
    <t>Diez, Miguel</t>
  </si>
  <si>
    <t>Miguel Diez</t>
  </si>
  <si>
    <t>…de Mondoñedo á D’. Pedro Cárdenas y Mora , capellán: mayor de la metropolitana de Santiago. = La canongía vacante en la colegia ta ae Castrogeriz por muerte de D. Anselmo Liaño a D. Miguel Diez y alférez licenciado del regimiento de húsares de caballería de Burgos. ¡= La ración va cante én la catedral de Coria por fallecimiento-de D. Andrés Perez Venturo á EX Bruno Joaquín Espadero-, director espiritual del seminario dé Cáeéres.=: El arcíprestazgo d…</t>
  </si>
  <si>
    <t>…a de la provincia de Bilbao, los honores de oidor de la chancilleríá de Valladolid. El teniente coronel y comandante accidental del regimiento infantería de granaderos de Castilla D. Miguel Diez ha manifestado en nombre de los ofi ciales efectivos del referido regimiento que por acta celebrada en obsequio del dia de S. Fernando se había acordado ceder en beneficio del Real erario todos los alcances que les resulten á su favor desde el mes de Mayo de…</t>
  </si>
  <si>
    <t>Diez, Tomas</t>
  </si>
  <si>
    <t>Tomas Diez</t>
  </si>
  <si>
    <t>…ona...... D. Ramón Llordella. En Zaragoza....... D. Francisco Perpiñan, barón de la Torre. Mn AlavnyGm-y V' Fránciscd Arrieta. " * ** *••••••••• J &gt; ■ ■ » * En León............... D. Tomas Diez!^Serrano. . En Soria.............. D. Joaquín Tutor y Barzola. En Bilbao........ . D. Francisco de la Mata. En Zamora.......... D. Manuel de Humara. En Salamanca..... D. Francisco dé Zuñiga y Barbosa. En Santander...... Señores Vial é hijo. * El Rey nuestro S…</t>
  </si>
  <si>
    <t>Diguja, Andrés de</t>
  </si>
  <si>
    <t>Andrés de Diguja</t>
  </si>
  <si>
    <t>…e bienes mostrencos, vacantes y abinrestatqs se están siguiendo autos entre el fiscal de ella y varios interesados som bre denuncia de los bienes que quedaron por fallecimiento de D. Andrés de Diguja, vecino que fue de la ciudad de Ileon. Y habiendo estado sin curso durante la dominación francesa, y tratando de ponerlos en movimiento, se acordó entre otras cosas* por el Sr. D. Nicolás la Miel y Benajes, del coase-</t>
  </si>
  <si>
    <t>Dio</t>
  </si>
  <si>
    <t>…os méritos y servicios de D. Juan Anto* nio de Ventades, consultor del señorío de Vizcaya, se ha dignado S. M. concederle los honores de oidor de la chinciilería de Vaílaclolid: á D. Dio nisio Catatan, corregidor de Cuenca, los honores y antigüedad de alca Ide del crimen dé la chancillería de Granada; y á D. Estéban Rodríguez Gallego, los de alcalde del crimen de ia audiencia de Galicia. ' Teniendo él Re;y en consideración la sólida literatur…</t>
  </si>
  <si>
    <t>Diomw'dc</t>
  </si>
  <si>
    <t>…a.distinción, reducidos á unos .¿suiches matemáticosjy c.ajU^^ ^ &lt; &amp;©$.pMNÍ¿doa en calidad de extraordinarios, por 90 jiabejr de qTÍmera^dUselrfuteron D Josef Ramón deSanta Cruz y D. Diomw'dc^nguirre: én la clase segunda D. Juan Manuel Mico Cagigas y D.Josef Saun^enja tercera D.'JasSasio</t>
  </si>
  <si>
    <t>Dionisio</t>
  </si>
  <si>
    <t>…dos con voto ; del limo- Sr. Obispo de Barcelonadel Esemo.. Sr. marques de Vil leí en calidad dé conservadores; y del prior de Sta.. Ana, iglesia colegia ta de está ciudad {hoy el Sr. D. Dionisio ae Baidaxí, auditor de la Rota Ro* mana por la corona de Aragón) en clase de promotor nato , todos los. que, habida consideración á que serán separados del lugar del establecimiento, votarán por escritos ó con cartas dirigidas al padre secretario,, Ú tenor de…</t>
  </si>
  <si>
    <t>DirrhnyíD, Rafael</t>
  </si>
  <si>
    <t>Rafael DirrhnyíD</t>
  </si>
  <si>
    <t>…te cofónel* graduado D. Cátlos Llórente, patriotas de Tulancingo, Acatlan, Atotonilco y S. Pedro de las Vaquerías mandados por sus capitanes O.*Ariscado CiáSfréTpD. Rafael Ásláin, D. Rafael DirrhnyíD* Juan Diego de la Orta, y iá cóhipáñíá de marina á cargo de su comandante el teniente de fragata Don JOáquih Santaoláya: la de la derecha, compuesta del batallón ligero de San Luis al cargó de su sargentía mayor D. Josef Barradas, piquete de Zamora dí cargo d…</t>
  </si>
  <si>
    <t>Divicia, Antonio</t>
  </si>
  <si>
    <t>Antonio Divicia</t>
  </si>
  <si>
    <t>…ado conde, se presenten á deducirla con la compe tente justificación , ó en Cádiz á la casa de Aguado y Guruzeta, ó en Guayaquil en la de D. Bernardo Roca; pues habiendo fallecido D. Antonio Divicia, que que dó hecho cargo de ellos, dexando varias materias pendientes, se necesita allí para 8ü arreglo una persona de legítima representación. El Diablo cojuelo: verdades soñadas y novelas de la otra vida: traducidas por D. Luis Velez de Guevara; añadida con…</t>
  </si>
  <si>
    <t>DJermon</t>
  </si>
  <si>
    <t>…n paz con la Europa entera, una injusta coalición no la obliga á de fender, como lo hizo en 17^2, su voluntad y sus derechos, su independen cia, y el Soberano que ha elegido. = El conde DJermon, ministro de Es tado, y presidente de la sección de Hacienda=E/ conde de St. Juan d'Angely, ministro de Estado, y presidente de la sección del Interior= El conde B ulay, ministro de la sección de Legislación. es. El conde Andreossy, presidente de la sección d…</t>
  </si>
  <si>
    <t>Doín</t>
  </si>
  <si>
    <t>…se Iesdieron en presencia del numeroso concurso. Madrid 22 de Diciembre. ARTICULO DE OFICIO. Circular del Consejo Real. Con fecha 23 de Marzo de 1808 comunicó al Consejo el Excmo. Sr. Doín óPedro Cevalios la Real orden siguiente: ; &gt; „Ilmo. Sr.: Con fecha de ayer me ha dirigido el Re y el Real decreto si guiente; ,i Deseoso de promover por todos los medios posibles el bien de mis amados vasallos, *y convencido de la utilidad que debe resultar á…</t>
  </si>
  <si>
    <t>Dokloroff</t>
  </si>
  <si>
    <t>…s, primer se cretario de Estado y del Despacho, el siguiente listado del egército que marcha d las órdenes del mariscal Barclay de TollL Tercer cuerpo, general en gefe el teniente general Dokloroff._— 7.3 divi sión de infantería, teniente general Kapzeuiteh___ 24.a división id., teniente general Radls__ -27.a división id., el teniente general Berosdin____3.a divi sión, de dragones , mayor general Alereyelf. Este cuerpo compone la derecha, y marcha sobre…</t>
  </si>
  <si>
    <t>Dolagaray, Tomas</t>
  </si>
  <si>
    <t>Tomas Dolagaray</t>
  </si>
  <si>
    <t>…llaba, 0. Antonia ¡Sén quera, 0. Manuel Zacates, D. Pedro de la Llave, 0. Josef Mariano dél Puk ar, D. Josef Arias Saavedra, 0. Antonio Hoscoso , Salvador Moreno* Vicente Vázquez, D. Tomas Dolagaray, D. Silvestre Blanco , D.&lt; Pedrof Valera, D. Santiago Piñeiro, D. Juan de Mata Marina, 0. Fernando Ruiz&gt; 0, Fulgencio de Toro, D. Andrés Costa, 0.: Manuel Guillelmi ;0.^Jüañ Pé rez Dd vi la, 0. Antonio Primo de Ribera, D. Miguel Coca ySandovalt0bn Juan Pernee…</t>
  </si>
  <si>
    <t>Dolz, Miguel</t>
  </si>
  <si>
    <t>Miguel Dolz</t>
  </si>
  <si>
    <t>…matemáticas, que con Real aprobación.,y utilidad géneltal, se halla.establecida, en esta corte, calle de? la Luna, núm.7 7, quajto principal, baxo la direccion de su cate drático D. Miguel Dolz, se presento á;examen ■ público en una de las salas, consistoriales de ésta heroyea villa, en elqual respondió por espacio de dos horas y media á quantas preguntas se lé^htcieron de todos los tratados que comprehende el segundo año; 4 saber: trigonometría pia…</t>
  </si>
  <si>
    <t>…cademia pública de matemáticas ,que con Reai aprobación de S. M. se llalla establecida en esta corte , calle de la? Luna , número 7, 'cuarto princi pal &gt; bajo la di récelo® de su 'catedrático D. Miguel Dolz ,/se presentóá exa men público* én una de las salas consistoriales de esta heroica villa détodp lio correspondiente al 'primer ano de matemáúcasr y el dia 8* del mismo se presentaron*' ai ’píopio egércido Josef Joaquín Ribero, cadete- súpernu— inerario del: R…</t>
  </si>
  <si>
    <t>Dom</t>
  </si>
  <si>
    <t>…e cifa; llama y emplaza á todas las personas que presuman tener derecho á los bienes que han quedado por fallecimiento de Doña Francisca Martínez de Mendizabál i víudá.qiíé-era de D. Dom ingo Rodríguez Varela , abogado de los Reales Conse jos y del ilustre colegio de esta corte y para que dentro dei término de ao días preci sos y perentorios, contados desde el idel .presente, acudan ante S. S. por el oficio del infrascrito escribano del númer…</t>
  </si>
  <si>
    <t>Domin</t>
  </si>
  <si>
    <t>…García, Capitanes de Voluntarios de Avila ; á D. Pas cual Coca , D. Cenon López, 0. Bernabé Porián, y D. Josef Diaz, del primer Batallón de Ciudad-Rodrigo; á D. Antonio Echenique, D. Domin go García , D. Hénrique Arias, D. Vicente Xerez , y D. Juan Ferrero, Sargento mayor y Capitanes del segundo Batallón de Ciudad- Rodrigo; á 0. Patricio Iñiguez, D. Blas Carrasco, D. Josef Robledo, y D. Antonio Garrido, Capitanes dél tercer Batallón de la misma…</t>
  </si>
  <si>
    <t>199</t>
  </si>
  <si>
    <t>199 mera de la parroquial de la Tilla de Peraleja, Tacante asimismo por muerte de su último poseedor, y todas seis en el obispado de Cuenca» % D. Domin go Sala, canónigo de la iglesia metropolitana de Tarragona. El Rey nuestro Señor atendiendo al particular mérito que ha hecho pre sente contraxo en la gloriosa defensa de la plaza de Ciudad-Rodrigo el sub teniente que era de voluntarios de Avila D. Norberto R…</t>
  </si>
  <si>
    <t>…las le yes; quedando á cargo del gobernador del citado presidio observar su con- ' ducta , y dar cuenta de la que sea. Habiendo acudido al ministerio de Seguridad pública el Lie. D. Domin go Suarez,agente fiscal de la Real sala de alcaldes de casa y corte, con una instancia en solicitud de vindicar su honor y delicadeza ofendida por D. Ma nuel Figueroa y Vázquez, sentenciado al Peñón de Velcz de la Gomera por ocho años, en ei hecho de haber ma…</t>
  </si>
  <si>
    <t>…Villavrcencio, D. Alejandro Beyens, D. Vi-, pente Méndez-, ,D..Ántontp del- Corro, Di Antonio Roso, D. Juan Robion, I&gt;. Josef Car rabedo, D. Francisco: del Moyo, D. Josef del Rio, D. Domin go Monduiña , D. Manuel Diaz Herrera, D. Josef del Calvo, D. Manuel Bar rientes; D. Juan Robles , D. Fráncisco de los Hoyos, D. Gerónimo Fuen-?, mayor, D. Juan Becerra, D. Bernardo Tacón, D. Francisco Boneo, D. Jo sef Zorrilla, D. Santiago Regañón, D. Josef M…</t>
  </si>
  <si>
    <t>Domingo</t>
  </si>
  <si>
    <t>…ntonio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t>
  </si>
  <si>
    <t>…s ae giiérra. J , v ; En el Real cuerpo de Ingenieros. 1 Grado de coronel al teniente coronel D. Manuel Otermin: grados de te nientes coroneles á Jos. sargentos mayores de.byigada D. Domingo de la igle sia , .1).J. Ánfohip'jí]¿árróÍác?'.pC' 'Án&amp;r ,é$ Rodríguez , D. Tomas Spl&lt;Sevilla y Don Féliy Arbizu; y .á los yapítanes prlmeros iS. josef Giraldo,D. Juan Carmqna, p. Josef Montes y Flores,;!). Pedro Bringas, D^ Bartolomé Amat, Don Mariano Albo, J…</t>
  </si>
  <si>
    <t>…Si M.: y ai a'p'réció de su reinó, 'segúri‘ que' ha sido declarado en eí espediente que quéd^a en el archivo del referido ministerio, donde se ha reservado su derecho al espresado Don Domingo para que le repíta contra el calumniador* donde y como viere con venirle sin perjuicio dé los procedimientos que de oficio se siguen en el mi nisterio: sobre este:último,particular, con cuyo objeto desea saber el paradero del citado D. Juan Díaz Bermejo* c '…</t>
  </si>
  <si>
    <t>…os enemigos en España vivía en la ciudad de Cá diz, para comunicarles cierta parte de herencia que les pertenece por fallecimiento de Doña Josefa de los Hoyos y Villota y del Lie. D. Domingo de los Hoyos y Viilota, su hijo, de cuyos bienes pende testamentaría en uno de los juzgados de la villa de Madrid, y escribanía de número de ella que egerció D. Sebastian Peñuelas. Maximiliani Stoll: Aforismi de cognoscendis et curandis febribus. Esta obrita,…</t>
  </si>
  <si>
    <t>Domingo, Jüán</t>
  </si>
  <si>
    <t>Jüán Domingo</t>
  </si>
  <si>
    <t>…ron en E¿N* mamá con direcciori aí puerto del Gallkd dé cima'éii' ló^ ’büques-qué esté "éfedto se hallaban ya^eúmdós bpr disposibion dél viféy déFPerú^ * ?r Por lós'oficios- dfel:-coronel D. Jüán Domingo dé'lturralde y dél brigadier D. Juan Maaue! Pereira* Consta la favorable acogida Ique esta^ tropas háii-te nido en todos los puntos.delIstm,o por donde han transitado, la actividad y zelo con que el gobernador interino dé Portobelo.coronel D. Antonio Mendizab…</t>
  </si>
  <si>
    <t>Domingo, Roque</t>
  </si>
  <si>
    <t>Roque Domingo</t>
  </si>
  <si>
    <t>…Isidro Preciado. Para el corregimiento de Tnrazona dé la Mancha á D. Josef Catalan y Calderón: para el de Alcalá de los Gaztiles á D. Josef Roa Rodríguez: para el de Medinaceli á D. Roque Domingo de la Figuera: para el de Becerril de Campos á D. Josef Valentín Rica. Para la vara de alcalde mayor de Fortuna á D. Pedro Josef deíMasegpS*: para la de Rute á D. Manuel de Santo Domingo y Herrera: para la ae lq$. Velez á D. Juan Torrecilla de Robles: para la…</t>
  </si>
  <si>
    <t>Domínguez, Josef</t>
  </si>
  <si>
    <t>Josef Domínguez</t>
  </si>
  <si>
    <t>…muerte de D. Alvaro Salazar y Vílcnes, á D. Antonio Corrales y Luque&gt; canónigo doctoral de la misma iglesia;y para una media ración de la deCá-* diz, vacante por fallecimiento de D. Josef Domínguez, á D. Manuel Ca beza de Míe r. i ' % Teniendo el Rey en consideración las pruebas de lealtad que ha dado el capitán graduado de teniente coronel del regimiento de infantería de Truxi11o D. Josef Darguines, qué fue sentenciado á la pena capital por el anterior…</t>
  </si>
  <si>
    <t>…Cuenca, vacante por muerre de D. Eusebio María Urroz, á D. Antonio Carretero; y para otro beneficio servidero de Hontoria del Pinar, en el obis pado de Osma, vacante por muerte de D. Josef Domínguez, á D. Josef Gil y Gil. Enterado el Rey del distinguido servicio que con notable riesgo de sus vidas practicaron en 1809 el teniente de fragata D Benito de la Rifada, los alféreces de navio D. Antonio Vargas Machuca y D. Juan de Villar, fugándose de'de la Coru…</t>
  </si>
  <si>
    <t>…z, D. Francisco Contreras, D. Manuel Auñon, Dt' Josef Palillos, D. Antonio Acosta, D» Francheo Menduiña, D. Julián Senessens^iD* Josef AraüjoyD. Antonio Rute, D. Manuel Santander, D. Josef Domínguez , D. Josef!Montero y D. Pedro .Trasierra , D. Frandsco Olmo:,* Don Fermí n Meneos^ «Dv VénturaiRiesco ,D. Josef Muñoz § D. Luis Gorrichátegui, B; Joaquín Arbizu, D. Francisco Bravo, D. Josef Ausejo, B. Ramón Espona, D. Fráncisco Victoríno, D. Pedro Lechuga, D…</t>
  </si>
  <si>
    <t>Domínguez, Pedro</t>
  </si>
  <si>
    <t>Pedro Domínguez</t>
  </si>
  <si>
    <t>…ona que sepa de él, lo noticie á Doña Leonor de Herrera, vecina de dicha vi lla de Berja, y en Madrid en la librería de Perez, calle de las Carretas. Se desea saber el paradero de D. Pedro Domínguez, que en 1808 era subalter no en las compañías de Vallecas, de donde pasó á tenicíite de voluntarios de caba llería de Madrid, y en caso de haber fallecido el de sus herederos. La persona que lo sepa se servirá avisarlo en Madrid á D. Elias Ranz, calle de la C…</t>
  </si>
  <si>
    <t>Domínguez, Vicente</t>
  </si>
  <si>
    <t>Vicente Domínguez</t>
  </si>
  <si>
    <t>…e convenio se han satisfecho de sus respectivos créditos lá mayor parte de los acreedores, faltando únicamente que pagar D. Antonio Perez, D. Pedro Delgado, D. Antonio1 Blascuaga, D. Vicente Domínguez , Denvórat hermanos, D. Antonio Bringas,D. Sebastian de Aldama, Di Domingo Nava, Don Manuel Gerónimo dé Bringas con los cinCo gremios mayores, Enrior y Corrier, Bretón, Landay Viguri, y D. Bartolomé Cornejo, á quienes por no haberse pre sentado no se les ha s…</t>
  </si>
  <si>
    <t>Don</t>
  </si>
  <si>
    <t>…ino al quárto del Sermo. Sr. Infante D. Cárlos. Componen el capítulo general de .esta orden el Excmo. Sr. duque de S. Carlos: el Excmo. Sr. D. Francisco Xavier Castaños: el Excmo. Sr. Don francisco Xavier Venegas: el Excmo. Sr. D. Gaspar Vigodet; y D. Fran cisco Tadeo de Calomarde, oficial mayor más antiguo de la secretaría del despacho universal de Indias, secretario general de la orden con voto. También ha concedido el Rey cruces de primera…</t>
  </si>
  <si>
    <t>Donayre, Manuel Morales</t>
  </si>
  <si>
    <t>Manuel Morales Donayre</t>
  </si>
  <si>
    <t>…igual dignidad en la catedral'de Cuenca, para la que fue nombrado por decreto de 4 de Enero último. S. M. se ha servido nombrar corregidor de letras de los Ped roches de Córdoba á D. Manuel Morales Donayre. El Rey nuestro Señor sé ha dignado, admitir y agradecer el donativo de 20® rs. en créditos contra la Real Hacienda que ha hecho á S. M. un cura párroco del obispado de Salamanca, cuya modestia no le ha permitido ma nifestar su nombre. En virtud de exhorto li…</t>
  </si>
  <si>
    <t>Donna-</t>
  </si>
  <si>
    <t>…tendrán comandantes particulares á las órdenes de un comandante superior del departamento; ^ „E1 distrito de Lesparre, que tenia el comandante Blayé , queda en eíl dia confiado al general Donna- - ^ „ El distrito de Libourne permanecerá bajo ti mando del coronel Du chaste!. ' . . ' r """ „ Los distritos del Reole y Bazas están al mando del general Faticher. ( í, La ciudad de Burdeos: y isuf partido5 quedan* á&gt;las¡ órdenes del coronel ■ : A "\f.... ^L…</t>
  </si>
  <si>
    <t>Dórente, Fabian</t>
  </si>
  <si>
    <t>Fabian Dórente</t>
  </si>
  <si>
    <t>…erra, vacante por promoctQn de D. Diego Crespo de León á la de las nuevas poblaciones de Sierra Morena, á D. Joaquín Gonzalo Ramírez de Arellano: para la de fa ciudad de Alcañiz á D. Fabian Dórente; y para la de los Santos, vacante pór renuncia de D. Josef Antonio Martin Palomino, á D. Francisco Javier Ló pez Duque* El juez de Imprentas y Librerías del reino hace saber á todos los librejos , impresores, autores y editores de obras y papeles entreguen an…</t>
  </si>
  <si>
    <t>Doria</t>
  </si>
  <si>
    <t>…lbertini, obispo de Gondar, que representa- la .colonia cristiana de Nicosia en Chipre, ha causado aqui mucha sensación. Asi que se supo la llegada de este venerable patriarca» el cardenal Doria» mayordomo mayor de S. S., fue á visitarle en nombre del Padre Santo; y antes de ayer le dio el Papa su primera audiencia en :el Vaticano» adonde fue conducido con los seis religiosos que le acompañan en carrozas de la corte. Al acercarse 2 S. $. se arrodilló…</t>
  </si>
  <si>
    <t>Doria, Felipe</t>
  </si>
  <si>
    <t>Felipe Doria</t>
  </si>
  <si>
    <t>…D. Tomas Zamora, L&gt;. Benito Reehel, D. Gaspar Nogueruela, Don Luis Medinilla , D. Pedro Medinilia, D, Joaquín García., D. Gregorio Arta-r cho, D. Josef Aguilar, D. Antonio Quadra, D. Felipe Doria, D. Vicente Ruiz)jD. ^Ramón-Quinan^ &amp; Geróriimq»dé G.éus, IX Josef Carrasco , Don josef Rae^a f ,D. Miguel Sánchez,,¡ D. Litis Vidarte, D. Tiburcio Martínez, IX Rufino; Andinql IX Antonio la Rosa i D. Pedro Albo, D. Nicolás Giezar, DvJuanVicente , D. Eduardo…</t>
  </si>
  <si>
    <t>Dornberg</t>
  </si>
  <si>
    <t>…e de una brigada de la cuarta división, de los mayores generales S. J. Kempt , S. D. Pack , Lambert, lord E. Somersef, S. W. Ponsomby, S. C. Grant, S. H. Vivían, S. U. Vandeleur y conde Dornberg. Es toy muy particularmente obligado al general lord Hill por su asistencia y conducta, tanto en esta como en las demas ocasiones. „ Las clases de artillería, é ingenieros, se condugeron grandemente y cón satisfacción mía por los coroneles S. G. Woody Smitb;…</t>
  </si>
  <si>
    <t>Dosal, Josef Navarro del</t>
  </si>
  <si>
    <t>Josef Navarro del Dosal</t>
  </si>
  <si>
    <t>…enten las viudas y huérfanos que se hallen en esta corte ó fuera de ella, por sí ó por medio de sus apoderados, á cobrar lo que les quepa según su asignado, acudiendo .para ello á D. Josef Navarro del Dosal, á cuyo cargo se hallan las oficinas del enunciado Monte, las que están situadas en el piso segundo de la casa de los Reales Consejos. Hallándose vacantes las plazas de comadres destinadas á los cuarteles de Palacio, S. Gerónimo y Avapies, dotadas con 200 duc…</t>
  </si>
  <si>
    <t>Dosguimaraes, Francisco Ribeiro</t>
  </si>
  <si>
    <t>Francisco Ribeiro Dosguimaraes</t>
  </si>
  <si>
    <t>…yeron las siguientes memorias: 1 .a sobre un documento inédito del principio del siglo xn, que prueba háber estado él conde Don Henrique en ia Palestina en el año de 1103 , por el Sr. Francisco Ribeiro Dosguimaraes: 2.a sobre la destilación del aguardiente y construcción délos mejores aíambiques, por el Sr. Antonio de Araujo Travássos: 3.a sobre la perfección de los elementos de geometría,ordenados según los deBezout,por el Sr. Francisco Vilela Barboza; y 4.a la ^recapi…</t>
  </si>
  <si>
    <t>Dot, Guillermo</t>
  </si>
  <si>
    <t>Guillermo Dot</t>
  </si>
  <si>
    <t>…iel Olgado, D. Josef Mela, D. Felipe San Alberto, D. Pedro García de Várgas ,y D. Agustín Reviila, del de Voluntarios de Avila; á D. Pedro Doz, D. Ignacio Fuerte , D. Josef Gacet, D. Guillermo Dot, y D. José f Villar de Francos, del Provincial de Segovia; á D. Santiago Muriedas, D, Isi doro Moreno, D. Antonio Gallego, D. Juan Calderón, y Di Juan Sierra, del primer Barallon de Voluntarios de Ciudad-Rodrigo; á D. Manuel Ri bero, D. Joaquín Quadrado, D. F…</t>
  </si>
  <si>
    <t>Doventon</t>
  </si>
  <si>
    <t>…sonal; pero se sabe muy bien que sus intenciones son atacar el territorio ingles con fuerzas formidables. Se sabe también que el Rajah Barahr se ha presentado en campaña, y que el general Doventon, con un fuerte cuerpo del egército de Madras, ha levantado su campo para observar sus mo vimientos. En una palabra parece que las posesiones inglesas de la India estan amenazadas de una guerra muy seria, y que según los preparativos for midables que se hacen…</t>
  </si>
  <si>
    <t>Doy, Carlos</t>
  </si>
  <si>
    <t>Carlos Doy</t>
  </si>
  <si>
    <t>…blo. Volvró á estos baños al Setiembre siguiente y en Mayo del presente año, y en el día continúa perfectamente sano. En Setiembre del año próximo pasado se presentó el Escmo» Sr. general D. Carlos Doy le con el objeto de hacer uso de estas aguas, en razón de unos dolores artrítico-reumáticos, causados por la transpiración impedida de resultas de haberse mojado en un rio á tiempo que estaba espedita, cuyos do lores lo tuvieron por el largo espacio dé 11 mes…</t>
  </si>
  <si>
    <t>Doy, Henrique</t>
  </si>
  <si>
    <t>Henrique Doy</t>
  </si>
  <si>
    <t>…gdsr yD. Santiago Robillar, y tras ellos marchaban sir John. Huiiter;, agregado á la comisión, que llevaba el sortú y chaperon;el teniente general dé los Rea* les egércitos deS. M.D. Henrique Doy le, agregado igualmente á la comi sión, que llevaba el estoque;Mr. Kennedy, también agregadó ála comisión, que llevaba el gorro de plumas ; D. Manuel Centurión, mayordomo de. se mana de S.M., que llevaba el collar ;;el marques de Salas, gentilhombre de cá mar…</t>
  </si>
  <si>
    <t>Doyega, Francisco</t>
  </si>
  <si>
    <t>Francisco Doyega</t>
  </si>
  <si>
    <t>…Soravilla , D. Francisco,Mora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 los sargentos primeros D. Juan Pedro Boullu, D. Miguel Campillo, D. Juan López, D. Manuel de Pedro, Don Pedro Perez y D. D…</t>
  </si>
  <si>
    <t>Doz, Bonifacio</t>
  </si>
  <si>
    <t>Bonifacio Doz</t>
  </si>
  <si>
    <t>…iente mes, y lo estarán hasta fines de Octubre. Por el juzgado del Sr. D. León de la Cámara Cano, y escribanía numeraria de D. Tomas de Sancha y Prado, penden autos promovidos por D. Bonifacio Doz j la Cerda, vecino de la ciudad de Tarazona, quien ha reclamado cinco vales Reales de la creación de i.° de Enero de 1808, señalado» con lo» números 230590, 241631,</t>
  </si>
  <si>
    <t>…30 dias; con apercibimiento de que pasados sin haber comparecido le parará el perjuicio que haya lugar.— Asimismo resulta de una lista que obra en dicho expediente que el referido D. Bonifacio Doz ha reclamado en el concepto de heredero de su padre D. Jayme 49 vales Reales y ir mas i su nombre de las creaciones y números que i continuación se expresan, y siete recibos de intereses, que también se especifican, los cuales fueron dirigidos en Octubre de 1…</t>
  </si>
  <si>
    <t>Doz, Fermín</t>
  </si>
  <si>
    <t>Fermín Doz</t>
  </si>
  <si>
    <t>*5°575* 2536437 *$59°4» «aovados en dicha época1 favor de tu padre Don Jayme Doz; y habiendo sido endosados por un circuid vicioso con la firma de Don Fermín Doz, ha acordado S. S. por auto de a 8 de Abril último (después de prac ticadas varias diligencias con la de nombramiento de defensor) que mediante £ ig norarse el paradero del expresado D. Fermín Doz, se le convoque por edictos en los papeles públicos por el tér…</t>
  </si>
  <si>
    <t>Doz, Jayme</t>
  </si>
  <si>
    <t>Jayme Doz</t>
  </si>
  <si>
    <t>*5°575* 2536437 *$59°4» «aovados en dicha época1 favor de tu padre Don Jayme Doz; y habiendo sido endosados por un circuid vicioso con la firma de Don Fermín Doz, ha acordado S. S. por auto de a 8 de Abril último (después de prac ticadas varias diligencias con la de nombramiento de defensor) que mediante £ ig norarse el paradero del expre…</t>
  </si>
  <si>
    <t>Doz, Pedro</t>
  </si>
  <si>
    <t>Pedro Doz</t>
  </si>
  <si>
    <t>…rca; á D. Félix Llano, D. Gregorio Martin, D. Gabriel Olgado, D. Josef Mela, D. Felipe San Alberto, D. Pedro García de Várgas ,y D. Agustín Reviila, del de Voluntarios de Avila; á D. Pedro Doz, D. Ignacio Fuerte , D. Josef Gacet, D. Guillermo Dot, y D. José f Villar de Francos, del Provincial de Segovia; á D. Santiago Muriedas, D, Isi doro Moreno, D. Antonio Gallego, D. Juan Calderón, y Di Juan Sierra, del primer Barallon de Voluntarios de Ciudad-R…</t>
  </si>
  <si>
    <t>Dr</t>
  </si>
  <si>
    <t>…rpo, mánifestp con elegancia y sencillez el estado de sus progresos, y los obstáculos que eraforzoso remover para que se pudieran llevar al cabo sus útiles tareas. Leyó después el secretario Dr. De Antonio de Pineda y Barragan, bibliotecario y catedrático de sagrada escrituraenla universidad literaria, un estracto de las actas .de. e$t^) Real'puerpo desde su instalación, con espresion de los establea cimiéntos que iu constante decidido zeló había er…</t>
  </si>
  <si>
    <t>…C” «sorías £ la de la Cabeza, y de su producto satisfacer por su orden lósxréditos de.clarados-y[ graduados ¿n Ja sentencia que éri 7 dé Julio del año de i 798 se pronunció por el Sr. Dr. D. Salvador Roca, presbítero, teniente vicario de esta villa dte Madrid y. su partido , y penden por el oficio del notario del número de la misma audiencia D. Ju^n Francisco de Piélagos, para que en el término de un mes, con tado desde-el dia de la pubjicaci…</t>
  </si>
  <si>
    <t>Drouet</t>
  </si>
  <si>
    <t>…la policía; que el segundo lia dado su palabra- de. honor de qüs . saldrá del reino en el término ae cinco dias, y que el tercero será conducido con tropit hasta, la frontera* El general Drouet (conde de Erlón) ha abandonado repentinamente su cuerpo de egército, por librarse de la egecucion del decreto ael Rey... . El general Lefebvre-Desnoüettcs, que al principio daba muestras de em prender la vida de partidario, salid del acantonamiento qué ocupab…</t>
  </si>
  <si>
    <t>…Estorf, en Limours. Las tropas todas á las órdenes del Duque de Weilington que no han de permanecer en Francia se han puesto en marcha para volver á la Bélgica. Se asegura que el general Drouet, conde de Erlon, ha sido arrestado en París , donde vivía oculto. El contra-almirante Linois, gobernador de la isla de Guadalupe, y el general Boyer, comandante de las tropas de aquella isla, se hallan ar restados. El famoso Schulmeister, espía pagado por la…</t>
  </si>
  <si>
    <t>Drouot</t>
  </si>
  <si>
    <t>i394 El general Drouot que se constituyó, pres® desde la promulgación del de creto Real de 24 de Julio, ha solicitado y conseguido que se le juzgue inme diatamente después del mariscal Ney. Está para completarse y empezar su servicio la legión departamental del Sena: varias compañí…</t>
  </si>
  <si>
    <t>Droust</t>
  </si>
  <si>
    <t>…ros ingleses á ver su ban dera, que no- hicieron caso de su pequeña esqnadra, que salió de noche. Bonaparte dexó en Portoferrayo á la muger del general Bertrand , á la hermana del general Droust, y generalmente á todos los franceses con quiénes no contaba para un golpe desesperado. Dixo á algunos qué sola mente iba á Orbitelio á tratar con su cuñado Murat, el quar parece que ni? siquiera salió de Nápoles, y que no tiene relaciones ningunas con Bonapa…</t>
  </si>
  <si>
    <t>Duaso, Josef</t>
  </si>
  <si>
    <t>Josef Duaso</t>
  </si>
  <si>
    <t>…dia 26 de Junio se presentaron á besar la mano 4 S.,M. y al Sr. In fante D. Cárlqs D. Ignacio Martínez Villela, del consejo Real; D. Tomas Arias, auditor del tribunal de la Rota; D. Josef Duaso, capellán-de honor de S. M.; D. Manuel Abella y el barón de Castiel, oficiales de la primera secretaría de Estado y del Despacho^ comisionados por la universidad de Za ragoza para dar gracias á S. M. y A. por haberse dignado acceder á la so licitud par?. que…</t>
  </si>
  <si>
    <t>Duazo, Joséf</t>
  </si>
  <si>
    <t>Joséf Duazo</t>
  </si>
  <si>
    <t>…nco-Villas en el reyno de Aragón, 're solvió desde luego felicitar ¿ S. M. por su feliz restitución al trono, y ha biendo nombrado al efecto una diputación compuesta de ios ¡Sces. D. Joséf Duazo, capellán de honor efe S. M. &gt;digo&gt;dad de Chantre de la santa iglesia catedral de Málaga , administrador de Ja Real casa y hgspital de la cor te, socio d« número y de mérito literario «dé la Real sociedad , aragonesa, caballero pensionista de la Real y distin…</t>
  </si>
  <si>
    <t>Dubouchage</t>
  </si>
  <si>
    <t>…tros de Estado,‘dél modo siguiente:. . De Negocios extrángeros el duque de Richelieu, par de Francia. De Guerra el duque de Feltre , par de Francia. De Marina y de las Colonias el vizconde Dubouchage, teniente general. Del Interior el conde de Vaubianc, prefecto del departamento de las Bo cas delRódano.' : ; v :/■ i. i . : r ■ v DeJa Policía general él señor de Cazes, consejero de Estado. De Justicia el conde de Marbois , par de Francia. De Haciénda el co…</t>
  </si>
  <si>
    <t>Dübreton</t>
  </si>
  <si>
    <t>…para que se quite la bandera tricolor y se ponga la blanca , lo cual se ha verificado con salvas de artillería en todo el frente de la plaza. : , Idem gf » Acaba de llegar aquí el general Dübreton, nombrado por el Rey coman dante d» la 5.a división militar. Parts de Agosto. No se ha embarcado Murat, como se dijo; por el contrarío, desde que salió de Tolon anda vagando con nombre fingido por los caminos menos fre cuentados. Lleva dos criados, de ios cua…</t>
  </si>
  <si>
    <t>Ducos, Luis Fris</t>
  </si>
  <si>
    <t>Luis Fris Ducos</t>
  </si>
  <si>
    <t>…de Cabrerizo: un tomo en 8.° á 5 rs. en rústica. Compendio histórico del origen de la revolución francesa, ó tramas de los filó sofos modernos para conseguirla: por el presbítero D. Luis Fris Ducos. Entre las varias causas á que se atribuye esta revolución, la que señala esta obnta tiene á su fa vor testimonios muy repetidos, y ademas una verisimilitud tal, qué ella sola bastaría á darle la mayor probabilidad; lo cual hace tanto mas útil este compendio,…</t>
  </si>
  <si>
    <t>…796 hasta el de 1815 inclusive: formada,sobre los documentos mas auténticos que 6e han publicado hasta el dia, con notas muy interesantes y muy poco conocidas*, por el presbítero. D. Luis Fris Ducos, rector y administrador de la Real iglesia-hos pital de S. Luis Rey de Francia: dedicada al Excmo. Sr. Patriarca de las Indias. En esta obra la exactitud en referir los hechos, lo selecto de los documentos sobre que sé apoyan, la crítica, la imparcialidad y e…</t>
  </si>
  <si>
    <t>Dudagoitia, Vicente de Hezeta y</t>
  </si>
  <si>
    <t>Vicente de Hezeta y Dudagoitia</t>
  </si>
  <si>
    <t>…enta en &amp; el generad Hullin. ESPAÑA. Madrid 8 de Noviembre. « . El dia 15 de Julio próximo pasado falleció en la ciudad de Murcia á los 84 años de edad y Ó4 de servicios el Excmo. Sr. D. Vicente de Hezeta y Dudagoitia, teniente general de la Real Armada, natural de Bilbao. En 1751 principió á servir de guardia marina en el departamento de Cádiz, del que en aquella clase pasó á su tiempo á bordo en el navio Africa. Continuó en seguida sus navegaciones y servicio en varios b…</t>
  </si>
  <si>
    <t>Dueñas, Josef Antonio</t>
  </si>
  <si>
    <t>Josef Antonio Dueñas</t>
  </si>
  <si>
    <t>…; en Zaragoza en la de Pardo; en Granada en la de Martínez de Aguilar; en Murcia en la de Beneyto; en León en la de Candanedo; ■en Málaga en la de Carreras, y en;Avila en casa de D. Josef Antonio Dueñas, 'procurador agente de los tribunales de aquella ciudad* Tomo 4.0 y último de la obra Materia criminal forense, ó tratado universal teó rico y práctico de los delitos y delincuentes en género y especie: su autor D. Se ñen Vilanova y Mañes. Contiene eí juicio…</t>
  </si>
  <si>
    <t>Dufour</t>
  </si>
  <si>
    <t>…enia Adelayda y del duque de Treviso. El duque después de haber recibido los parabienes de todas las autoridades, y de ha ber visitado las fortificaciones, depuso de su destino al general Dufour, co mandante de la plaza, y salid con dirección á Valencienes. SUIZA. B asilea 26" de Marzo. Se habla de la reunión de un cuerpo de exército en estas inmediaciones. Las puertas dé Huninga han estado cerradas algunos dias ; pero se han abierto porque no se ha…</t>
  </si>
  <si>
    <t>Dugi, Francisco</t>
  </si>
  <si>
    <t>Francisco Dugi</t>
  </si>
  <si>
    <t>…Arteche , D. Joséf Gutiérrez, D. Josef B en i tez Cafrípou ,D. Segundo Ulibarri, D. Miguel Párraga, D- Juan Amonio Pereyra, D. Pablo Ortiga Samaniego, D. Joséf Valcárcel y Arias, D. Francisco Dugi y D. Manuel Fontiyerbs. " Es crecido el número de los capitanes, tenientes, subtenientes, sargentos primeros y cadetes'que 'por el mismo motivo resultan graduados en Ja in fantería, cuya circunstancia no da margen á espresá^los por nombres en la gaceta ministerial, ásr fcbmo se ha…</t>
  </si>
  <si>
    <t>Duhesme</t>
  </si>
  <si>
    <t>…hubiése rechazado el ataque de flanco del cuerpo prusiano; pero como este ata que se ésteiidiese siempre y perpendicularmente sobre nuestro flanco dere cho , el Emperador envid al general Duhesme con la guardia nuevamente re clutada y varias baterías de reserva,con lo cual el enemigo fue rechazado,Sé Contuvo, y le fue preciso retirarse, bien que teniendo agotadas sls fuerzas nada nos daba que recelar. Este era el momento destinado para atacar el cen t…</t>
  </si>
  <si>
    <t>Duka</t>
  </si>
  <si>
    <t>…personages siguientes r De Austria., El. Archiduque Príncipe imperial de Austria $ elT Aréfirdti^ (que Luis, hermano del Emperador ; los Archiduques Fernando y Maximi liano ;; el barón Duka; el conde dé Wubna; él conde de Trautmaíisdorfj el Príncipe de Rohan; el Príncipe Paulo Esterhazy; el Príncipe Lichtensfein; el feld- mariscal Príncipe de Schwartzemberg, comandante en gefe del egéfc— cito austríaco, y otros muchos generales y oficiales del m…</t>
  </si>
  <si>
    <t>Dupont</t>
  </si>
  <si>
    <t>…cción brillante. Que otros hagan lo mismo á favor de la segunda acción, y de la tercera y de ia quarta &amp;c., y el soldado, fiel á sus deberes, traba—' jará por multiplicarlas.** El conde Dupont, comandante del departamento de la Loire, ha diri gido á S. M. la carra siguiente: „ Señor: las tropas que componen el exército, cuyo mando se ha dig nado V. M. 'confiarme, se consideran felices por haber sido las prime ras nombradas para vengar el trono y la…</t>
  </si>
  <si>
    <t>…alucía, dirigiendo la memorable y gloriosa batalla de Baylen, ocurrida el dia 19 de Julio de 1808, en que fue batido y hecho prisionero de guerra el exército francés del mando del general Dupont; como igualmente el que ha hecho salvando el exército del centro por me dio de una sabia retirada executada desde las inmediaciones del rio Ebro hasta la provincia de Cuenca» El Rey nuestro Señor se ha dignado aceptar la oferta de un crédito de 26272 rs. y 16…</t>
  </si>
  <si>
    <t>…dia logró V. E. la feliz suerte de rechazar con solos 700 hombres veteranos por nueve veces en el espacio de otras tantas horas que duró la ac-í pión . al egércíto del mando, del general Dupont, compuesto de 24® hombres aguerridos,, causándoles la! pérdida de 3500, la dispersión de los regimientos suizos de Redjng y;de Preux, obligándole ademas á rentarse y tomar posicioh en la sierra de Andujar para esperar los socorros-qué hábiá pedido en toda dil…</t>
  </si>
  <si>
    <t>…el conde de Beurnonville , par de Francia; el mariscaljOudinot,:■ duque, de Reggloi». par.de, Francia; el conde Dessoles:, par de Francia * el l conde Ferrard, par.de» Francia; el conde Dupont, teniente! general * antiguo s ministro de Guerra el-abate Montesquieu * par de Francia * antiguo mitiistfrob de lo Interior; ei duque de.Feltre, par.-de Francia ;- antiguo:' ministro dell^b Guerra ; el conde de.ífeugnot* dicector-genecaj de;Goaeos ^ antiguo-…</t>
  </si>
  <si>
    <t>Duprit, Francisco</t>
  </si>
  <si>
    <t>Francisco Duprit</t>
  </si>
  <si>
    <t>…de sargento secundo al cabo primero Gregorio Garda: tres reales diarios de pensión á María Duprit, que disfrutaba su madre , por haber muerto en la acción de Bailen s.u. padre el sargento Francisco Duprit •. et empleo de alférez d cadete de1 dicho, batallón D. Lorenzo Aguirre, por ser 1 el mas antiguo de $u ciase; eL grado de teniente coronel al alférez D. Vicente Martínez, ayu dante dragón: el empleo de capitanes supernumerarios, sin antigüedad, á los primero…</t>
  </si>
  <si>
    <t>Duq</t>
  </si>
  <si>
    <t>…con aquélla amabilidad1-que acompaña l9d^isbU,fi¿&lt;áóíí'ésl:El Rey tenia puesta la insignia dé' lá órden dé la Jairretieja^^^ir^ii^doléoPDüq^ié'lé drícó:* 7 ' ^ c-:.Fi:v . v *| ■ ,,Sr. Duq«£; Os soy personalmente deudor de una deuda de gratitud» j^óí</t>
  </si>
  <si>
    <t>Duque</t>
  </si>
  <si>
    <t>…respeto y agra decimiento.” ARTICULO DE OFICIO. Circular del Consejo Real. El Secretario interino de Estado y del Despacho Universal de Gracia y Justicia ha comunicado al Exento. Sr. Duque def Infantado, Presidente del Consejo, la Real orden que sigue: „ Excmo. Sr. í Habiendo llegado á noticia del Rey nuestro Señor que en el Rey no de Valencia circulaba un papé! impreso en 1813, titulado a4 la Nación Española ■: manifiesto qué hace de su conduc…</t>
  </si>
  <si>
    <t>…medidas de longitud no se piensa hacer alteración .ninguna. , FRANCIA. Mompeller 29 de Junio. Ayer se publicó aqui la proclama siguiente: De orden del Rey y de o. A. R. el Sermo. Sr. Duque de.Angulema, lugar teniente general del reino en el Mediodía. =Luis Hipólito, marques de Montealm, caballero de la orden Real y militar de S. Luis, oficial de la legión de Honor, comisario cstraordinario de S. A. R. en el departamento de 1 Herault. „ Vecinos…</t>
  </si>
  <si>
    <t>…ojan. De Real orden lo comunico á V. E., pa ra que dando cuenta al Consejo disponga su cumplimiento. Dios guarde á V. E. muchos años. Palacio 7 de Mayo de 1815. = Pedro Cevallos = Señor Duque, Presidente del Consejo. En su vista, de los antecedentes del asunto, y.de lo expuesto por el Se ñor Fiscal , ha acordado él Consejo que los Corregidores y Justicias def Rei na hagan que en todo tenga su inas puntual cumplimiento la soberana reso lución deS.M…</t>
  </si>
  <si>
    <t>de ello al Rey , que no deja de estar enterado por otra parte.*' Estas pala bras llenaron de gozo á los habitantes de Grenoble. El Sr. Duque tuvo la bondad de enviar al Rey con recomendación un memorial pidiendo la con servación del tribunal Real de Grenoble. S. A. R. se dignó añadir que espe raba conseguir este favor. -_El 28 aguardaban al Príncipe en Tolosa, de don de debe pasar á Bayona. El dis…</t>
  </si>
  <si>
    <t>Duran, Estéban</t>
  </si>
  <si>
    <t>Estéban Duran</t>
  </si>
  <si>
    <t>…cía Maroto, á D. Matías González, teniente cura de palacio, nombrado anteriormente para una canongía de Orense; y la me dia-ración vacante en la misma iglesia por fallecimiento de D. Estéban Duran á D. Estéban Cayuela, con retención del beneficio de Beceite que obtiene en el arzobispado de Zaragoza. = La ración vacante en la iglesia primada de To ledo por fallecimiento de D; Ignacio Rey Montes á D. Cárlos Gutiérrez; y la-capellanía de coro vacante enla…</t>
  </si>
  <si>
    <t>Duran, Joaquín Fernandez</t>
  </si>
  <si>
    <t>Joaquín Fernandez Duran</t>
  </si>
  <si>
    <t>…villa del Prado á D. Luis Fran cisco Sanz Teresa: para la de Belmonte á D. Pedro Antonio Moraleja y Montalban: para la de Carcabuey á D. Juan Carlos Callaba: para la cíe Cartaya á D. Joaquín Fernandez Duran: para la de Mansilla de las Muías á D. Evaristo Linares: para la de Alcañices á D. Francisco de Paula Grande: para la de Cien pozuelos á D. Francisco Herrero Blanco: para la de Salva tierra á D. Manuel del Pozo: para la de la Bañeza á D. Bartolomé García Terr…</t>
  </si>
  <si>
    <t>Duran, Juan</t>
  </si>
  <si>
    <t>Juan Duran</t>
  </si>
  <si>
    <t>…e D. Antonio de Lence, á D. Manuel Fernandez Varela, prior de Accba, y canónigo de la misma catedral: para una canongía de la iglesia catedral d.e Ceuta,, vacan-, te por muerte dé D. Juan Duran, á D. Juan Hernández de Prado, ración ñero de la misma; y para una capellanía titulada de Reyes nuevos de To-&lt; ledo en la villa de Valdeolivas, diócesis de Cuenca, vacante por muerte den D. Josef Trúpita, á D. Antonio Martínez Viaña. El Rey se ha servido nomb…</t>
  </si>
  <si>
    <t>Duran, Melchor</t>
  </si>
  <si>
    <t>Melchor Duran</t>
  </si>
  <si>
    <t>…eniente agregado á D. Josef Xamarilío; y en el regimiento de infantería de línea de Talavera , que se halla en aquel vireynato, capitán á D. Josef Valdés; Teniente de granaderos á D. Melchor Duran; idem de ca zadores á D. Ramón Lorente; idem de fusileros á D, Josef Salazar, D. Ra fael Galdia, D. Jo.ef Tucar, D. Juan Mijares, D. Tomas Agudo, Don Francisco Manuel Alvarez, D. Gregorio Baeza, D. Francisco La-Reguera y D. Vicente Aneses ; subtenientes de ca…</t>
  </si>
  <si>
    <t>Duranfegeftte, Miguel Rodríguez</t>
  </si>
  <si>
    <t>Miguel Rodríguez Duranfegeftte</t>
  </si>
  <si>
    <t>feavitfuddeprovidencíade D. Miguel Rodríguez Duranfegeftte de la jurísdicc^on dc la vílla de Guadalupe en la provincia dé Murcia, se cita y emplaza á María García Ceca, hija, y como heredera del difunto Ramón, vecino que fue de lá éip'resada villa. Se halla vacante la plaza de médico de la villa de Orgaz, provincia d…</t>
  </si>
  <si>
    <t>Durham</t>
  </si>
  <si>
    <t>…ne pasó un convoy con 4® hom bres con dirección á Jamayca, al que siguió otro de igual fuerza para la misma isla. El almirante Cochrane habia ¡do á la Guadalupe á buscar al contra^almirante Durham para que le acompañase á la expedición; pero este no pudo seguirle por estar ocupado en la entrega de la isla á los fran ceses. Cochrane dió la vela para el golfo mexicano, y se espera de dia en dia saber el resultado del ataque contra la Nueva-Orleans. Las c…</t>
  </si>
  <si>
    <t>Durharn</t>
  </si>
  <si>
    <t>…s apresados ó inutilizados por la escuadra del oontra-almicanté Hotfram(;. y-otra lista de cuatro velas, también americanas, tomadas ó echadas i pique por- la- escuadra del contra^almirante Durharn* comandante del apostadero de las islas de Barlovento.. , , _• S* A. la duquesa de Angulema visitó ayer á la. Reina en* su. palacio *y &lt;e| ’dúque. de Orleans ál Príncipe Regente. Ha llegado aquí un: correo de gabinete que ha -traído para este gobierno pliegos…</t>
  </si>
  <si>
    <t>Duruham</t>
  </si>
  <si>
    <t>…ábado llegaron los pliegos cf$ estos dos Comandantes, y poco después se publicó el boletín siguiente: 7 „E1 teniente capitán Wemyss ha llegado al almirantazgo con pliegos del vice-almirante Duruham , dirigidos á Sir Crokor, anunciando con fecha de 10 de Agosto la capitulación de la isla de Guadalupe. El principal artículo de esta capitulación dice que el almirante conde Linois, el general Boyer y todas las tropas de línea francesas se enviarán á Francia…</t>
  </si>
  <si>
    <t>Durutte, Conde</t>
  </si>
  <si>
    <t>Conde Durutte</t>
  </si>
  <si>
    <t>…staciones de nuestrosTple» ni potenciarlos cerca do los ,Soberanos aliados , asi ?como;; la’noticia rdecuii ar misticio que se espera de un instante á otro..: ; •) : ú El teniente general Conde Durutte, herido gravemente en el brazo dere cho la víspera dé 1% batalla del 18 dando una carga al enemigo al frente de su división, ha llegado á París, y ha sido preciso cortarle el brazo; Se ha oido e.n las puertas de París un fuerte cañoneo, que parecía Venir del…</t>
  </si>
  <si>
    <t>Duvivier</t>
  </si>
  <si>
    <t>…ados Escmo. Sr. D. Pedro Gevallos* Copias citadas en él oficio anterior, 7 ; .o*í Num. de Puigberdá. = „ Escmo.,$r. =±dJna Cátrta fide 1Corregimiento digna que acahi dé/fecibir el señor Duvivier^ fecha en Tolosa, dice 4o si guiente: Boftaparte ha caldo en el lazo que le habían preparado lord' Wéllington y Blucher: su egército ha sido destrozado: ha llegado en' persona á París pidiendo al Cuerpo legislativo hombres y dinero. Al momento que con cluyo m…</t>
  </si>
  <si>
    <t>Eacelmans</t>
  </si>
  <si>
    <t>…,. . ... . : ' ■ ■*"-'ti,París 2 de Julio. 1 SaiETItr DJE . . |5 S;TE DIA. . . :r Nuestras -tropas tuvieron ayer ocasión de manifestar su acostumbrado va* lor en dos acciones. El general Eacelmans da cuenta que había ido después de medio dia con juna’parte de su caballería sobre Versalles, que ocupaba el enemigo con t^oo caballos, con el objeto de sorprenderlos y apoderarse de ellos. -En su virtud ¡(dice) qué mandó: al teniente general Piré que marchas…</t>
  </si>
  <si>
    <t>Ecbavarri, Pedro Agustín de</t>
  </si>
  <si>
    <t>Pedro Agustín de Ecbavarri</t>
  </si>
  <si>
    <t>…nten ciones. En su consecuencia vengo en nombrar para dicho efecto con todas Jas facultades é inhibición de todo juez y tribunal (quienes le prestarán los auxilios que necesite) á D. Pedro Agustín de Ecbavarri, mariscal de campo de mis Reales exércitos , para que desde luego proceda al exercicio de sus funciones, consultándome quanto crea conveniente, según los casos ocur ran. Tendreislo entendido, y lo comunicareis á quien corresponda. = Y lo traslado á V. S. de o…</t>
  </si>
  <si>
    <t>Echarri, Miguel</t>
  </si>
  <si>
    <t>Miguel Echarri</t>
  </si>
  <si>
    <t>….... D. Josef María Gayoso. r£n Santiago.i...... D. Manuel de la Riva Moreno. En la Coruñaí...... D. Felipe Elorz. En Valladolid..... D. Luis Francisco de Luis. rEn Pamplona...... D. Miguel Echarri. En Barcelona...... D. Ramón Llordella. En Zaragoza....... D. Francisco Perpiñan, barón de la Torre. Mn AlavnyGm-y V' Fránciscd Arrieta. " * ** *••••••••• J &gt; ■ ■ » * En León............... D. Tomas Diez!^Serrano. . En Soria.............. D. Joaquín Tutor y B…</t>
  </si>
  <si>
    <t>Echavarri, Antonio</t>
  </si>
  <si>
    <t>Antonio Echavarri</t>
  </si>
  <si>
    <t>…árlos Teodoro,Gil, D. Claudio Vinuesa, D. Juan Qüirante, D. Josef María Muñdz*, D. Francisco Ocaña, IX Antonio Gayosrí ,. D. Antonio García, D. Víctor Perez, D. Francisco Laborda, D. Antonio Echavarri, I). Josef Valcárcel 'yRosique, D. Josef Gómez Arteche , D. Joséf Gutiérrez, D. Josef B en i tez Cafrípou ,D. Segundo Ulibarri, D. Miguel Párraga, D- Juan Amonio Pereyra, D. Pablo Ortiga Samaniego, D. Joséf Valcárcel y Arias, D. Francisco Dugi y D. Manuel Fon…</t>
  </si>
  <si>
    <t>Echavarri, Manuel Deñamayor y</t>
  </si>
  <si>
    <t>Manuel Deñamayor y Echavarri</t>
  </si>
  <si>
    <t>…. S. M. ha nombrado para el corregimiento político de la ciudad de Cdr-r doba á D. Joaquín Bernad y Vargas: para el de Ecija á D. Agustín Guaxardo y Faxardo; y para el de Murcia á D. Manuel Deñamayor y Echavarri. Para el corregimiento de letras de Linares á D. Josef Julián de Ortega: para el de Anduxar á D. Juan Bautista Aiberola: para el de Olmedo á Don Gil de S. Juan Benito: para la vara de alcalde mayor de Málaga á D. Vicen te de Tormo y Pont: para la de la Isla d…</t>
  </si>
  <si>
    <t>Echavarri, Pedro Agustín de</t>
  </si>
  <si>
    <t>Pedro Agustín de Echavarri</t>
  </si>
  <si>
    <t>…uien corresponda. = Y lo traslado á V. S. de orden de S. M. para su inteligencia y cumplimiento. Dios guarde á V, S. muchos años. = Palacio 12 de Marzo de 1815. = To mas Moyano. = Sr. D. Pedro Agustín de Echavarri.” 2. a El Rey se ha servido aprobar el adjunto reglamento provisional de Po licía, nombrando para ministros togados, con quienes deberá V. S. aseso rarse en los casos prevenidos en él, á D. Martin de Castañaga , alcalde del crimen de la Real audiencia de Vale…</t>
  </si>
  <si>
    <t>…s,cadetes,y sart gentos de aquellas, siendo acreedores por su conducta /aptitud y servicios. Lé que se anuncia en la gaceta para satisfacción de los Interesados. : &gt; &gt; Al teniente general D. Pedro Agustín de Echavarri digo éóh ésta fecha Id siguiente: j ,j Penetrado el Rey nuestro^ Señor por M esposieion de V. E. dé i ,* de este mes, y por los documentos' que anteriormente tiene presentados, del sin* guiar den,ueao. y bizarría con que Se Condugeron las tropas de su mando e…</t>
  </si>
  <si>
    <t>…cmo. Sr: Movido el Rey de muy justas causas, ha venido en supri mir y extinguir el juzgado de Seguridad pública creado por decreto de 12 de Marzo de este año , y puesto á cargo de D. Pedro Agustín de Echavarri; y</t>
  </si>
  <si>
    <t>Echenique, Antonio</t>
  </si>
  <si>
    <t>Antonio Echenique</t>
  </si>
  <si>
    <t>…Ro— xas, y D. Segundo García, Capitanes de Voluntarios de Avila ; á D. Pas cual Coca , D. Cenon López, 0. Bernabé Porián, y D. Josef Diaz, del primer Batallón de Ciudad-Rodrigo; á D. Antonio Echenique, D. Domin go García , D. Hénrique Arias, D. Vicente Xerez , y D. Juan Ferrero, Sargento mayor y Capitanes del segundo Batallón de Ciudad- Rodrigo; á 0. Patricio Iñiguez, D. Blas Carrasco, D. Josef Robledo, y D. Antonio Garrido, Capitanes dél tercer Batallón d…</t>
  </si>
  <si>
    <t>Eckardt</t>
  </si>
  <si>
    <t>…ero coñde d© Trautmansdqrff; el;gran maestro de la artillería Ducca; el ayudante: generad Kutichera; el consejero de estado barón de StifTt; el director del gabinete Neuberg, y el coronel Eckardt. • Los embajadores y plenipotenciarios al congreso deViena que hasta aho ra* se* sabe que acompañan á Francfort á los Soberanos; aliados son los de Austria, España, Inglaterra, Prusia y Rusia. El caballero Ge&amp;£.acompañaría »i pEÍndpe Áletternichi " ^ ! . - ;…</t>
  </si>
  <si>
    <t>Edhevarría, Joaquini</t>
  </si>
  <si>
    <t>Joaquini Edhevarría</t>
  </si>
  <si>
    <t>…os cadetes D. Filiberto Mahy , D. Migue! Araózq D. Juan A riña da, Di. Manuel Ortega, D. Rafael, Cor réa, D. -P ed ro Ortega:, Di Josef Vázquez, D. Josef Estrada; D. Ramo» Romero, D. Joaquini Edhevarría; Dv Casimiro Cañedo, D. Josef Cebrian ,;D. Salvador Pa nlagua, D. Josef Saenz dé Viniegra, p. Narciso Gómez.Quintana, D. Ca yetano Pimente! ,:yá los ‘artilleros distinguidos D. Manuel Rodríguez Sote* lo, D. Tomas Saenz y D.í ¡ Josef Riera. V !* ! ^ ' - ■ . ;…</t>
  </si>
  <si>
    <t>Eduardo</t>
  </si>
  <si>
    <t>…sta dispuesta defensa vinieron de Huánta, Loricocha y Huaníanguilla 500 indios lanceros , dignos de recomendación, y mas D. Tadeo Lazon, alcalde de Huantá , y el cura de Loricocha D. Eduardo de la Piedra, quienes los reunieron y trajeron á! su costa á :esta ciudad, en donde están á sueldo y al mando del teniente coronel D. Antonio Barreda, sin que debamos omitir el mérito del Dr. D. Manuel Navarro, que entró al frente de sus feligreses 4e Huamang…</t>
  </si>
  <si>
    <t>Eenigsen</t>
  </si>
  <si>
    <t>…parte de la expedición....... .. : i ....... . V, T:&gt; Las cartas de Hamburgo hablan de un exército ruso de i¿o® hombres que se juntará en la frontera de Turquía baxo del mando del general Eenigsen. . * ■ ... . ^ .. &amp; .■ í- Dinamarca. Copenhague %8 de Noviembre* ' ; ^ La negociación dejas indemnizaciones concernient.es. á la Dinamarca en que se está tratando en Viena con el mayor ínteres, prometen ios mej . res</t>
  </si>
  <si>
    <t>Eentinck</t>
  </si>
  <si>
    <t>Nám 17.. [f quirtos.J »4f . «i 7 ‘.;i, r.f- ,.y- in DEL JUEVES 9 DE FEBRERO DE 1815. , ITALIA. Roma 5 de Eneré. El Emo. cardenal camarlengo, secretario de Estado, presenté á lord Eentinck á S. S. en las galerías del Vaticano á tiempo que yendo el lord r,e-, conociéndolas se encontró con el Padre Santo. S. S. le dixo cosas muy Uf-. sonjeras sobre la expedición del año ultimo, y sóbrelas operaciones del Prín*^ cipe Regente. La audiencia duró una…</t>
  </si>
  <si>
    <t>Egui, Joaquín María de</t>
  </si>
  <si>
    <t>Joaquín María de Egui</t>
  </si>
  <si>
    <t>…a: de San Mateo á Don Pedro Huerta Morales: de Almonacid de Zorita á D. Antonio Fernando Briz: de Daymiel al honorario de la cámara de Comptos D. Juan Ramón de Ibarra: de Mérida á D. Joaquín María de Egui^uren: de Dos-Barrios á D. Jorge Ferrer: de Segura de la Sierra á D. Diego Crespo de León! de Porcuna á D. Josef Antonio de Oscoz y Recarte: de Totana y Aledo á D. Ignacio María de Funes y Ulloa; y para el corregimiento de Guadalcanal á D. Gaspar Armengol.</t>
  </si>
  <si>
    <t>Eguia, Francisco de</t>
  </si>
  <si>
    <t>Francisco de Eguia</t>
  </si>
  <si>
    <t>…ARTICULO DE OFICIO. El Rey nuestro Señor se ha servido expedir los Reates decretos siguientes: i.° „ Habiendo hecho dimisión de la Secretaría de Estado y del Despacho de la Guerra D. Francisco de Eguia, he tenido á bien el admitírsela, con servándole todos'sús honores y el sueldo que ha gozado como Secretario dé-J la referida Secretaría ; y para que le suceda en ella he nombrado á D. Fráti-"" ciscó Ballesteros4, Temen te General dfe los Reales Exércitos.Ten…</t>
  </si>
  <si>
    <t>Eguía, Francisco de</t>
  </si>
  <si>
    <t>Francisco de Eguía</t>
  </si>
  <si>
    <t>f I24J con la interinidad de la capitanía general de Andalucía; y la capitanía gene ral de Castilla la Vieja, con la presidencia de la chanciüeríá de Valladolid, al teniente general D. Francisco de Eguía. El corregidor y ayuntamiento de Mancha Real, en el reino dé Jaén, ha» heéfco presente al Rey^ nuestro Señor, por medio de una'ehé^rcá exposición; que llenos de júbilo por haber visto frustrada \é teméraifiá;efnpresa de Don Juan Díaz Porlier de atentar contra…</t>
  </si>
  <si>
    <t>Eguizabal, Josef Matías</t>
  </si>
  <si>
    <t>Josef Matías Eguizabal</t>
  </si>
  <si>
    <t>…la de Águilar del Rio Alama á D. Antonio Ramos Calderón; y para la de Leganes á D. Félix Benitez. Para el corregimieno de Alcaraz á D. Andrés Josef Amat: para el de $. Clemen te á D. Josef Matías Eguizabal: para el de Toro á D. Juan de Dios Alon so: para el de Medina del Campo á Di Manuel Josef Sánchez Fano: para la vara de Valladoh^J á D. Fermín Fernandez de la Cuesta: para la de Aguilar de Campoo i D. Juan Pedro Talasac: para la de Muía á D. Ignacio Fran-; ci…</t>
  </si>
  <si>
    <t>Eiíin, Vicente</t>
  </si>
  <si>
    <t>Vicente Eiíin</t>
  </si>
  <si>
    <t>…á D. Vicente Agustín Prieto, ca nónigo de la misma colegial; y para una canongía de la iglesia colegial de S. Felipe de Xátiva en el arzobispado de Valencia, vacante por muerte de D. Vicente Eiíin, á Fr. D. Josef Rives y Alonso. En atención á los distinguidos méritos que por sus servicios en la última guerra ha contraido el presbítero coronel de caballería D. Francisco Salazar, se ha dignado S. 1VL concederle la gracia de cruz supernumeraria de la Real…</t>
  </si>
  <si>
    <t>Eira, Juan</t>
  </si>
  <si>
    <t>Juan Eira</t>
  </si>
  <si>
    <t>…uan de Sotomáy or, D. Cayetano Perez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 Josef Arcos, Don Fermín Moza, DPAnjgel Villa, JL Florentino G…</t>
  </si>
  <si>
    <t>Eito, Ciríaco de</t>
  </si>
  <si>
    <t>Ciríaco de Eito</t>
  </si>
  <si>
    <t>…y paradero á D.1 Pedro Pablo Tettámanzy, Vecino y del comercio de lá Coruñá/ quien tiene asuntos interesantes que comuni carles. . • ■ ;' !1 La persona que supiere del paradero de D. Ciríaco de Eito, natural de Zarago za, y de D. Vicente Gascón y Aguirrc, oficial que fue de la contaduría de egército de aquella ciudad , ó de sus herederos, se servirá avisarlo á D. Felipe Rubio, vecino de la villa de Cáceres, D. Josef de Prada López, en Madrid, calle dé la…</t>
  </si>
  <si>
    <t>Ék, Cáríos y</t>
  </si>
  <si>
    <t>Cáríos y Ék</t>
  </si>
  <si>
    <t>…stro Señor los transportes de jÜbilo y alegría ^qúe ocuparon' los ánimos de ‘ los heroycos madrileños al Verle entrar cotfVulí'muy amad^t' Hermano y Tío los Sérmos. Sres. Infante* D. Cáríos y Ék? Antónioe«¿esta capital el dia 13 dé Mayo del aSó último; Ubres áel, tgrtc&gt;mirif6s&amp; é^iújusmdcautiverlo eo que* Ies tuvo ¿eis? años el titano: de la Francia y dé Rspaña, el enemigó dé loa tronos y de la paz dé la Eu¿ ropa Napoleón Buonaparte; y deseando, qne…</t>
  </si>
  <si>
    <t>Elejaveitiá, Ju-an Josef Moro de</t>
  </si>
  <si>
    <t>Ju-an Josef Moro de Elejaveitiá</t>
  </si>
  <si>
    <t>…edad á jD. Juan Antonio de la Plaza, que la servia interina mente; y para la de :S. debrian de Castrotorafé, vacante por promoción de D. Antonio Entrecanales A la de Villatobas, á D. Ju-an Josef Moro de Elejaveitiá. En consideración á los méritos y servicios de D. Pablo Grándona, abad de Tioira, en Galicia, se ha servido el Rey nombrarle para una canongía vacante en la iglesia catedral de Orense.</t>
  </si>
  <si>
    <t>Elguezabal, Martin de</t>
  </si>
  <si>
    <t>Martin de Elguezabal</t>
  </si>
  <si>
    <t>…e Cea, áDoq Domingo Arias; y para el beneficio de unepia-ración de las parroquias unir das de la villa de Elorrio , diócesis de Calahorra, vacante por haber contrair do matrimonio D. Martin de Elguezabal, á; Ds Juan* Josef de Bartrenecheá. &gt; En atención á los servicios patrióticos Me D. Josef Victoriano Gallardo y Pacheco ha venido S. M. en concederle la gracia de cruz supernumeraria de \sl Real y distinguida Orden española de Carlos ih. : s: ; El Rey nuestro…</t>
  </si>
  <si>
    <t>Elias, Josef</t>
  </si>
  <si>
    <t>Josef Elias</t>
  </si>
  <si>
    <t>…religión cristiana autorizada por el. testimonio de lps antiguos autores gen* tile*: escrita en francés por el P. Colonia,, ,dp Je compañía de Jesús, y traducida al castellano por D. Josef Elias: dos tomos en 8.° á 10. rs. em pasta. Se hallará en la íií»^&lt;^,Bayld, calle! de jas Carretas. 't.,7V.‘ -f "TE r7 i £N XÁ iülPRENTA REAXT</t>
  </si>
  <si>
    <t>Eligió, Josef'dél' Rio</t>
  </si>
  <si>
    <t>Josef'dél' Rio Eligió</t>
  </si>
  <si>
    <t>…Moyua, D. Manuel Salaberria, &gt;D. Eugenio Vizcaíno, D. Félix Torrontegui, D. Luis de ios Riosy1Ü&gt;.: Vicente Sáavedrá, D. Migue! Montemayor, D. Martin Mendoza, D. Julián Henriquez, D. Josef'dél' Rio Eligió, D; Juan jósef Giiidoy D/ BenitodelaRigádtf &amp; Miguel Lizarza, D. Tgnacio Glaetay D/Francispo de Zayasy-D. ;juanrMiyáres ¿ jD.&gt;Antonio -Abadía» Ds Manuel Fernandez Fiorez. IX Ramón García Florez» D. Anto*</t>
  </si>
  <si>
    <t>Elízalde, Manuel</t>
  </si>
  <si>
    <t>Manuel Elízalde</t>
  </si>
  <si>
    <t>…rense, á D. Julián de Piñera, cura párroco de S. Julián de Travadelo, en el arzobispado dé Santiago; y para una capellanía, vacante en la Real capilla de Granada por premoción de ,D. Manuel Elízalde á una canpngía de la iglesia catedral de Málaga, á Don Joaquin Vicente López Bravo. El Rey nuestro Señor ha venido en conceder cruz supernumeraria de la Real y distinguida orden española de Carlos m á D. Cários Do wnie, te niente coronel de la Legión extremeñ…</t>
  </si>
  <si>
    <t>Elizalde, Manuel</t>
  </si>
  <si>
    <t>Manuel Elizalde</t>
  </si>
  <si>
    <t>…Madrid 17 de Noviembre. El dia 13 de Octubre se presentaron á felicitar á S. M. como diputados por el egército y tribunales de Santiago de Chile, el coronel D. Luis Urrejola y el capitán D. Manuel Elizalde; el primero arengó en estos términos: „ Vuestro ñel y valiente egército pacificador de Chile, el muy ilustre ca-</t>
  </si>
  <si>
    <t>ElizaLdn, Juan Josef</t>
  </si>
  <si>
    <t>Juan Josef ElizaLdn</t>
  </si>
  <si>
    <t>…de la provincia de Salamanca D. Josef Sánchez: para la contadu ría de Salamanca que este dexa al contador de la provincia de Paleada D. Eduardo Fermín Morte; y para esta resulta á D. Juan Josef ElizaLdn, oficial primero de ia contaduría principal de la expresada provincia de Ga licia. El Rey nuestro Señor en atención á los méritos, conocimientos y ser vicios hechos por el A. P. predicador Fr. Andrés Villageliu, del orden de S. Francisco, ha venido en nombrar…</t>
  </si>
  <si>
    <t>Elola, Antonio</t>
  </si>
  <si>
    <t>Antonio Elola</t>
  </si>
  <si>
    <t>…ez de Salazar á deducir el derecho que puedan tener en un asunto que les puede interesar; entendidos que pasado dicho término sin haberlo hecho, se procederá á lo que corresponda. D. Antonio Elola, espitan retirado y vecino de esta corte, tomó en 16 de Mar zo anterior de D. Jayme Coll, de este comercio, los vales Reales siguientes de 1 * de Setiembre sin renovar desde el año de 1809, uno de 600 pesos, núm. 1192/, y los seis siguientes de 150 pesos, núm…</t>
  </si>
  <si>
    <t>Élola, Antonio</t>
  </si>
  <si>
    <t>Antonio Élola</t>
  </si>
  <si>
    <t>…López, ministro de hacienda mi litar de ésta plaza; á D. Francisco dé Iá Roca y Arredondo y D* Juan Jo sef. dé-Lesaca , contadores de la intéryencíon de la ^esorerja general ¿ y i Don Antonio Élola, intendente de la provincia de Murcia, i s n : Honores de intendente de provincia á Dv Isidro Velazquez, arquitecto mayor de S. M* . , i t. .y; /i - i.' - '-..-.o; Honores de comisario Ordenador, áD. Francisco Totrejon y Correacon tador dé Rentas de esta prov…</t>
  </si>
  <si>
    <t>Elorz, Felipe</t>
  </si>
  <si>
    <t>Felipe Elorz</t>
  </si>
  <si>
    <t>…........ D¿ Francisco Escovar. En Orense.... . D. Fernando Rey. zEn Lugo.............. D. Josef María Gayoso. r£n Santiago.i...... D. Manuel de la Riva Moreno. En la Coruñaí...... D. Felipe Elorz. En Valladolid..... D. Luis Francisco de Luis. rEn Pamplona...... D. Miguel Echarri. En Barcelona...... D. Ramón Llordella. En Zaragoza....... D. Francisco Perpiñan, barón de la Torre. Mn AlavnyGm-y V' Fránciscd Arrieta. " * ** *••••••••• J &gt; ■ ■ » * En León.…</t>
  </si>
  <si>
    <t>…........ D. Francisco Escovar. En Orense........ D. Fernando Rey. En Lugo............... D. Josef María Gayoso. En Santiago........ D. Manuel de la Riva Moreno. En la Coruña...... D. Felipe Elorz. En Valladolid..... D. Luis Francisco de Luís. 1 í‘„• En Pamplona...... ’D¿Miguel-Echarrí.o-.i'^:- •. r. á,, En Barcelona... D. Ramón;Llordeíla. i - iv nii Jí» Taragoza....... D. Francisco Perpiñan, barón de la Torre.; En Alava yGui--. D. Francisco Arrletá. '…</t>
  </si>
  <si>
    <t>….. D. Francisco Escorar* v Mn Orense.i.^."... Di. Fernando Reyv. Mn Lugo."............ D. Josef María Gayoso. Mn Santiago......... D. Manuel de, la Riva Moreno* Mn la Coruña....i. D. Felipe Elorz. En Valiadolrd.,.l... TJ: Luis Francisco de Luis.. JEn Pámptond. D., Miguel Echarri.. Mn Barcelona...... D* Ramo» LlordeJla. Mn Taragoza___ D. Francisco Perpiñan* barón dé la Torre.. 'E»A&amp;p*,Gt*y d¿ Franc&amp;c» Arrié». • jmzcoa. k.* ••••••••• * * Jin &amp; Tomas Díp…</t>
  </si>
  <si>
    <t>Elvira, Manuel</t>
  </si>
  <si>
    <t>Manuel Elvira</t>
  </si>
  <si>
    <t>…acas, con dimi sión de la capellanía de coro que obtiene en la propia iglesia: para otra ra ción de'la iglesia catedral de Piasencía, vacante por muerte de D. Manuel de la Vega, á D. Manuel Elvira: para otra ración de la de Segovia, que resultará vacante pbr promoción de D. Manuel Martin Mauriz. a canongía dé la misma iglesia catedral, á D. Eugenio Rodríguez, capellán de coro de la Real iglesia colegial de S. Ildefonso: para otra ración de la iglesia c…</t>
  </si>
  <si>
    <t>Emanuel</t>
  </si>
  <si>
    <t>…n Roma sin tener permiso de auto ridad competente, será considerado como conspirador, y se le encerrará en el castillo^ de S. Arcángelo.O ■ y El Padre Santo ha estado á visitar al rey Emanuel que se halla enfermo en la casa del noviciado de los jesuitas, que es donde habita con edificación de todo el mundo. El conde de San-Leu y el príncipe Canino le han visi tado igualmente. Se dice que S. M. tenia intención de ir á Jerusalen en pe regrinación; p…</t>
  </si>
  <si>
    <t>…ósfera, sobre las enferme dades últimamente padecidas, y sobre otras causas que han podido inÜnir eq ■ -.vvv^ v. ' - -S~ Cite fenómeno. Í.¡v. V , f* GénQVa de Febtero. A. Y íú JEI rey Emanuel, nuestro augusto Soberano, da cada dia pruebas„á los habitantes de esta ciudad y de Rivieres que si el congreso lo ha -hcch ¡ due ño de, puestro territorio y de sus habitantes, sus mitas son las de g:n.r y conquistar nuestros corazones á fuerza de beneficios,…</t>
  </si>
  <si>
    <t>Emme</t>
  </si>
  <si>
    <t>…Ouinto cuerno de egército, general Lacketl._ 12.* división de infantería;*■ 1 u ' u general el conde Woronzóff.-i-15 .a división id.,í teniente general MarkofE— 26.a división id., general Emme._-2.a de dragones, el general RosíL — Ciento veinte piezas de artillería. Este cuerpo forma el centro , y marcha por Bamberg sobre Oppenheim, el cuartel general marcha con.ellos. Sesto cuerpo de egército , general coirde Laugereau -8.a división de infanteríai…</t>
  </si>
  <si>
    <t>Emparan, Miguel Josef de</t>
  </si>
  <si>
    <t>Miguel Josef de Emparan</t>
  </si>
  <si>
    <t>…enezuela, y general en gefe del egército destinado á ellas, y D.'Joaquín de la Pezuela actual general, en gefe del exéreito del alto Perú. ¡ Mariscales de ¿ampo á los brigadieres ,D. Miguel Josef de Emparan, coro* nel dél regimiento de dragones de Nueva-España; D. Alejandro ae Hore, co ronel del ae infantería,de; Ordenes Militares, nombrándole al propio tiempo comandante general del istmo .de Panamá, y subinspector general de aquellas tropas; IX Pascual Enríle,…</t>
  </si>
  <si>
    <t>Encina, Juan Tomas</t>
  </si>
  <si>
    <t>Juan Tomas Encina</t>
  </si>
  <si>
    <t>…Loperraez: para la de Ardales á D. Miguel Plácido Cañete: para la de Cañete á D. Manuel Díaz del Castillo: para la de Montoro á D. Josef Vaceda y Gómez: para la de Tolox y Monda á D. Juan Tomas Encina: para la de la Puebla de Cazalla á D. Josef Aguilar Gaioete: para la de Valverde del Camino á D. Francisco de Paula Escudero: para la de OI vera á D. Antonio Manuel de Gamez y Lechuga: para la de Lezuza á D. Alfonso Josef de Soto: para la de Carvajales á D. J…</t>
  </si>
  <si>
    <t>Enderica, Josef</t>
  </si>
  <si>
    <t>Josef Enderica</t>
  </si>
  <si>
    <t>123# " te, á instancia de D. Josef Enderica, vecino y del comercio de ella, se cita, lla ma y emplaza á D. Manuel y D. Antonio González Rodríguez ó sus herederos* para que en el preciso y perentorio término de 20 dias, contados desde esta fecha, comparezcan á la audiencia de S. S. y escribanía de' prov…</t>
  </si>
  <si>
    <t>Enderica, Manuel Anselmo</t>
  </si>
  <si>
    <t>Manuel Anselmo Enderica</t>
  </si>
  <si>
    <t>…a catedral, que resultará vacante por promoción de D. Andrés Esteban Gómez al obispado de Ceuta, á D. Juan Luis Barbajosa: para otra de la catedral de León, va cante por muerte de D. Manuel Anselmo Enderica, á D. Francisco Sainz de Escalona, con dimisión del arcedianato de Medinaceli que obtiene en la de Sigüenza ; y para esta resulta á D. Melchor de Valdivielso. D. Pedro Antonio Olleros, hijo y compañía, fabricantes de paños y ve cinos de la villa de Béjar, pro…</t>
  </si>
  <si>
    <t>Enébuisen, Juan</t>
  </si>
  <si>
    <t>Juan Enébuisen</t>
  </si>
  <si>
    <t>…drés Leqnor. Grado Je capitanes ádos tenientes D. Josef Marín, D. Josef Alcázar, Dr Josef de Castro,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Rafael Solano, Di Josef;…</t>
  </si>
  <si>
    <t>Enfy, Antonio</t>
  </si>
  <si>
    <t>Antonio Enfy</t>
  </si>
  <si>
    <t>…D. Manuel Sayago, D. Jldefonso Nieto, D. Cristóbal Giménez, D. Miguel de Torres, D. R.afael Sánchez Sáravia, D. Ramón Polo, D. Miguel Linares, D. Juan Larrua , D. .Tomas Montero ,'D. Antonio Enfy, D. Josef Aguilar, D.” Juan de DiosVaidivia,D. Lázaro Caballero ,D. Antonio Floran, D.'Manuel García SegóVia,D. AntonioCarly , D. Mariano Baeza, D. Josef Liaño, D. Gonzalo Sóusá ,D. Bartolomé Leal ,D. Maniiel Rodríguez ,D. Simón AquaVera, D. Diego Ramón Merca…</t>
  </si>
  <si>
    <t>Engelliart</t>
  </si>
  <si>
    <t>…egemplas§ de rigor. ' .■ J, ' ... Después de un bombardeo de algunas horas se rindió en fin el 28 del pa sado, por capitulación ,.la ciudad de Sedan á los heseses mandados por el general Engelliart. La guarnición se retiró al castillo , obligándose á no liatyr</t>
  </si>
  <si>
    <t>Enguídanos, Josef</t>
  </si>
  <si>
    <t>Josef Enguídanos</t>
  </si>
  <si>
    <t>…as Carretas, se abre suscripción á una estam pa retrato del Sermo. Sr. Infante D. Carlos, representado á caballo en. pliego de marca mayor igual al que del Rey nuestro Señor grabó D. Josef Enguídanos. Ei precio de la subscripción es de 50 rs, iluminada y.á 24 en negro. Pasado el térmi no de la subscripción, que será de un mes, se venderá á 60 rs. iluminada, y á 30 en negro. EN LA IMPRENTA REAL.</t>
  </si>
  <si>
    <t>…tes se vende papel pau tado para escribir, acomodado á dichas muestras. Nota. En la gaceta del martes último 21 del corriente, pág. última, en el último anuncio, donde dice: grabó D. Josef Enguídanos, léase 2&gt;. Tomas. EN LA IMPRENTA REAL.</t>
  </si>
  <si>
    <t>Enguídanos, Tomas</t>
  </si>
  <si>
    <t>Tomas Enguídanos</t>
  </si>
  <si>
    <t>…ilustre general el difunto Marques de la Ro mana.., como se lee en su enérgica explicación. E&gt; obra grandiosa, delineada por el cé lebre D. Vicente López, y grabada por el famoso D. Tomas Enguídanos, ambos profesores de cámara de S. M. bien conocidos por sus obras. Se hallará á 5 rs. en la librería de Alcázar, calle de los Preciados. EN LA IMPRENTA REAL.</t>
  </si>
  <si>
    <t>Entrecanales, Antonio</t>
  </si>
  <si>
    <t>Antonio Entrecanales</t>
  </si>
  <si>
    <t>…mor á su so berana Persona. El Rey nuestro Señor se ha servido nombrar, á consulta del Real Consejo de las Ordenes»-para las varas de alcalde mayor de S. Cebrian de Castrotorafe á D. Antonio Entrecanales: de Cieza á D. Felipe Antón: dé la Granja de Torrehermosa á D. Gerónimo Torrecilla de Tejada: de Villanueva de los Infantes á D. Josef Andrés de Arellano: de la Solana á Don Francisco María Osorio y Becerra: de los Santos á D. Vicente García Díaz: del Toboso…</t>
  </si>
  <si>
    <t>Entrecanales, Antonio de</t>
  </si>
  <si>
    <t>Antonio de Entrecanales</t>
  </si>
  <si>
    <t>…la de Usagre D. Antonio Machado y Montano ; promover á las de Villatobas, Almonacid de Zorita y Lietor á los electos para las de S. Ca brían de Gastrotórafe, Azuaga y Pedro Muñoz D. Antonio de Entrecanales, D. Antonio Mediano y Sartolo y D. Antonio Rodríguez de Es cavar; y nom brar para las de Los-Sántos á Di Josef Antonio Martin Palomino ; de Cille ros á D. Ignacio Josef Palomares; de Lleréna á D. Fráricisco Delgado y Ayala; de Benicarló á D. Ignacio Lazcano y…</t>
  </si>
  <si>
    <t>Entrena, Juan de</t>
  </si>
  <si>
    <t>Juan de Entrena</t>
  </si>
  <si>
    <t>…Antonio Suarez, beneficiado de la parroquial de Sta. María Magdalena de la expresada ciudad de Jaén: para el beneficio préstamo de Castro, obispado de Jaén, que vacó por muerte de D. Juan de Entrena, para el de Escañuela, que lo está por la de D. Vicente Aizaa, el de Garciez por la de Don Francisco Izquierdo, el priorato rural de Castro por la de D. Alfonso Mu ñoz Palomares, y el beneficio servidero de Villanueva del Arzobispo, va cante también por falle…</t>
  </si>
  <si>
    <t>Enviado</t>
  </si>
  <si>
    <t>…suministrarles raciones y medios para llegar hasta las .fronteras, se avi sa á todos los prusianos que se hallen en el exército que se presenten con la mayor brevedad en Madrid al señor Enviado extraordinario y ministro ple nipotenciario de S. M. el rey de Prusia, quien cuidará de remitirlos á so patria.</t>
  </si>
  <si>
    <t>Eourman, Félix</t>
  </si>
  <si>
    <t>Félix Eourman</t>
  </si>
  <si>
    <t>…ancisco Morera y Matute, vecino de aquélja ciudad, &gt; Honores de comisario ordenador á ,D. Antonio de Medina, ministro te sorero dé las Reales cajas de Valladolid de Mechoacan, y á D. Félix Eourman, ministro contador de las espresadas cajas de Valládolid. ' Empleo de contador de las Reales cajas de Pachuca á D. Santiago de Goitia, oficial mayor de guias y confrontaciones de la Real aduana de *Mégico. - ',■■■*' • / • Tratamiento de Escelencia al ayuntami…</t>
  </si>
  <si>
    <t>Eoxberg, Conde</t>
  </si>
  <si>
    <t>Conde Eoxberg</t>
  </si>
  <si>
    <t>…ge á St. Diez y Mirecourt, y se une con el tercer cuerpo, cuidando del bloqueo de Schlettstadt y St. Murice-aux-Mines. El general Mannassi manda el bloqueo de Huninga y Befort; el general Conde Eoxberg el de Neu-Brisach, y el Conde Stuhmayer el de Schlettstadt. Temo quitar el tiempo á V. E. si me detengo en espresar los pormenores^ pero para indicar exactamente las marchas es necesario retroceder continua mente á las operaciones del cuerpo principal? V. E.…</t>
  </si>
  <si>
    <t>Eraso, Josef Joaquín de</t>
  </si>
  <si>
    <t>Josef Joaquín de Eraso</t>
  </si>
  <si>
    <t>…a de Alcalde mayor de Mazarron á D. Manuel de Calvache y López de Mayor: en la de Fiñana á D. Manuel Vicente Moreno: en la de la Población de los Barrios del Cam po de Gibraltar á D. Josef Joaquín de Eraso; y en la de Yepes, para que cumpla un sexenio, á D. Francisco de Paula Martínez Lozano. Para que los pueblos y particulares de este reino que se crean acreedores contra el gobierno británico por suministros ó daños resultantes del tránsito y permanencia de la…</t>
  </si>
  <si>
    <t>Érimontvar</t>
  </si>
  <si>
    <t>1119</t>
  </si>
  <si>
    <t>…s deVenecia áTuriri, donde se reunirá con su augusto esposo. , ;; . Las últimas cartas de Génov^i y de Milán anuncian de un. modo positivo, que un numeroso cuerpo de égéjtcito del general Érimontvar á atravesar él Piamonte de vuelta al reino Lombardo-Véneto^. K jí : - ! GRAN BRETAÑA. Londres, j de Setiembre» Según las últimas noticias traídas por un . navio queseaba de^ llegar de Bengala, las operaciones militares contra el Ñapaul han cesado á consecuen…</t>
  </si>
  <si>
    <t>Erlon</t>
  </si>
  <si>
    <t>…celmañs se habían apostádo en Crairne, y se estendian hácia el Ange-Gardien. 1 El cuerpo de caballería del general Pajoí estaba detras de Couci. El primer cuerpo á las órdenes del general Erlon estaba en camino para Cómpiegne, punto a que se dirigía el enemigo. : - iaíinfantería del ala'jderecha principiará á llegar mañana. El enemigo ocupaba á Avesnes, Guisa , S. Quintin y Noyon. Una parti da enemiga eae’500 caballos se há presentado ahora á la vis…</t>
  </si>
  <si>
    <t>Ernaez, Pedro Eduardo</t>
  </si>
  <si>
    <t>Pedro Eduardo Ernaez</t>
  </si>
  <si>
    <t>…Aúna. 10, donde vivía en el mes de Marzo del año de 1807, se le suplica1 lo avise en esta corte á D. Ventura Fernandez, del comercio, red de S. Luís, núm. 27, ó en dicho pueblo al cura D. Pedro Eduardo Ernaez. Apéndice en contestación á otro apéndice que D. Francisco Amorós, soi-disant consejero'de estado español, zurció á la representación á S. M. el Rby D. Fer nando vii , fecha en París á i8 de Setiembre de 1814, é impresa en aquella ciudad en la imprenta de P.…</t>
  </si>
  <si>
    <t>Err</t>
  </si>
  <si>
    <t>…ón, y én seguida se xerirarón todos. ? - ' ¡El Escmo.'ayuntamientovde-esta heroica jvilla, deseando perpetuar en JdadridHa memorttide la .restitución de, nuestro Católico ¡Monanca D. Err»w^ifK&gt;t&gt;VMi«liPeseadib^l( trono dé *^isi augustos Qiáyores.* ha í dispuestoi iiha memoria para celebrar el plausible dia 30 de Mayo de 1815c que k&gt;&lt;es el de ,«eestro arwado^S dreraba,\ccmstruyeiidó:á?susrespens¿s 'uii monumentp triun fo! i, que hace afrente á…</t>
  </si>
  <si>
    <t>Errasti, Andrés de</t>
  </si>
  <si>
    <t>Andrés de Errasti</t>
  </si>
  <si>
    <t>…ra, muger de Bernardo Miravglle, sargen to primero dsl regimiento provincial de Segovia, hallándose con su marido el año de ,1810 en la plaza de Ciudad-Rodrigo., .se presentó á&gt;su gobernador D. Andrés de Errasti á solicitar un fusil para coadyuvar á ia defensa de di cha plaza; y con efecto, habiendo condescendido el gobernador con sus de seos , concurrió vestida y armada.pomo otro cualquier soldado á la muralla, e bizo durante todo el.sitio de lá referida plaza el se…</t>
  </si>
  <si>
    <t>Erro, Fermín</t>
  </si>
  <si>
    <t>Fermín Erro</t>
  </si>
  <si>
    <t>…sabido de ninguno de los dos, y el que suple-, se de sus existencias ó fallecimientos se servirá avisarlo en Madrid á D. Salvador Tusál, calle de Milaneses, núm. 10; en Zaragoza á D. Fermín Erro, calle de San, Pablo, núm. 39; en Pamplona i D. Matías Iribarren, administrador del hospital. General; en Lumbier á Doña Lucía Blanco, ó al .párroco de la misma. Obras escogidas de 0. Francisco Que vedo Villegas, en las que se hallan incluidos sus célebres su…</t>
  </si>
  <si>
    <t>Erro, Juan Bautista de</t>
  </si>
  <si>
    <t>Juan Bautista de Erro</t>
  </si>
  <si>
    <t>…de la villa de Areins de Mar, corregimiento de Ge rona, en el prncípado de Cataluña. Ei Mundo PrimitivoS examen filosófico dé la antigüedad y cultura de la'nación vascongada» por D. Juan Bautista de Erro: tomo 1Esta obra, dirigida á probar la existencia de la lengua éuscara en los- primeros sígíos-del mundo, abre un esmper desconocido hasta aquí á la historia ele las naciones y á la de las ciencias. Una mul titud de pruebas alegadas para este fin, y nada sosp…</t>
  </si>
  <si>
    <t>Erro, Juan'Bautista de</t>
  </si>
  <si>
    <t>Juan'Bautista de Erro</t>
  </si>
  <si>
    <t>…tomo i.°, de buena impresión y papel, á 24 rs. en rústica—Alfabeto de la len gua primitiva de España y esplicacion de sus mas antiguos monumentos de inscripcio nes y medallas, por D. Juan'Bautista de Erro. Esta obra presenta á la república li teraria una idea absolutamente nueva y original de la España primitiva. Las reliquia* existentes en el dia de aquellos remotos siglos en varios vasos, fragmentos de lápidas y medallas, que se hallan en varias partes de nu…</t>
  </si>
  <si>
    <t>Erskine</t>
  </si>
  <si>
    <t>…á traer la noticia el¿ bu que nombrado el Marzo-. Se ha publicado, recientemente, en Londres la. colección de discursos de Mr. Fox. A esta cbleccion precede uná carta admirable de lord Erskine al editor Mr. Wright, en que se examina sabiamente la Cuestión de la guerra ó de la paz con Francia. En el suplemento á la gaceta de Londres se publicaron dias pasados va rios oficios del lord Burghersh relativos á la ruina total de Murat, y al resta blecimie…</t>
  </si>
  <si>
    <t>Érufos</t>
  </si>
  <si>
    <t>…mandando que se publique en la ga ceta como un modelo de patriotismo para satisfacción del interesado y egeniplo de los de su claseÉl Rey nuestro Señor ha tenido á bien aidmirir a D. Érufos "Viíla, vpcí-r no de la villa de Arévalo , el donativo que ha hecho del-, capital de dos libra*izas contra la caja de Consolidación, mandando que se le den gracias en su Real nombre , y qiie se inserté en la gaceta para su satisfacción. En el lugar de Noves ,…</t>
  </si>
  <si>
    <t>Es, Secretario de</t>
  </si>
  <si>
    <t>Secretario de Es</t>
  </si>
  <si>
    <t>…roporción á sus años de carrera y servicios. Tendreislo entendido , y la comunicareis á quien corresponda, para su cumplimiento.. Por. Real orden que en iq de este mes comunicó el Sr. Secretario de Es&lt;tado y del despacho Universal de Indias á todos los demas ministerios, ha tenido á bien mandar el Rey nuestro Señor que sean atendidos en ellos los</t>
  </si>
  <si>
    <t>Escalera, Francisco Xavier Sainz</t>
  </si>
  <si>
    <t>Francisco Xavier Sainz Escalera</t>
  </si>
  <si>
    <t>…unal brevemente las mas reverentes gracias por tan honrosa distinción. Posteriormente en el dia 18 pasó el Excmo. Sr. inquisidor general, acompañado de los tres inquisidores Dres. D. Francisco Xavier Sainz Escalera, D. Francisco María Riesco y D. Valentín Zorrilla de Velasco á besar su Real mano, y-manifestar su jus to reconocimiento á un favor tan singular , que siempre quedará grabado en sus corazones; en cuyo acto dixo S. E, lo siguiente: ,, Señor: Dios, que por Sus…</t>
  </si>
  <si>
    <t>Escalona, Francisco Sainz de</t>
  </si>
  <si>
    <t>Francisco Sainz de Escalona</t>
  </si>
  <si>
    <t>…nte por promoción de D. Andrés Esteban Gómez al obispado de Ceuta, á D. Juan Luis Barbajosa: para otra de la catedral de León, va cante por muerte de D. Manuel Anselmo Enderica, á D. Francisco Sainz de Escalona, con dimisión del arcedianato de Medinaceli que obtiene en la de Sigüenza ; y para esta resulta á D. Melchor de Valdivielso. D. Pedro Antonio Olleros, hijo y compañía, fabricantes de paños y ve cinos de la villa de Béjar, provincia de Salamanca, han puesto po…</t>
  </si>
  <si>
    <t>Escamez, Joaquín</t>
  </si>
  <si>
    <t>Joaquín Escamez</t>
  </si>
  <si>
    <t>…rados de teñicrites coróLtd.cs -^dasisargentos. mayores D. Francisco María Fernandez ,B. Garlos LanzaroteyDofli Miguel Sánchez Barriga, D. Antonio G o va otes, D. Antonio Saliquet,Don Joaquín Escamez, D. Josef García Aparicio, D. Domingo Orejón * D. Joa** quin Casasola, D. F rancisco Javier de Cia, D¿ Manuel de' la Cruz;, .Di Cárlos Viü&amp;padierna^ D- Bernabé Arjranz^ D* Juair derMetidie^í.1^. Aatóriioíde Castro y Tovar, D. Josef 01mo,D. Juan de Arcos ,D.Pe…</t>
  </si>
  <si>
    <t>Escandon, Francisco</t>
  </si>
  <si>
    <t>Francisco Escandon</t>
  </si>
  <si>
    <t>…ol Berga. = La dignidad de abad, primera silla de la colegiata de nues tra Señora de Covadonga, diócesis de Oviedo, vacante por fallecimiento de D. Manuel González de la Granda, á D. Francisco Escandon : la canongía que vacó en aquella catedral por fallecimiento de D. Manuel Martin á Don Segundo Cayetano García, canónigo de la iglesia catedral de Jaén: otra ca__ CO Véase la gaceta del martes 6 deb corriente.</t>
  </si>
  <si>
    <t>Escaño, Antonio de</t>
  </si>
  <si>
    <t>Antonio de Escaño</t>
  </si>
  <si>
    <t>…r S. M. ..que sede den las gracias en su Real nombre, y que se publique en ia gaceta. ^r El d;ia 12 sje¡ Julio -último murió en Cádiz, á los 61 años y 8 meses de .edad ,/eí Excmo.^Sr. D. Antonio de Escaño, individuo de la Real academia de la historiacomendador de Carrizosa en la orden de Santiago, teniente ge neral de la Real armada, electo capitán general del departamento de Car tagena , secretario de Estado y del despacho de Marina , y regente que fue del re…</t>
  </si>
  <si>
    <t>Escar-, Francisco</t>
  </si>
  <si>
    <t>Francisco Escar-</t>
  </si>
  <si>
    <t>…Fomento y Balanza.D. León Gil Muñoz; Contador de Rentas Provinciales D. Tomas de Aja y Pellón; Contador de la Renta del Taba? co D. Gabriel López; Contador de la Renta de Salinas D. Francisco Escar-. íariy Contádor. Ael, ÍÑoveno y E^cu^ado D. Rafael Florín , y Contador de Salitres D. Joaquín Ciudad Sánchez; y previniendo que por él quedan supri midas la Administración general, Juzgado y Tesorería del Tabaco y demas oficinas separadas de otra cualquiera R…</t>
  </si>
  <si>
    <t>Escara, Francisca</t>
  </si>
  <si>
    <t>Francisca Escara</t>
  </si>
  <si>
    <t>…tonio Primo de Ribera, D. Miguel Coca ySandovalt0bn Juan Pernee de León, 0. Juan López Pinto , 0. Eusebio Martínez* 0* Fran* cisco Bedoya, D. Sebastian de Urra, 0. Patricio Ortiz, D. Francisca Escara re, 0. Nicolás Fuentes, 0. Vicente Buyo, 0, Antonio Basurta, D. Melr* i Gareíajchór Quintana, &gt;0. Josef Nava jas*. D. Josef Arnaiz y 0 Gerónimo de capitanes á los tenientes 0. Juan Mendez Vigo, D„ Pedro Masdeuy íDoin Joaquín Goñi, 0. Tomas Murrietay 0. Felipe…</t>
  </si>
  <si>
    <t>Escarano, Josef</t>
  </si>
  <si>
    <t>Josef Escarano</t>
  </si>
  <si>
    <t>…an López Fraga , p. Manuel de Lardizabal y Montoya , Ba rón de Castieí, D. Santiago Usoz y Mozzi, D. Blas Manuel de Loya, Don osef Vicente de Barrenechea, D. Simón de León Santos, D. Josef Escarano, Í). Francisco Hurtado de Mendoza , D. Pablo Ibañez , D. Juan Josef de Barciterrechea, D. Juan Quintana, el general Roche y D; Josef Pando. a Por la Mayordomía, mayor. ; j , i Llaves de gentileshombres de cámara con exercicio' al marques de Malpica,' al duque…</t>
  </si>
  <si>
    <t>Escarza, Juana de</t>
  </si>
  <si>
    <t>Juana de Escarza</t>
  </si>
  <si>
    <t>…nteresan. El que lo supiere lo avisará al regente de la Real calcogra fía D. Juan Lazaro, en la imprenta Real, qme le enterará de cuanto le conviene. Se desea saber el paradero de Doña Juana de Escarza, ama que fue de go bierno de D. Pedro González, comandante del résguardo en Vitoria en el año de *1808. La persóna &lt;jue lo supiese se servirá avisarlo á?D. Francisco Vázquez Arma da, que vive Calle de^"Costanilla de los Desamparados, núm. i.°, cuarto segundo.…</t>
  </si>
  <si>
    <t>Escolar, Josef</t>
  </si>
  <si>
    <t>Josef Escolar</t>
  </si>
  <si>
    <t>…. Juan Pérez. En Ciudad*Real. D. Mateo Casado y Romero. En Jaén..... ......... D. Francisco López Zavala. En Ségüvia......^.: Señores viuda de Ramiro y Mesa. En6Cühicá.l.i ..líil 'D. Josef Escolar yNóriega. D- trenzo Gibert, : i1SLÍ En Palenda........D. Marcelino de la Torre. En Burgos..........: T). Román Martínez Móntaos, En D; Ééaito dé la Piedra* 1</t>
  </si>
  <si>
    <t>Escorar, Francisco</t>
  </si>
  <si>
    <t>Francisco Escorar</t>
  </si>
  <si>
    <t>…Marcelino de la Torre. Mn Burgos....i....... D. Román Martínez Montaos. Mn Cádiz..... ....... D.. Benito de la Piedra. Mn Canarias D, Francisco María/Herrara. Mn Málaga.......... D. Francisco Escorar* v Mn Orense.i.^."... Di. Fernando Reyv. Mn Lugo."............ D. Josef María Gayoso. Mn Santiago......... D. Manuel de, la Riva Moreno* Mn la Coruña....i. D. Felipe Elorz. En Valiadolrd.,.l... TJ: Luis Francisco de Luis.. JEn Pámptond. D., Miguel Echarri.. M…</t>
  </si>
  <si>
    <t>Escorriguela, Joaquín</t>
  </si>
  <si>
    <t>Joaquín Escorriguela</t>
  </si>
  <si>
    <t>…García, D. Miguel1 Blanco* D. Francisco Sancha, D.-AntonioEstevezyD; Ildefonso Mansilla, D. Gre-f gOrio Pieoir, D. Cristóbal Bermejo ,D. Francisco López, D. Francisco Arahuetes i D. Joaquín Escorriguela, D. Francisco Biatela y D. Nicolás Viguri (*.). 1 Asimismo se lia servido S. M. conceder en el ministerio de Cuenta y Ra zón de-dicho, cuerpo los hoi^qr^ de'int^ndéínte de. provincia al comisario orde nador P, Andrés Gallegos : los nde combario ordeñador al c…</t>
  </si>
  <si>
    <t>Escovar, Andrés</t>
  </si>
  <si>
    <t>Andrés Escovar</t>
  </si>
  <si>
    <t>…balde, y un cuarto por semana con que con tribuye cada niño. Los pretendfcntes dirigirán sus memoriales hasta principios de Setiembre próximo al síndico procurador de dicha villa D. Andrés Escovar. El regente D¿ Francisco Cañdéba, vicario de la villa de Biar , deí partido de Gijona en el reino de Valencia, desea sáber el paradero de DI Martin de Brea, ma&lt;rido de Doña Vicenta Comendador, vecino que fue de Madrid en la cal’e del Moli no del Viento» casa…</t>
  </si>
  <si>
    <t>Escóvar, Antonio Rodríguez</t>
  </si>
  <si>
    <t>Antonio Rodríguez Escóvar</t>
  </si>
  <si>
    <t>…erez para la vara de alcalde mayor de la villa de Azuaga, va cante por prohiocion de D. Antonio Mediano Sartolo á la de Aímonacid de Zorita: paira la?dePedro Muñoz , por salida de D. Antonio Rodríguez Escóvar á la de, láetorá D. Francisco de Paula Per eirá: para la de Torregimeno en propiedad á jD. Juan Antonio de la Plaza, que la servia interina mente; y para la de :S. debrian de Castrotorafé, vacante por promoción de D. Antonio Entrecanales A la de Villatobas, á…</t>
  </si>
  <si>
    <t>Escovar, Francisco</t>
  </si>
  <si>
    <t>Francisco Escovar</t>
  </si>
  <si>
    <t>…riedas, D, Isi doro Moreno, D. Antonio Gallego, D. Juan Calderón, y Di Juan Sierra, del primer Barallon de Voluntarios de Ciudad-Rodrigo; á D. Manuel Ri bero, D. Joaquín Quadrado, D. Francisco Escovar, D. Salvador S. Juan, y D. Josef Renau, del segundo Batallón de idem;á D. Joaquín Rodríguez, 0. Vicente González , D. Fabian de Saave4xa, D. Casimiro Vinuesa, y D. Santiago Gómez, del tercer Batallón de ídem; á D. Francisco Topete y D. Juan de Acuña , Ayudant…</t>
  </si>
  <si>
    <t>jEn Canarias........ D. Francisco María Herrera. Malaga......... D. Francisco Escovar. En Orense........ D. Fernando Rey. En Lugo............... D. Josef María Gayoso. En Santiago........ D. Manuel de la Riva Moreno. En la Coruña...... D. Felipe Elorz. En Valladolid..... D. Luis Francisco de Luís. 1 í‘„• En Pamplona...... ’D¿Miguel-Echarrí.o-.…</t>
  </si>
  <si>
    <t>Escribano, Julián</t>
  </si>
  <si>
    <t>Julián Escribano</t>
  </si>
  <si>
    <t>…n tendido, y dispondréis lo necesario á su cumplimiento. El Rey se ha servido nombrar para el deanato de la iglesia colegial de Soria, vacante por muerte de D. Vicente Casquete, á D. Julián Escribano,, cura párroco de la villa de Viñuesa , obispado de Gsma: para la ración qué ha resultado vacante en la iglesia colegiata de Bayona, reyno de Galicia^ por promoción de D. Josef Bizarro á otra prebenda de la misma clase en la iglesia metropolitana de Santiago,…</t>
  </si>
  <si>
    <t>Escudero, Ensebio</t>
  </si>
  <si>
    <t>Ensebio Escudero</t>
  </si>
  <si>
    <t>…ame délcástillo de ia Cabana en la Havana; D. Juan Tirry y Lacy y D. Anastasio Fráncisco-Armenteros, coroneles agregados al escuadrón de dragones dé América lijo de aquella plaza; D. Ensebio Escudero, gobernador de Cuba ; D. Cárlós May nez, comandante general que ha sido del istmo de Panamá; D. Ricar do O-Farril, teniente coronel del regimiento darm¡líelas dé caballería de la Havana.; D. Indalecio González Socasa, comandante del batallón'de volun tarios d…</t>
  </si>
  <si>
    <t>Escudero, Francisco de Paula</t>
  </si>
  <si>
    <t>Francisco de Paula Escudero</t>
  </si>
  <si>
    <t>…de Montoro á D. Josef Vaceda y Gómez: para la de Tolox y Monda á D. Juan Tomas Encina: para la de la Puebla de Cazalla á D. Josef Aguilar Gaioete: para la de Valverde del Camino á D. Francisco de Paula Escudero: para la de OI vera á D. Antonio Manuel de Gamez y Lechuga: para la de Lezuza á D. Alfonso Josef de Soto: para la de Carvajales á D. Juan Villa y Trigueros: para la de Tiedra á D. Juan Padilla: para la de Gausin á D. Manuel Medi na y Giménez; yapara la primer…</t>
  </si>
  <si>
    <t>Escudero, Francisco Martin</t>
  </si>
  <si>
    <t>Francisco Martin Escudero</t>
  </si>
  <si>
    <t>…ara otro benególo simple de Sta. María de las Reliquias del castillo de la plaza de Alburquerque, obispado de Badajoz» vacante por muerte de D. Francisco Herme negildo Corchado, á D. Francisco Martin Escudero: para otro beneficio de Adanero, en la diócesis de Avila, vacante por muerte de D. Antonio Tor res, á D. Julián de la Peña: para otro beneficio simple de Santa María de Atienza de ia ciudad de Huete, en el obispado de Cuenca, vacante por di misión de D. Franc…</t>
  </si>
  <si>
    <t>Escuderó, Teotiímo</t>
  </si>
  <si>
    <t>Teotiímo Escuderó</t>
  </si>
  <si>
    <t>…dé Jaén á D. Antonio Llata Palacios; y pará la de Puente D. Gonzalo á D. Bérnardino de Peralta. &gt; ' , También se ha dignado S. M. nombrar para juez civil de la ciudad de , Cádiz á D. Teotiímo Escuderó, oidor de la audiencia de Sevilla. . ^ Asimismo en atención á los méritos ,y servicios con que ha acreditad^ -mil</t>
  </si>
  <si>
    <t>Escuer, Tomas</t>
  </si>
  <si>
    <t>Tomas Escuer</t>
  </si>
  <si>
    <t>…D. Francisco Mulero 'Delgado á D. JosefCortina; González, racionera de la de Almeríai. 1.a canongía que .ha vacado en la catedral de Gerona,por fallecimiento de D. Josef Subían á D. Tomas Escuer, párroco^rectór de Farlete en el arzo bispado de Zaragoza. ’ _ . , La canongía vacante en ía catedral de Tarazona por muerte de D. Fran cisco Castillon á D, Vicente C astil! oji y Torres. . . La canongía vacante en la catedral de Valladolid por fallecimiento…</t>
  </si>
  <si>
    <t>Esdovar, Juan</t>
  </si>
  <si>
    <t>Juan Esdovar</t>
  </si>
  <si>
    <t>…iago; D. Ramón Franc, D. Juan de la Cruz de Tena, D. Vicente Torres* D. Gaspar .Fernandez Bobadilla, D. Pe dro Ramos , D. Pedro del Castillo, 0. Anafes García, D. Manuel Govantes, D. Juan Esdovar, D. Cayetano Salcedo, Dw Andrés Nieto.-, B; Manuel Nifo, D. Juan Ltiis&gt; Astraudi yB* Martin dé lbs¡filenos ,D¿ Gabriel: fescolar, D; Ma teo Fernandez, &lt;Dí Adrián Jaco me, D. Manuel. Puch:, Di Juan Delgado, Don -Antonio Megias i:B. Francisco Pfieto, D. ¿Esteba…</t>
  </si>
  <si>
    <t>Esemo, Obispo de Barcelonadel</t>
  </si>
  <si>
    <t>Obispo de Barcelonadel Esemo</t>
  </si>
  <si>
    <t>…nser rate como tres leguas » sub-presidente nato:, de dos monges de aquel citado monasterio, el uno bajo la calidad de zelador y el otro de secretario » todos con voto ; del limo- Sr. Obispo de Barcelonadel Esemo.. Sr. marques de Vil leí en calidad dé conservadores; y del prior de Sta.. Ana, iglesia colegia ta de está ciudad {hoy el Sr. D. Dionisio ae Baidaxí, auditor de la Rota Ro* mana por la corona de Aragón) en clase de promotor nato , todos los. que, habida consi…</t>
  </si>
  <si>
    <t>Esfen</t>
  </si>
  <si>
    <t>…ma el centro , y marcha por Bamberg sobre Oppenheim, el cuartel general marcha con.ellos. Sesto cuerpo de egército , general coirde Laugereau -8.a división de infanteríai teniente general Esfen/^—i 9.a rdivision id., mayor general' Oudom. ___io,a división id., teniente general Lieven. _ 2.a división de húsares, te-* diente general Chepieff. — Ciento veinte piezas de artillería. Este cuerpo, igualmente que el cuarto, forman la izquierda del egército,…</t>
  </si>
  <si>
    <t>Esperanza, Mariano Martin</t>
  </si>
  <si>
    <t>Mariano Martin Esperanza</t>
  </si>
  <si>
    <t>…ros, cura párroco déla villa de Iguala da: para una canongía de la iglesia metropolitana de Zaragoza, vacante por promoción de D. Pedro Valero á’la iglesia y obispado de Gerona, á D. Mariano Martin Esperanza, vicario capitular y gobernador de ja mitra de Cádiz; y para la canongía en la catedral de dicha ciudad de Cádiz á Don Joaquín Izquierdo, racionero de la misma iglesia. Igualmente ha nombrado 5. M. para la dignidad de Camarero de la iglesia catedral de Tertos…</t>
  </si>
  <si>
    <t>Esperanza, Mariano Martin de</t>
  </si>
  <si>
    <t>Mariano Martin de Esperanza</t>
  </si>
  <si>
    <t>…presado arcediano y á ios prebendados Dr. D. Matías de Elexaburu y Urrutia y Don Manuel de Cos, comisionados de su cabildo eclesiástico,y al vicario capitu lar de aquella diócesis D. Mariano Martin de Esperanza, por hiber co sol tado á diferentes RR. obispos y santas iglesias sobre lo/contenido en ic&amp; de cretos de abolición del santo tribunal de la Inquisición. Con este motivo el defensor D. Bernabé Josef Cabeza dirigió áS. M. el siguiente discurso: „ Señor: al pres…</t>
  </si>
  <si>
    <t>Espinos, María</t>
  </si>
  <si>
    <t>María Espinos</t>
  </si>
  <si>
    <t>…. Antonio Lopez.de Salazar por sí ó por medio de perso na que le represente con poder bastante á deducir las acciones , y derechos,que le competan en los autos que contra él sígue Doña María Espinos, viuda de D." Ramón Blas Ramírez, sobre pagOrde“Tt4© y mas, r$.*} con apercibimiento que pasado dicho término sin mas_ citarle ni emplazarle se procederá á lo que corresponda, yleparaíá* élper juicio qüehaya lugar. ¡ - • * ' 'i ’' ‘ ; Se halla vacante la plaz…</t>
  </si>
  <si>
    <t>Espinosa, Josef de</t>
  </si>
  <si>
    <t>Josef de Espinosa</t>
  </si>
  <si>
    <t>…es á la India oriental por el mar del Sur y el grande Océano que separa el Asia de la América: construida y publicada en Lon dres en 1812 por el teniente general de la Real armada D. Josef de Espinosa. Pa ra recuerdo de las célebres navegaciones de nuestros primitivos marinos se han tra zado por primera yéz én esta carta las principales derrotas hechas por Fernando Magallanes en roí por el Océano pacífico y mares de Asia y la India; del ade lantado Alvaro…</t>
  </si>
  <si>
    <t>Espinosa, Juan Pedrero</t>
  </si>
  <si>
    <t>Juan Pedrero Espinosa</t>
  </si>
  <si>
    <t>…la parroquial de Santa.María, ti tulada del Cordero, en la misma villa, y el préstamo de S. Miguel de Ber^ mui, vacantes en el obispado.de Segovia por muerte.de D. Josef Fierro, á D. Juan Pedrero Espinosa , con dimisión del beneficio que obtiene de Ta pióles en la diócesis de León: para una media ración de la iglesia catedral de Cuenca, vacante por haber obtenido D. Leandro Alvarez y Navarro el beneficio de la parroquia de S. Salvador de Requena , á I). Franci…</t>
  </si>
  <si>
    <t>Espinosa, Marcos</t>
  </si>
  <si>
    <t>Marcos Espinosa</t>
  </si>
  <si>
    <t>…ez BriV: para el de^Paradas á D. Tomas Marcos Varona: para el de Mayorga á Don Anastasio Pí nos y Palos: para el de Jadraque á D. Andrés Casaux: para el de Sisante y Vara de Rey d D. Marcos Espinosa: para el de Ponferrada á p. Luis de Lemus Gil de Taboadá ; y para el de Herrera dei Rio Pisúerga</t>
  </si>
  <si>
    <t>Espinosa, Mariano</t>
  </si>
  <si>
    <t>Mariano Espinosa</t>
  </si>
  <si>
    <t>…n de i.° de Mayo de 1808 , de la que se ha dado traslado á los sugetos á cuyo favor están endosados últimamente ; y hallándo se los 44 en él de D. Feliciano de Guizaburuaga, uno á D. Mariano Espinosa é hi jo, o¡tro á D. Lorenzo Sánchez,y .el último á D. Pedro Menendez, ignorándose la existencia y paradero de estos cuatro sugetos, ha acordado el nominado señor te niente se les haga notoria dicha demanda por medio de este periódico, para que en el preciso t…</t>
  </si>
  <si>
    <t>Espinosa, Pedro</t>
  </si>
  <si>
    <t>Pedro Espinosa</t>
  </si>
  <si>
    <t>…a ,por muerte de D. Matías Perez á I&gt;. Antonio Mana Queypode Llñno, ca nónigo de la de Oviedo ; y la que ha vacado en fct misma catedral por muer te de D. Josef Antonio Balaguer á D. Pedro Espinosa , canónigo ¡ de' la der Huesca. = La canongía vacante en la catedral de Huesea por fallecimiento de D. Pascual López á D. Ramón Alonso Ortega, cura de lá parroquial de Val depeñas de la Sierra, arzobispado de Toledo.=La canongía que ha resultado* V/S í'O IA.…</t>
  </si>
  <si>
    <t>EsppjÓ, Antonio Marqíicj y</t>
  </si>
  <si>
    <t>Antonio Marqíicj y EsppjÓ</t>
  </si>
  <si>
    <t>…ur~ eos morales del ciudadano Hokel sobre los asuntos mas importantes al hombre: tra ducido del francés al espafi olconvar i as notas" para: tu inteligencia y claridad: por el Dr. D. Antonio Marqíicj y EsppjÓ ^presbítero :l úntonioeh 8.° niaypr. i±fCate» cismo romano compuesto por’decrétó del: sagrado concilio tridentinó paré lós pát¿ roeos de toda la Iglesia, y publicadopor Si Pió vY ^radúcido del latín al castilla* so , según el decreto del mismo sagrédó concili…</t>
  </si>
  <si>
    <t>Espriella, Josef Fernandez</t>
  </si>
  <si>
    <t>Josef Fernandez Espriella</t>
  </si>
  <si>
    <t>…de intereses , sobre lo que podrá informar D. Ga briel de la Vega Castillo, vecino de esta corte, que vive en la calle de Atocha, ca sa de Campo Villar, núm. t y 2 , quarto 2.0, y D. Josef Fernandez Espriella, pres bítero, vecino de la villa de Gijon en Astúrias. Adiciones á la salmodia orgánica: contienen los tres tonos primero, quarto y sexto punto baxo á i8 versos cada uno regulares y clásicos, y los dei quarto tono con mayor extensión en forma de sonatas: por…</t>
  </si>
  <si>
    <t>Esquivel, Luis María</t>
  </si>
  <si>
    <t>Luis María Esquivel</t>
  </si>
  <si>
    <t>…s dél dia el Br. D. Miguel López Chamorro, alumno de la universidad, Eñ se guida cantóla misa el Sr. canciller y abad mayor de la insigne iglesia cole-r gial de dicha villa el Dr. D. Luis María Esquivel, y acabada se cantó un so lemne Te Deum. A continuación volvió á tomar el retrato el Dr.D. Juan Nepomuceno Cascallana y Ordoñcz, rector de la universidad, y se dirigió con el claustro y convidados á la sala recroral entre los vivas y aclamaciones de uii inmen…</t>
  </si>
  <si>
    <t>Esre’Ia, Josef Nicolás</t>
  </si>
  <si>
    <t>Josef Nicolás Esre’Ia</t>
  </si>
  <si>
    <t>…de fusileros á D. Josef Cañas, D. Ignacio de Castro y Neg reyros y D. Francisco Cañas; subteniente de granaderos á D. Juan Valdivíeiso, y subtenientes de bandera á D, Manuel Gil, D. Josef Nicolás Esre’Ia, D. Ignacio Alcázar y D. Jacinto del Rico: con la de 30 de Enero último capitán de granaderos en el propio cuerpo á D. Josef Lanao ; ídem de fusi leros á D. Josef Bello y D. Ignacio Saenz; ayudante maj'or del primer batallón á D. Josef Moreno; teniente de gra…</t>
  </si>
  <si>
    <t>Essen</t>
  </si>
  <si>
    <t>948</t>
  </si>
  <si>
    <t>…es. Se espera que, llegue en breve el general Jiabanesjff con f30© hombres para cubrir la retaguardia, y asegurar la comunicación del egército grande. Luego que llegue el teniente general Essen se encargará del bloqueo de Metz. , Idem i$. El general ruso Alopeus ha publicado úna proclama haciendo saber que hallándose encargado del gobierno militar de estos departamentos, que el año anterior habían estado también á su cargo, eligía de todos los bueno…</t>
  </si>
  <si>
    <t>…cción por úna y otra parte. &lt; : ALEMANIA. '■■■ 7 r ltáánheim 2 f de Setiembre* Ayer y hoy ha pasado-por esta ciudad una hermosa división *de-tropas; irúsas mandada por el teniente general Essen con un tren-de artillería' con siderable. ■■■ : ' ■ ■' . v.: . v'; * ; '-Tollas las tropas que han pasado en los dias 22 ,' 2y y' 24 forma bárr-Ja dmsieh del teniente general conde de Liewen. Estas sé di rigen pórlai:Fr&amp;ri-conia-4 Polonia. '«^-También ha sali…</t>
  </si>
  <si>
    <t>Esta</t>
  </si>
  <si>
    <t>…s ca sas de expósitos de dicho obispado. Lecciones para conducirse bien en el mundo, ó consejos de un padre i su hijo antes de entrar en la sociedad: traducidos del francés por J. D. Esta obra consta de dos tomos en 8.°, dividida en tres partes; la primera contiene las qualidades que deben adquirir los jóvenes .antes de entrar en la sociedad: la segunda aconseja sobre la elección de una carrera, modo de prepararse para ella, y de cumplir los d…</t>
  </si>
  <si>
    <t>Esta, Secretario de</t>
  </si>
  <si>
    <t>Secretario de Esta</t>
  </si>
  <si>
    <t>…. =1 Juan Bautista de la Llave.” 1 f ARTICULO DE OFICIO. J El gefe de escuadra D. Josef Quevedo, comandante de marina de Veracruz, con fecha de 9.efe Setiembre último participa al Sr. Secretario de Esta do y del Despacho universal de este ramo lo siguiente: •... „Gon^noticias,repetidas^ de que sobre estas costas cruzaban corsarios ve nidos] de O rleans,, ademas de afligir al comercio, á quien habían hecho algunas presas, comunicaban por un parage distante de…</t>
  </si>
  <si>
    <t>Estado, Secretaria de</t>
  </si>
  <si>
    <t>Secretaria de Estado</t>
  </si>
  <si>
    <t>…47°7--«r*“ ! ARTICULO SE OFICIO. r EL comandanta general de la escuadra espedícionaria de la costa firme D. Pascual En rile , con fecha de 19 de Mayo último desde Caracas dice al Sr. Secretaria de Estado y del despacho universal de Indias ló siguiente: Escmo. Sr.Los oficios adjuntos enterarán áV. E. del desgraciado fin del navio Si Pedro de Alcántara, al mando del capitán de la misma clase P. Francisco Javier Saiazar.</t>
  </si>
  <si>
    <t>Estado, Secretario de</t>
  </si>
  <si>
    <t>Secretario de Estado</t>
  </si>
  <si>
    <t>…cia v demásefectosconvenientes. Dios gúarde á. V. mochos años. Madrid 28 de Diciembre de 1814. 1 Circulares de la Tesorería general* &gt; ; ; . i.a En 9 del presente ines rae dice ei Señor Secretario de Estado y del Despacho de Hacienda do que copió: j.;:0 r • ;.m C^otir esta fecha digo á la Junta .de Montes pios Ministerial_y ¡de Ofici-r ñas,loque sigue:Penetrado el Rey 'nuestro Señor de las razones,que^V. E.</t>
  </si>
  <si>
    <t>…s años. Madrid y Enero 12 de 1815. Circular de la Tesorería general. Con fecha 10 del actual me comunica el Señor Secretario del Despacho de Hacienda la Real orden que stgué: „ El Señor Secretario de Estado y del Despacho de Guerra con fecha-4 del corriente loe dice ÍO sigiiiefité : Habiéñdo^hécho presente al; Rby una</t>
  </si>
  <si>
    <t>…Lc- .,1. A^fCBLO^EjOFIC^ , -Y ■yr.n.-'íj' Circulkr kel Consejó \Reate &lt; ^ * * f • - : ' • t •’ * Con Real orden de 3 de. Diciembre del año próximo pasado se remi tió por el Excmo. Sr. Secretario de Estado y del Despacho de Gracia y Justicia,ai Exemo. Sr. pu,que; del Infantado, Presidente del Consejo, pa ra que ,jjnfoimasé.tlo q s&amp;le. ofreciese y pareciese, una representación he cha i¡§, M-'jpor Oficíales; y demas Dependientes de la Contaduría gene ral dé Aró p…</t>
  </si>
  <si>
    <t>…os, RR. Obispos y demas Prelados para su inteligencia y cumplimiento en la parte que les toca. Lo que participo &amp;c. Madrid 4 de Marzo de 1815. Circular de la Tesorería general. El Sr. Secretario de Estado y del Despacho de Hacienda me comunica con fecha de 31 de Enero último lo siguiente: ,, Con esta fecha comunico á la Dirección general de Rentas la Real or den siguiente: Con esta fecha comunico al Intendente de Murcia la Real orden que sigue: He dado cuenta…</t>
  </si>
  <si>
    <t>…En Madrid 18614 2000 ídem. En Cádiz. 5354 1000 ídem. En Murcia. 27443 1000 ídem En Cádiz. 2285 icoo Idem En Tarifa. ARTICULO DB OFICIO. Circular de la Tesorería general. El Excmo. Sr. Secretario de Estado y de! Despacho de Hacienda me comunico con fecha de 19 de Marzo de este año la Real orden que sigue: ,,A1 Sr. Secretario del Despacho de la Guerra digo hoy lo siguiente: Excmo. Sr.: El Ayuntamiento de la ciudad de Teruel, en el Rey no de Aragón, ha acudido ma…</t>
  </si>
  <si>
    <t>…se comunicaron al mi Consejo con fe chas 22 y 27 de Febrero último, por medio del Duque del Infantado, su Presidente, las dos Reales órdenes, que dicen asi: 1. a ,,Excmo. Sr.: El Sr. Secretario de Estado y del Despacho, con fe cha de 20 del corriente, me dice lo que sigue: Excmo. Sr.: Queriendo el Rey dar á su augusto Hermano el Sr. Infante D. Cárlos María una nueva prueba del particular amor que le profesa, ha venido en resolver que se le considere exento de…</t>
  </si>
  <si>
    <t>…lo comunico á V. para su inteligencia y cum plimiento en la parte que le toca. Dios guarde á V. muchos años. Madrid io de Abril de 1815. Circular del ministerio de Hacienda. /' El Sr. Secretario de Estado y del Despacho de Hacienda me comunica /éon fecha de ayer la Real orden que sigue: / El Rey nuestro Sem r se ha servido dirigirme con esta fecha el Real / decreto siguiente: Habiendo tenido á bien por decreto de este dia confiaros el desempeño de asuntos del…</t>
  </si>
  <si>
    <t>…n dancias, sé concluyan en el propio tribunal. De Real orden lo comunico á V. E. para su inteligencia y cumplimiento en la parte que le toca.” Circular del Consejo Real, El Escmo. Sr. Secretario de Estado y del despacho de Marina comunicó</t>
  </si>
  <si>
    <t>…a á cuanto» tuvieron lá honra de besar *u Real mano. ‘ - “ ; ' x ARTlCtrtO OFICIO. EJ Marques de la Concordia, Mircy del Perú-, con fecha de 28 dé Marz# último desde Lima, dice al Sr. Secretario de Estado y del Despacho universal1 de Indias lo siguiente x t r 1 ; „Escmo. Sr.: En 11 del mes anterior con el núm. 1101 .participé á V. E.‘ el estado en que quedaba la revolucioii del Cuzco , y ‘coritinuaudo él corres-3 pondieitte aviso para noticia de S. M., hago pr…</t>
  </si>
  <si>
    <t>Gaceta de Madrid n.º 108 (extraordinaria)</t>
  </si>
  <si>
    <t>…A DE MADRID DEL VIERNES i.9 DE SETIEMBRE DE i8ij. í ■ — I I lll ARTICULO DE OFICIO» El Viréy del Perú, Marques de la Concordia, ha dirigido con fecha 15 de Abril último al Escrno. Sr. Secretario de Estado y del Despacho universal de Indias D. Miguel de Lardizabal el parte siguiente* Escrno. Sr.: En 28 del pasado con el num. 34 comuniqué á V. E. que la división del mariscal de campo D. Juan Ramírez quedaba en Ayaviri pró ximo á llegar,á las manosJcon el egércit…</t>
  </si>
  <si>
    <t>…e iS.iMv comunico á V. E. para su inteligencia y efectos convenientes en el Mi nisterio de su cargo. Dios guarde á V. E. muchos años. Palacio 31 de Agos'«odé i.8ic tsPedro Bailin.=Sr. Secretario de Estado y del despacho de Hacienda.” •' ^ . ,......■ —— —-— t, ■ ■ —- - ———jInstitución de- ía Real orden americana de Isabel la Católica. Véndese á 6 rs. en 4.0 re guiar y á. 10 en marquilla en el despacho de la imprenta Real. EN ~ L ÁImPRENTr"REÁÜ "</t>
  </si>
  <si>
    <t>…lado á W. SS. pára qjue pór Wp'áríeEagánlas opor tunas prevenciones á stl cumplimiento.Madrid 14 de'Agbstb dé'i8157* Circular del Ministerio de Hacienda¿ Con esta fecha me dice él Sr. Secretario de Estado y del Despacho lo siguiente; ' „El Rey nuestro Señor ha resuelto que se admita libremente en España i los subditos franceses que vengan á ella , ya sea á asuntos de comércio tí otros particulares, ó ya por mera curiosidad siendo personas de distinción, siempr…</t>
  </si>
  <si>
    <t>…ento.zrRubricado de la Real mano. =Palacio á 24 de Se tiembre de 1815.=:A D. Pedro Cevallos. ElCapitan general del reino de Galicia D. Felipe Saint-Marcq dice entre otras cosas al,Sr. Secretario de Estado y del despacito de la Guerra con fecha 23 de este mes lo siguiente: „A las nueve de la mañana de hoy han abandonado precipitada y ver gonzosamente esta plaza las tropas que engañadas siguieron el partido del seductor sublevado. Fieles á S. M. las corporacione…</t>
  </si>
  <si>
    <t>1122</t>
  </si>
  <si>
    <t>…es escesivo su entusiasmo, alegría y demostraciones de lealtad. Dios guarde á V. E. muchos años. Coruña 23 de Setiembre de 1815.= Escnao. Sr. = Miguel Antonio de Blanes. =: Escmó. Sr. Secretario de Estado y del despacho universal de Gracia y Justicia.” Circular del Ministerio de Guerra, Al Director General de Artillería digo con esta fecha lo que sigue: „ He dado cuenta al Rey de la instancia de los individuos del Ministerio de Cuenta y Razón de Artillería des…</t>
  </si>
  <si>
    <t>1243</t>
  </si>
  <si>
    <t>…usto de la Botánica, y dando egemplo á todos para que fomenten la ciase agriar cultora, sobre cuyos hombros gravita el peso del estado. , Circular del Ministerio de Hacienda. ‘ El Sr. Secretario de Estado y del Despacho de Gracia y Justicia con feú cha de 1.9 del corriente me dice haberse dignado S. M. dirigirle con la misma el Real decreto siguiente,: .. Estando para llegar á España los Padres de la Compañía ,de Jesús á consecuencia de las órdenes comunicadas…</t>
  </si>
  <si>
    <t>…. ¡Sr. D; Toma* Moyano, Secretario de Estado y del Despacho universal de Gracia y Justicia, comunicó al Consejo en 29 de Agosto, último la.Real orden siguiente*. ' „Excmo. Sr.::El Sr. Secretario de Estado y del Despachó me dice con fecha de 27 del corriente lo que sigue: „ El Rey nuestro Señor ha resuelto que se admita libremente en España á los subditos franceses que vengan á ella, ya sea á asuntos de comercio ú Otros particulares, Ó ya por mera curiosidad y…</t>
  </si>
  <si>
    <t>…ara su inte ligencia y cumplimiento en la parte que le corresponde. Dios guarde á V. muchos años. Madrid 12 de Diciembre de 1815. Conforme á la resolución comunicada por el Excmo. Sr. Secretario de Estado y del Despachó universal de Hacienda en 13 de Noviembre de 1815 , se han señalado los dias siguientes para que se celebren en esta corte las 12 extracciones de la Real lotería primitiva en el año siguiente de 1816. Dista de la anterior. 1. a En 22 de Enero...…</t>
  </si>
  <si>
    <t>Estado, Secretario del Despacho de</t>
  </si>
  <si>
    <t>Secretario del Despacho de Estado</t>
  </si>
  <si>
    <t>…E. para que disponga su cumplimiento. Lo que dé la misma Real órdfen traslado á V. E. para inteli gencia y cumplimiento del Consejo en la parte que le toca.” 2. a „Excmo. Sr.: El Sr. Secretario del Despacho de Estado,con fecha de ayer, me ha comunicado la Real orden siguiente: Excmo. Sr.: A solicitud del Sr. Infante D. Cárlos ha declarado S. M. que la gracia que últimamente ha concedido á su augusto Hermano restableciéndole en el goce de los privile gios jurisdiccionales…</t>
  </si>
  <si>
    <t>…da por esta. Lo que comunico á V. de Real orden para su inteligencia y cumpli miento en la parte que le toque. Dios guarde á V. muchos años. Madrid 10 de Setiembre de 1815. 2.a El Sr. Secretario del Despacho de Estado me dice con fecha de \ del actual lo qué copio: ,, Con fecha de 31 de Agosto ultimóse ha servido S. M. dirigirme el Real decreto siguiente: Dispuesto siempre mi corazón á proporcionar á mis amados vasallos cuantos alivios sean compatibles con el decoro de mi…</t>
  </si>
  <si>
    <t>…a preciosa, publicada en París en 1809, y ador nada con 60 láminas repartidas en los 13 volúmenes de que consta. Circular del Ministerio de Hacienda. Con esta fecha me comunica el Sr. Secretario del Despacho de Estado lo siguiente: „ Queriendo S. M. fijar el sentido de las órdenes relativas á la excepción de los comerciantes extrangeros en el pago de las imposiciones y cargas á que deben estar sujetos en los pueblos de su residencia, en el ínterin que por el Consejo de Hac…</t>
  </si>
  <si>
    <t>Estagira, Aristóteles de</t>
  </si>
  <si>
    <t>Aristóteles de Estagira</t>
  </si>
  <si>
    <t>…l Y su precio 4 rs. Los Aldeanos críticos, ó cartas críticas sobre lo que se verá : dadas á luz por D. Roque Antonio de Cogollor, quien las dedica al príncipe de los peripatéticos D. Aristóteles de Estagira. Es obra del P. Francisco de Isla: un tomito en 8.°~ Origen de la potestad temporal de los Papas: obra escrita en francés por Mr. Sabbathier , y traducida al castellano por D. C. y C.: un tomo en 8.°zrDia de la gran Reyna madre de Dios, universal remedio y co…</t>
  </si>
  <si>
    <t>Estanislao, Josef</t>
  </si>
  <si>
    <t>Josef Estanislao</t>
  </si>
  <si>
    <t>…regimiento iilfantería dé Navarrai destinado á la isla de Cuba; D. Juan Bautista Esteller, secretariorde cámara de la.capitanra ge neral de las provincias del Rio de .Ia Pláta ; 'D. Josef Estanislao..Lóaqes, te niente coronel del regimiento, infantería de Buenos-Ayres; D. . Juan Bautista Gual, gobernador de León de Nicaragua; D.: Francisco Maximiliano de San Maxent, teniente coronel , del regimiento infantería de la. Luisiana; D. Juan Basco y Pascual, go…</t>
  </si>
  <si>
    <t>Esteller, Juan Bautista</t>
  </si>
  <si>
    <t>Juan Bautista Esteller</t>
  </si>
  <si>
    <t>…l mismo tiempo segun do comándame general de la espedicion destinada á Nueva-España; D. Die go Solano, .coronel del regimiento iilfantería dé Navarrai destinado á la isla de Cuba; D. Juan Bautista Esteller, secretariorde cámara de la.capitanra ge neral de las provincias del Rio de .Ia Pláta ; 'D. Josef Estanislao..Lóaqes, te niente coronel del regimiento, infantería de Buenos-Ayres; D. . Juan Bautista Gual, gobernador de León de Nicaragua; D.: Francisco Maximil…</t>
  </si>
  <si>
    <t>Esterripa, Fermín</t>
  </si>
  <si>
    <t>Fermín Esterripa</t>
  </si>
  <si>
    <t>…mon Hcrrera yíCfüzat, D. Francisco Millau, D. Vicente Fran cisco1 de ¡Voz , Martin Francisco Triarte, D. Josef Sartorio, D. Diego Bu trón, D. Francisco Ciscar, D. Josef Mollinedo, D. Fermín Esterripa y D. Francisco de Paula Osorio. -Ascenso á capitanes de navio áTos de fragata D. Francisco Man¡on, Don Faustino Gnimii,: D. Rafael• Lobo, D. Pedro Acevedo, D. Juan de Vargas Lana, D. Jacinto Rotnarate,: ¡ DJ Eduardo Briant, D. Ramón Ortiz Otañez, Dv Miguel Palacios Ruiz, D^ Ramón Aguí lar,…</t>
  </si>
  <si>
    <t>Esteve'z, Josef</t>
  </si>
  <si>
    <t>Josef Esteve'z</t>
  </si>
  <si>
    <t>…y obispado de Avila, para el de S. Martin de Aguis: ^ D: Pedro Al varea, abad de Santa María de Fumáces, en el obispadoi~' Orense y estado de Monterey, para el de Santo. TQsjneJy; D. Josef Esteve'z , teniente cura de Santa Eufemia Ja Real de laciudad 4^ Orense, para el de S. Pedro, de Quizanes en la niisma diócesi., v Teniendo el Rey en consideración los importantes servicios de D. Ber nardo Palacios áfavor de la buena causa en ta guerra pasada , y prin…</t>
  </si>
  <si>
    <t>Esteve, Rafael</t>
  </si>
  <si>
    <t>Rafael Esteve</t>
  </si>
  <si>
    <t>…os el exemplar en la librería de Gila, calle de las Carretas.Retrato del Sr. Isidoro Mayquez, primer actor del teatro del Príncipe, pinta do por D. Francisco Oiroya, y grabado por D. Rafael Esteve. Se hallará en la libre ría de Quirós , frente á los Gremios, y en la de Gila, calle de las Carretas, á 4 rr* la estampa: se le ha añadido un nuevo verso. ———|¡ 11, -H II. » "" . lili 1 ' &lt;1 i&gt;M" ji EN LA IMPRENTA REAL.</t>
  </si>
  <si>
    <t>Estogui, Pablo</t>
  </si>
  <si>
    <t>Pablo Estogui</t>
  </si>
  <si>
    <t>…Marín, D. Josef Alcázar, Dr Josef de Castro,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Rafael Solano, Di Josef; Majríaí Prieto , Q¿ Fráncisco Cervera &gt; D. Francisco ,…</t>
  </si>
  <si>
    <t>Estorf</t>
  </si>
  <si>
    <t>…en Montmartre, S. Denis &amp;c.: las tropas de Lauenburgo eñ Bondy y las inmediaciones: la segunda en Versailles &amp;c.: la cuarta en Longjumeau; las hannoverianas, bajo las órdenes del general Estorf, en Limours. Las tropas todas á las órdenes del Duque de Weilington que no han de permanecer en Francia se han puesto en marcha para volver á la Bélgica. Se asegura que el general Drouet, conde de Erlon, ha sido arrestado en París , donde vivía oculto. El con…</t>
  </si>
  <si>
    <t>Estos, Federico de Orangew</t>
  </si>
  <si>
    <t>Federico de Orangew Estos</t>
  </si>
  <si>
    <t>…lord Wellington está dividido en dos cuerpos; el uno al mando del príncipe de Orange, y el otro al del lord Hill. La reserva, que está ya casi completa, se halla á las órdenes del príncipe Federico de Orangew Estos últimos dias han embarcado millón y medio de cartuchos para la Bélgica. £1 20 del corriente esperaban en Francfort á los emperadores de Rusia, de Austria y ai rey de Prusia. Se habla de un armamento naval, que mandará Sidney Smith. ESPAÑA. Barcelona 10 de May…</t>
  </si>
  <si>
    <t>Estrada, Francisco</t>
  </si>
  <si>
    <t>Francisco Estrada</t>
  </si>
  <si>
    <t>…cisco Pfieto, D. ¿Esteban Alzurrun /D. Juan Portaz, D. Antonio Molina , D. Bawolomé Pombo, D. F rancisco Ortega , D. Miguel Polidoro y D. Josef Trillo, D. Manuel* Diez tarabilla , D. Francisco Estrada, D, Manud Lebony D. AntonioiMangas ,;D. Alonso García, D. Manuel Ro-</t>
  </si>
  <si>
    <t>Estrada, Josef</t>
  </si>
  <si>
    <t>Josef Estrada</t>
  </si>
  <si>
    <t>…Tuerpó de Artillería á los caballeros cadetes D. Filiberto Mahy , D. Migue! Araózq D. Juan A riña da, Di. Manuel Ortega, D. Rafael, Cor réa, D. -P ed ro Ortega:, Di Josef Vázquez, D. Josef Estrada; D. Ramo» Romero, D. Joaquini Edhevarría; Dv Casimiro Cañedo, D. Josef Cebrian ,;D. Salvador Pa nlagua, D. Josef Saenz dé Viniegra, p. Narciso Gómez.Quintana, D. Ca yetano Pimente! ,:yá los ‘artilleros distinguidos D. Manuel Rodríguez Sote* lo, D. Tomas Saenz…</t>
  </si>
  <si>
    <t>…Rodríguez, D. Pedro Pilón; D: Luis Polo de Bernabé , D. Josef García Ibarguen, D. Juan Soüoso, D. Francisco Garnica , D. Rafael Legpbien, D. Miguel Roldan , D, Rafael Aristegui y Don Josef Estrada. - Grado de. intendente de marina á los comisarios ordenadores D, Domingo CarruagatovD; Juan Nieto y D. Antonio Ventura Cincúnegui. 1 Gradó; de. comisarios de marina ordenadores á lps de guerra D. Antonio Camilo de Valencia y D. Francisco Paula Bermudez. •, s…</t>
  </si>
  <si>
    <t>Estrada, Sancho</t>
  </si>
  <si>
    <t>Sancho Estrada</t>
  </si>
  <si>
    <t>…a, D, Diego Latorre, D. Pedro Vidal, D. Antonio Rey, D. Pe dro Áhnabai, D. Manuel Lomar, D. Pablo Chamorro , :D, Josef Ckuñer. DvJosefGucrra, D. Juan Sevillano , H. Josef Fonseca, D. Sancho Estrada, ¡BJosefSoler , D. Diego Delgado* D* Rafael Vargas, D. Josef Llanzo, Don Josfef Astraudi ,.D. Juan de Sotomáy or, D. Cayetano Perez Dávila, D. Ma nuel Drapie, D. Antonio Henriqiiez , D. Francisco Trugillo, D. Joaquín Huerta , D. Francisco de Paula Moreno, D.…</t>
  </si>
  <si>
    <t>Estudillo, Juan Andrés</t>
  </si>
  <si>
    <t>Juan Andrés Estudillo</t>
  </si>
  <si>
    <t>…en tal grado yqué se dudóá quienes se adjudicarían los premios que estaban destinados,para los siete mas* sobresa lientes, y asi se acordó que se sorteasen, y fueron adjudicados á D. Juan Andrés Estudillo, á D. Josef Zarzuela, á D. Francisco de Paula Silva, á D. Juan Vidal, á D. Manuel Manzorea, á D. Manuel Silva y á D. Manuel Bernal, ampliándose después á todos hss restantes; El ayuntamiento de dicha ciudad, satisfecho del zelo y traba jos‘de D. Francisco Gir…</t>
  </si>
  <si>
    <t>Etgnm</t>
  </si>
  <si>
    <t>822</t>
  </si>
  <si>
    <t>…cucion.dél présente tratado. ‘ 1 * ' • Fecho y firmado en Saint-Cloud en tres copias por los comisarios iafriba nombrados en el dia y año arriba también expresados. = Firmado = El barón Etgnm az ElcondeGuille minóte zz Elconde de Bondy. = El barón dé MuJting-ss £. B. Hervey. ^ ■' 1 H: „ Aprobada y ratificada la presente suspensión de armas.=París 3 dé Ju* 4io Príncipe dé Eckmülh.téz^ot ampliación, él'teniente géneral '^efe de estado mayor general…</t>
  </si>
  <si>
    <t>Eugeni, Gaspar</t>
  </si>
  <si>
    <t>Gaspar Eugeni</t>
  </si>
  <si>
    <t>…e dicha encomienda; y siendovpartes én los referidos autos el Lie. D. Juan Josef Goriiez Palenzuele , D. Pedro Manuel Folgueras, Doña Juana Rodríguez , viu da de D. Pedro Tegeiro, D. Gaspar Eugeni, D. Juan Ruiz Morales, D. Josef, D. Joaquín y D. Bernabé VcladieZ, como herederos del difunto D. Josef Veladiezj</t>
  </si>
  <si>
    <t>Eugenio</t>
  </si>
  <si>
    <t>…eriores que nos hemos procurado, prueban que á solicitud, á ins tancia y por intrigas del príncipe de Benevento han sido despojados de sus derechos María Luisa y su hijo. ,,4.° Al príncipe Eugenio, hijo adoptivo de Napoleón, que ha honra do á la Francia, que le vió nacer, y que ha adquirido el afecto de la Italia, que le adoptó, debía dársele fuera de Francia un establecimiento correspon diente á su clase, y nada se le ha dado. ,,5.° El Emperador había…</t>
  </si>
  <si>
    <t>…iendo caballos de posta para trasladarse á Viena; y h biendo manda* do el rey de Wurtemberg que lo registrasen, le encontraron cartas para la á’rchidñlqüésar'MaríaíLoisái, para el príncipe Eugenio, y para algunos oficia les frátícesés qué se bailan en *Baviera. Éstas cartas han sido remitidas á S. M. él émpeífaáor de Austria. ' El exército ruso al mando del general Barclay de Tolly se divide en tres columnas: la del Norte, que consta de 7 &gt;© hombres, p…</t>
  </si>
  <si>
    <t>Eulate, Ramón de</t>
  </si>
  <si>
    <t>Ramón de Eulate</t>
  </si>
  <si>
    <t>…n co oMaldoñádoy;D. - Tobías Blanco Cabrera, D. Francisco Labandeyra, Doh Andrés Fernandez Caballero y D. Diego Prieto. - ; Ascenso á capitanes de fragata á los tenientes de navio D. Ramón de Eulate , D. Tomas Cortés, D. Pedro Bucheli, D. Sebastian Paez de la Cadena, D. Francisco Lafita » D. Joaquín Gil de Bernabé, D. Gregorio Roldan , Don Redro de Nava, iD; Miguel Araoz, D.: Juan Echenique, *6/ Vicente Varela, D. Agustín Blondo, D. Agustwt Wautersy D. R…</t>
  </si>
  <si>
    <t>Eurile, Pascual</t>
  </si>
  <si>
    <t>Pascual Eurile</t>
  </si>
  <si>
    <t>…es dé Balbastro, mientras V. S. no dispone otra cósa. Dios guárde á V.S. muchos años. A bor do de la fragata Providencia frente á Coche á 24 de Abril de 1815. = Rafael Santibañez.=Sr. D. Pascual Eurile. ~Es cofia, ss Pascual Enrile*</t>
  </si>
  <si>
    <t>Euse</t>
  </si>
  <si>
    <t>…miércoles 5 de Abril próximo viniente. —" ■ ■ ■—1 ' ”1 — ...................... ■ 1"», ■_ .. ,-t....................w . Habiendo fallecido abintestado .eft 16 de Eaero.de este año D. Euse&amp;io Ferrer y Novella, menor, se previno dicho abintestato en 2 1 del mismo por el Sr. D. Jq*«f García de la Xojm , del consejo de S. M. y alcalde jen su Real casa y corte, ante el escribano de provincia D.,Cárlos Rodríguez de Moya, en cuya consecuen cia, y med…</t>
  </si>
  <si>
    <t>Eusebio</t>
  </si>
  <si>
    <t>…y de granaderos én el de infantería de Caxamarca ai teniente D. Gregorio Bobadilla , y al capitan D, Miguel López Varéla: para compañías en el de dragones de Mages á los tenientes D. Eusebio y D. Matias Pacheco: para igual empleo en el de caballería de Cañete ai te niente D. Rafael Rodríguez: para el mismo en el de dragones de Atidahuaylas ai teniente D. Juan Beingoolea : para la compañía de granaderos dél propio regimiento al capitán D. Fabian López Pecero: para el…</t>
  </si>
  <si>
    <t>mandado en su virtud por dicho señor alcaide en auto de 15 de este mes, se noti cia á las personas que tengan ínteres á la herencia y bienes del citado D. Eusebio, ó sean acreedores á ellos, acudan por la audiencia de dicho señor y oficio del refe rido escribano de provincia á deducir su derecho en el término de 30 días. „ La pila de lana merina del hospital del Rey, junto á Búrgos, de este año de 1815 se rematará en l…</t>
  </si>
  <si>
    <t>Evaristo</t>
  </si>
  <si>
    <t>…cia de Galicia con su antigüedad; y para esta resulta ha nom brado á D. Josef Salelles y Palos: para la primera plaza de oidor de las dos vacantes en la audiencia de Extremadura á D. Evaristo de la Dehesa, y para la segunda á D. Esteban de Asta: á D. Manuel Saiz de Villegas , oi dor.déla audiencia de Canarias» para una plaza de ignal clase de la audien cia deGalicia; y para la plaza de alcalde del crimen , vacante en la audien cia de Sevilla por s…</t>
  </si>
  <si>
    <t>Exarque, Luis</t>
  </si>
  <si>
    <t>Luis Exarque</t>
  </si>
  <si>
    <t>…onoies de comisario de guerra-de sui exércttos. . • ; ■,.-■■■ , - ■ ■ ü ■. El Rey se. ha servido nombrar para una canongía ,, vacante en la cate* dral de Orihuela por promoción de D. Luis Exarque á otra canongía de la iglesia metropolitana de Valencia, á D, Juan Pont y Tormo, cara .preben dado de la misma catedral de Orihuela: para otra canongía, vacante en la catedral de Canaria por promoción de D. Santiago Josef Bencomo á I»dig nidad de deán de la m…</t>
  </si>
  <si>
    <t>Excelmans</t>
  </si>
  <si>
    <t>…stros puertos algunos buques de la costa de Francia con paSageros. FRANCIA. Partí 16 de Abril. Continuación del extracto de la Secretaría del Consejo de pitado. ,, Cuando habló al general Excelmans, que marchaba hacia la columna que seguía muy inmediata á Luis Estanislao Xavier;cuando habló al general conde de Erlon , que debía recibirle en Lila; al general Clausel, que iba a Burdeos, donde se hallaba la duquesa de Angulema ; al general Grouchy, que mar…</t>
  </si>
  <si>
    <t>Excelmañs</t>
  </si>
  <si>
    <t>$45 Las tropas de infantería y caballería [de la guardia estaba en Soíssons y Los cuerpos del general Excelmañs se habían apostádo en Crairne, y se estendian hácia el Ange-Gardien. 1 El cuerpo de caballería del general Pajoí estaba detras de Couci. El primer cuerpo á las órdenes del general Erlon estaba en camino para Cómpiegne, punto a que se dirigía el enemigo. : - i…</t>
  </si>
  <si>
    <t>…uertos y heridos. En este tiempo el teniente general Piré egecutaba su movimiento sobre -Rocquancourt con tanta intrepidez como inteligencia. La columna prusiana, arrollada por él general Excelmans, fue-recibida por el general Piré , y después de haber sufrido desdé luego un vivo fusileo del regimiento. 44.0, fue cargada</t>
  </si>
  <si>
    <t>…os dos re gimientos de 'Brandeíuburgd yde Pomerania, que eran'los' 'mejores del egér cito prusiano. , c Las tropas francesas de caballería y dé infantería compitieron en valor. Él general Excelmans dice que no hay guarismo para contar los valientes que «e han distinguid^- Señala particularmente ai teniente general Strolz; á los generales Berthe, Vieent; al coronel Brigueviile., que está gravemente herido; á, iqs, de igual clase Saintr Amand ,1 del 5de d…</t>
  </si>
  <si>
    <t>Exmouth</t>
  </si>
  <si>
    <t>…as cartas de ios capitanes Ayímer y Palmer que di cen: „Mrféát4preténdió ser recibido á bordo de un navio ingles, y conducid® á la Graópfeétañáx pero no- pudiéñdó comprometerse el almirante Exmouth,* salió-Joaquíá de Tofoir, y marchó'hácia él Piámónté.” ' ' Se ha publicado un estracto de los productos netos presentado á la cá mara dé los' Comunes^pór él que se manifiesta que ei producto de los fondos Consolidados deí año- cumplida err 5 de Julio de 1814…</t>
  </si>
  <si>
    <t>Eyaraluz, Ramón</t>
  </si>
  <si>
    <t>Ramón Eyaraluz</t>
  </si>
  <si>
    <t>…na; . ( , . \ ~ í¿ iAl =dia siguientet..Vcon igual iriotivo tuvo la misma honra - una .diputación de fá villa de Puente la Reina en el reino de Navarra , compuesta del presbíte ro D. Ramón Eyaraluz y del Escmo. Sr. D. Manuel Lapeña , teniente genejal de* los ¡ Reales egércitos,,de los cuales el primerd. éspuso Jos ¿-sentimientos que&lt; han animado y animan á los vecin'osnde aquella ijfillai en favor de S. y jos servicios últimamente hechos en. Su defensa.…</t>
  </si>
  <si>
    <t>Ezaplitz</t>
  </si>
  <si>
    <t>…po de exército, general Raessky.— 11.a división de infante ría, mayor general FuilenefF.—. 17.a división .id»., el teniente general Olsoufieff.___3.a división de húsares, teniente general Ezaplitz.»__ Ochenta y quatro cañones.. . i . ■.»; ...• &gt; v; Ouinto cuerno de egército, general Lacketl._ 12.* división de infantería;*■ 1 u ' u general el conde Woronzóff.-i-15 .a división id.,í teniente general MarkofE— 26.a división id., general Emme._-2.a de drago…</t>
  </si>
  <si>
    <t>Ezequiel, Francisco</t>
  </si>
  <si>
    <t>Francisco Ezequiel</t>
  </si>
  <si>
    <t>…ro vincial de Ronda á D. Antonio Aviles, teniente coronel agregado al pro pio cuerpo. En atención al mérito y buenos servicios del administrador principal de correos de esta corte D. Francisco Ezequiel de las Barcenas ha venido S. M. en confítmaile los honores de intendente de provincia. El Rey nuestro Señor se ha servido nombrar boticario mayor de sus Reales exércitos á D. Agustín Josef Mestre, que lo es de su Real cámara. Habiendo e! presbítero D. Antonio…</t>
  </si>
  <si>
    <t>Eznarcegá, Estékan</t>
  </si>
  <si>
    <t>Estékan Eznarcegá</t>
  </si>
  <si>
    <t>…pasó á las Américas espa ñolas. El que supiese de su existencia Ó fallecimiento se dignará avisar en Madrid i D. Manuel de Uliarté, del comercio, en la plaza Mayor, y en Daroca á D. Estékan Eznarcegá. El que sepa donde se halla D. Angel Casimiro Ruiz, natural de Aranda de Duero, y capitán de cazadores del regimiento de Cantabria, se servirá avisarlo en Madrid, á p. Manuel de Trasviña, del comercio, calle de Postas, ó en ValladoliJ á loS'Srs. D. Remigio Di…</t>
  </si>
  <si>
    <t>Ezquerra, Manuel</t>
  </si>
  <si>
    <t>Manuel Ezquerra</t>
  </si>
  <si>
    <t>francisco Javier Pávía, D: Josef León y Tamariz, T&gt;. Bernardo Brandem^ ■ Lbruoke y D. Manuel Ezquerra. Grado de comisarios de guerra á los oficiales primeros D. Juan Antonio* González, D. Juan Francisco Fernandez, Di Josef Manuel de Casas, Don* Miguel Perez de la Quintana , D. Nicolás Hernández, D. Salvador de Otero, D. Francisco Fernandez NavarreteD. Juan Ma…</t>
  </si>
  <si>
    <t>Facón, Joan</t>
  </si>
  <si>
    <t>Joan Facón</t>
  </si>
  <si>
    <t>…uel Becerriir para el de Soria á D. Juan Meneses Calvete: para el de Linares á I&gt;. Josef Julián Ortega: para el de Tordesillas á Don redro Ventades; y confirmar en el de Sabagun á D. Joan Facón: para la vara de alcalde mayor de Ecija á D. Francisco Anaya y Villazan: para la de alcalde mayor segundo de Córdoba á D. Carlos Guerrero: para el de Miranda de Ebro á D. Josef Victoriano de Olaeta; para la de Antequera á D. Joaquín Tercero Gaseo i y para la…</t>
  </si>
  <si>
    <t>Fajardo, Sisto</t>
  </si>
  <si>
    <t>Sisto Fajardo</t>
  </si>
  <si>
    <t>…. Juan Mitlan , D. Manuel Cortas,, D. Francisco'Velasco , D. Alejo González, D. josef Lázaro Vallejo, D. Ramón Carreño, D. Matias Case ro, D. Manuel Bénjumeda * D. Gerónimo Muñoz, D. Sisto Fajardo, D. Ma-„ miel Fernandez Rey na, D. F raneisco Bonet, D. Josef María de Novoa, Don Miguel Mir, D. Antonio Cidron , D. Santos Cremona, D. Josef Joaquín Ayestáiran, D. Vicente Ordoño, D. Raymundó de Unzaga, D. Manuel Arangu, d: Vicente Agreda , D. Manuel Jones,…</t>
  </si>
  <si>
    <t>Falces, Francisco</t>
  </si>
  <si>
    <t>Francisco Falces</t>
  </si>
  <si>
    <t>…nchez de Cutanda, á D. Eduardo María Saeñz de la Guardia, deán de la iglesia cate dral deJLéfida: para el deanato de la iglesia catedral de Barbastro, vacante por fallecimiento de D. Francisco Falces, á D. Joaquín Allue y Bendicho, canónigo de la misma,catedral» y para el oficio regular, dignidad de limos nero del Real monastefip.de santa María de Ripoll, de ía congregación claustral tarraconense y cesaraugnstana, á D. Frey Josef Borrell. El, Rey nuestro…</t>
  </si>
  <si>
    <t>Falces, O. Pió</t>
  </si>
  <si>
    <t>O. Pió Falces</t>
  </si>
  <si>
    <t>…Antonio María ¡«dé Bustiq y Yéla&lt;; haciendo mas vistosa y plausible esta función la asistencia de la música’ del regimiento de la Corona, que con la mayor generosidad franqueó su coronel O. Pió Falces. Concluida la misa se dirigió lá diputación téh oueppó/precedida de las niñas con su'maestra Dbña Mariana López, á la ¡casa de esta, en donde se dio principio.al acto preguntando el expresado1 cSr ;putado eclesiástico la doctrina cristiana á. las,niñas j desp…</t>
  </si>
  <si>
    <t>Falomares, Miguel</t>
  </si>
  <si>
    <t>Miguel Falomares</t>
  </si>
  <si>
    <t>…rfeccionar la educación pública y particular como único seguro manantial de la felicidad de una na ción. Siguióse á este elogio una oración gratulatoria que leyó el niño premia do D. Miguel Falomares, espresando en ella el reconocimiento de sus maes tros y condiscípulos á la mano generosa de la sociedad; con lo cual se con cluyó este acto. Granada 26de Junio. El Real colegio de los santos apóstoles S. Bartolomé y Santiago el ma yor de esta capital, que es…</t>
  </si>
  <si>
    <t>Fascina</t>
  </si>
  <si>
    <t>…tríacos. . .. v Acaba de llegar á esta ciudad S. A. I. el Archiduque Fernando. También esta ahúi desde ayer el general Conde de Hocbberg: este mandará las tropas, del sitio-, y el general Fascina la artillería5 y ambos estarán á las órdenes del Archiduque Juan. - Idem /£. ■■ - • • : Ayer al anochecer fueron á continuar los trabafos cerca dé Huninga él tíbico 5® hombres entre austríacos,; wurtemb«rgueses y suizos. La plaza di rigió contra estas tropas…</t>
  </si>
  <si>
    <t>Faticher</t>
  </si>
  <si>
    <t>…l dia confiado al general Donna- - ^ „ El distrito de Libourne permanecerá bajo ti mando del coronel Du chaste!. ' . . ' r """ „ Los distritos del Reole y Bazas están al mando del general Faticher. ( í, La ciudad de Burdeos: y isuf partido5 quedan* á&gt;las¡ órdenes del coronel ■ : A "\f.... ^Liirat.:: 'yir'.ys.w. tr dA ,, Durante la permanencia del estado de guerra ¿ los empleados civiles con servarán el egercicio de sus funciones. &lt;</t>
  </si>
  <si>
    <t>Fauconnet</t>
  </si>
  <si>
    <t>…cuer-rpós^de egército que manda ; la del teniente general conde Leval, que mand» la plaza de Dunkerque, por sí y en nombré de los ingenieros de aquel puer to; del teniente general barón Fauconnet , comandante de las guardias nacio nales de la misma plaza ; del teniente general barón Roget, en Caen; del ma riscal de campo, en el departamento ael Yonne; del mariscal de campoDesnoyers, en Aire ; del; mariscal de campo Argencc ,enel dcpartameiritoldee Nie…</t>
  </si>
  <si>
    <t>Faura, Josef</t>
  </si>
  <si>
    <t>Josef Faura</t>
  </si>
  <si>
    <t>…D. Anto nio Casbas j D. Francisco Botella,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 IX Plácido Gúell, D. Joaquín González…</t>
  </si>
  <si>
    <t>Faxardo, Agustín Guaxardo y</t>
  </si>
  <si>
    <t>Agustín Guaxardo y Faxardo</t>
  </si>
  <si>
    <t>…s guarde á V. muchos años. Madrid 26 de Abril de 1815. S. M. ha nombrado para el corregimiento político de la ciudad de Cdr-r doba á D. Joaquín Bernad y Vargas: para el de Ecija á D. Agustín Guaxardo y Faxardo; y para el de Murcia á D. Manuel Deñamayor y Echavarri. Para el corregimiento de letras de Linares á D. Josef Julián de Ortega: para el de Anduxar á D. Juan Bautista Aiberola: para el de Olmedo á Don Gil de S. Juan Benito: para la vara de alcalde mayor de Mál…</t>
  </si>
  <si>
    <t>Fbrnando</t>
  </si>
  <si>
    <t>…dadero D. Quijote de la. Europa y lá Historia razonada de los principales sucesos de la gloriosa revoluciónvde España singularmente de los ocurridos en Madrid hasta la entrada-dél Sr. D. Fbrnando vif. r-tv ¡i*. EN LA IMPRENTA REAL.</t>
  </si>
  <si>
    <t>FBrñárid, Viéenre</t>
  </si>
  <si>
    <t>Viéenre FBrñárid</t>
  </si>
  <si>
    <t>…felióitaro^tatóbieti^óii igual motivo á &amp; M. ea tram^* “bVe dé la vñlá déTlíé^cáé'losíSreáiíiD. ’JRtfrtiort^QiiinteroiGómez , corregidor ^ranóísCóbXavifer- dé Valdésy piíesbítero; D. Viéenre FBrñárid^^e Soto ^Tégidór décaho por su estado libbJev y D. Pedro Ruis:; ^éF'ié^lidp^é^élló^dixó'V' *'^ 77 - *. •.&gt; &lt;.r-'rí “^J/SéñÓr'Hafmuy fióble y muy leal Vuestra villa de Illescas tiene el .há-nór-dé- presentarse: pór inedio de su comisión á L. R. P. de V¿ Mv* y…</t>
  </si>
  <si>
    <t>Fé</t>
  </si>
  <si>
    <t>…rrera: para la ae lq$. Velez á D. Juan Torrecilla de Robles: para la de Orgiva á D. josef Ruiz Manzano: para la de Huelva á D. Pedro Josef Moyano y Díaz :{ pára la de Valíadolid á D. Fé lix Gallego: para la de Tarifa á~D. Manuel González Pintp: para la de Moguer á D. Pascual Félix Pui; y para la de Ífernan-Nufiez i D. Julián An drés García. Para el corregimiento de Madrigal á D. Francisco Moreno: pa ra el de Ciudad-Real á D. Fermín Diez: par…</t>
  </si>
  <si>
    <t>Fe, Josef</t>
  </si>
  <si>
    <t>Josef Fe</t>
  </si>
  <si>
    <t>…del Corral de AJmaguer á D. Manuel Sotillos Montejo : |de Xerez de ios Caballeros i O. Josef Antonio Ramos Calderón: dé Villanueva de la Serena i D» Isidro Astudillo: de Martos á D. Josef Fe* lipe Alaminos y Ooton: de Almodovar del Campo:;¿. D.: Fernando María Barrionüevo: de Arjonai áD.Bemarde josef de Hcrvas^ deiS^iVíicefitedt D. Ramón Rodrtgúézr de íVebsco t ade iVIHaescusadeHaro iBíjoió An* tonio Mqrcjón :r deSocuéllamós.í&lt; R :CristdbalrBQZfy…</t>
  </si>
  <si>
    <t>Febrer, Manuel</t>
  </si>
  <si>
    <t>Manuel Febrer</t>
  </si>
  <si>
    <t>…escendientes de las dos alesprésado St. Lardizabal y á su hermano D. Manuel y á sus legítimos descendientes perpetuamente. &gt; S. M. sé hit dignado conceder al coronel de infantería D. Manuel Febrer dé‘iá Torre, teniente de'Rey dé la plaza de Alicante , su Real permiso paró poder usar la condecoración de la orden de la flor de Lis con que S, M. Criitianísima el rey de Francia Luis xvm se ha dignado honrarle en con sideración á sus servicios, constante y…</t>
  </si>
  <si>
    <t>Federico</t>
  </si>
  <si>
    <t>43* HOLANDA. Haya 2 y de Marx». £1 Rey ha marchado á Bruselas con ánimo de permanecer algún tiem po en las provincias meridionales del rey no. S. A. R. el príncipe Federico salid al mismo tiempo que el Rey. Este príncipe mandará las tropas de los Países- Baxos á las órdenes de su hermano el príncipe de Orange y que es el que en el dia manda el exército aliado entre el Mosa y el mar. Una muchedumbre prodigiosa de jóvenes de las p…</t>
  </si>
  <si>
    <t>Feijoo, Josef</t>
  </si>
  <si>
    <t>Josef Feijoo</t>
  </si>
  <si>
    <t>…ncial de Tuy: grado de Coronel de Infantería á D. Francisco Iraola, Comandante agregado en el de Infan tería de Málaga; D. Félix Alvarez Acevedo, Comandante agregado en el de Tuy; D. Josef Feijoo, en el de Lugo; D. Facundo Ibañez, en el de Voluntarios de León, y D. Josef Llórente, en el Provincial de Santiago: de Teniente Coronel á D. Pedro Verea y D. Josef Cólmelo, del mismo Regimiento Provincial de Santiago; D. Ramón Taboada, del Provincial de Betan…</t>
  </si>
  <si>
    <t>FEktiAÑDo</t>
  </si>
  <si>
    <t>…ón vqué concluyó con uó solemne Te T&gt;eum dando gracias al Todopol deroso por la restitución de nuestro Stó. Padre Pió vir á su silla suprema, y dé nüéstro legitimó y amado Mónarca^D. FEktiAÑDo vir al tronó dé sus ma yores i S. M. y Sermos. Sres. Infantes tuvieron la bondad de visitar á los pobres enfermos, consolándolos en ‘sus trabajos, oyendo benignamente suá clamores, y humillándose dé una mañera qué escitó patentemente la ternu ra del concurso…</t>
  </si>
  <si>
    <t>Feli</t>
  </si>
  <si>
    <t>…e este mes* ESPAÑA* Madrid $ de Octubre. El i.° de este mes se consagraron en la iglesia de la Merced calzada los limos. Sfcs. D. Antonio Carrillo Mayoral» Obispo de Plasencia,. y D. Feli pe de Montoya, Obispo de Teruel: fue consagrante el Ilmq. Sr. D. Grego rio Cerueío, Obispo de Oviedo; asistentes Jos limos. Sres. D. Blas Jacobo Beltran, Obispo dé Coria, y ’D. Manuel Benito Tabernero , Obispo de Solsona; y padrinos del primero el venerable d…</t>
  </si>
  <si>
    <t>…. Dionisio Soria y Girón, secretario del Excmo. Sr. D. Pedro Fernandez de Castro, conde de Lemos y Andrada, mar ques de Sarria y Villalba, comendador de la Zarza, de la cámara del Sr. D. Feli pe iii, Rey de Castilla y Aragón. Véndese en la librería de Calleja, calle de las Carretas. • ¿ &gt;, El Joven de 60 años*, comedia nueva en un acto, por D. F. E. Castrillon, re* presentada por primera vez en el teatro del Príncipe en 27 de Agosto del presen te…</t>
  </si>
  <si>
    <t>Felipe</t>
  </si>
  <si>
    <t>368</t>
  </si>
  <si>
    <t>…tario de Estado y del despa cho universal de Indias, le dirigió un breve discurso, en que después de dar á S. M. una idea dei origen y objeto de este Real establecimiento desde el Sr. D. Felipe v que lo proyectó, y de los obstáculos que han puesto 'para su prosperidad las guerras anteriores, y los estragos sin cuento que traxo la pérfida invasión de Bonaparte, continuó dicíéndole en substancia: „No es noy dia de renovar acerbos sentimientos. Desde l…</t>
  </si>
  <si>
    <t>…nicamente por ahora de esta regla general á los em picados del Real Patrimonio que por ordenanza disfruten habitación, y á Doña Cristina Muñoz, Ama de pecho que fue del Sr Infante Don Felipe; quedando derogadas las demas órdenes en cuya virtud la hayan gozado los Empleados y Oficinas de Correos, Real Hacienda, Exército, Crédito pú blico, y qua esquiera otras; á cuyo fin, y para que se lleve á efecto esta soberana resolución , dispondrá V. E. faci…</t>
  </si>
  <si>
    <t>…Real mano, habiéndole arengado antes el primero en los términos siguientes: „ Señor: los estudios Reales, que V. M. mantiene en su corte para 1&amp; pública enseñanza, fundados por el Sr. D. Felipe iv, restablecidos y dota dos con magnificencia Real por el Sr. D. Cárlos ni, honrados y favoreci dos últimamente por V. M. en persona con una dignación que nunca hu bieran sabido merecer, y que solo es debida á la grandeza del ánimo Real y generoso de "V. M.,…</t>
  </si>
  <si>
    <t>…ós, calle de Atocha, frente á los Gremios, y de Trevilla en la Puer ta del Sol. Conservación de monarquías y discursos políticos sobre la gran consulta que el consejo hizo, al Rey D. Felipe /ni: su autor el Lie. Pedro Fernandez Navarrete: quinta edición: un tomo en 4.0 á n rs; éñ pasta* = Los siete Sacramentos según los administra la santa Iglesia católica, apostólica romana, en castellano: -explica ción de sus efectos, dé las más principales ce…</t>
  </si>
  <si>
    <t>…olo benemérito servidor de la na ción y del Rey ,y suplicando en nombre-de aquel vecindario y ayuntamien to que en la confirmación de los privilegios que goza desde el reinado del Sr. D. Felipe 11 se insertase esta esposicion. Y S. M., justamente penetrado de la lealtad y patriotismo de aquellos naturales, se ha servido, por decreto de</t>
  </si>
  <si>
    <t>…de tener los mejores resultados á favor de la nación entera. Tendreislo entendido para su cumplimiento. = Está rubricado de la Realmano.s En Palacio á 29 de Setiembre de 1815. = A D. Felipe jjonzalez Vallejo.</t>
  </si>
  <si>
    <t>Felipe, Francisco</t>
  </si>
  <si>
    <t>Francisco Felipe</t>
  </si>
  <si>
    <t>…mo consejo de Hacienda, y como encargado por S. é^la. dirección y gobierno de los estados secuestrados por muerte de la ulti-S ida. señora duquesa de Alba, se ha servido nombrar a D. Francisco Felipe íorres para servir el curato de la iglesia parroquial de la villa de Cervera, én;el estado de Óropesa * vacante por promoción de D. Manuel Santos Lo pe* al del Jugar de Collado de Contrerás, en el obispado de Avila. . . * i i___ ——*----- , 1.,¡______ _______…</t>
  </si>
  <si>
    <t>Felipe, Josef</t>
  </si>
  <si>
    <t>Josef Felipe</t>
  </si>
  <si>
    <t>…, se babiadígnadó retolvería erección dedicha cá» ledra, siendo su Real voluntad que desde luego procediese la sociedad á su establecimiento , poniéndola al cuidado de los socios D. Josef Felipe dé Olive y D. Antonio Osteret y Nano» ■.* En seguida el Excmo. Sr. deque de Hija*, director de la sociedad , leyó un breve -pero elocuente discurso , manifestando que no era nueva la cicncúa. económica e» España. Que en ésta parte, coma en otras .mochas ríos…</t>
  </si>
  <si>
    <t>Félix</t>
  </si>
  <si>
    <t>…venir aquélla á esta corte después de la batalla de Bailen, acudirá á ¿asa de D. Félix Lázaro y Angúix, que vive calle de los Negros, núm. 32 ; ó des de donde ¿sté avisará á dicho D. Félix de su paradero. ' Se desea saber de Julián Pimentel y López, sargento segundo del regimiento de caballería de Santiago, que era en Abril de 1810 cuando salió de Cuenca incorpo rado'con Otros para: Valencia, desde cuya época no ha sabido su madre de él; la per…</t>
  </si>
  <si>
    <t>Femando</t>
  </si>
  <si>
    <t>…; para la del partido de Cambados á D. Ramón An tonio de- Galarveta; para la del partido de Villamea de Laza á D: Josef Alonso y Granja ; para lá. del partido de Baños de Moigas á D. Femando</t>
  </si>
  <si>
    <t>Fer</t>
  </si>
  <si>
    <t>…y á la estadística. ESPAÑA. Guernica 27 de Febrero. El señorío de Vizcaya, reunido en sus juntas generales dé Guernica en el mes de Setiembre último, proclamó á su muy amado Rey y Señor D. Fer nando vil con la magnificencia y ostentación que acostumbra, manifestando el júbilo que rey naba en los corazones de sus habitantes por su restitución al trono de España con las mas vivas demostraciones, haciéndole resonar en el momento mismo que en Guernica…</t>
  </si>
  <si>
    <t>…EI Sr. marques de Villa- alegre 160 rs. al qne manifieste tener mayor número de morales ó moreras plantadas en el término de esta ciudad , con tal qne excedan de 100 pies. £1 Sr. :D. Fer nando Carvia de Torrevedrá,:del consejo de S. M. y su oidor en esta Real chancilleria , 3 ¿o rs¿. al qne présente nn retrato del Rey nuestro Señor mas conforme á su original en tamaño del natural; y siendo la obra-digna del premio , satisfará ademas todo su v…</t>
  </si>
  <si>
    <t>…or de los considerables empréstitos y do nativos que por efecto de decidido patriotismo y de respetuoso amor á su Real persona hizo en las circunstancias mas apuradas de la guerra D. Fer nando Marín y Viedma , vecino de la villa de Mancha Real ea la provin cia de Jaén, que todos ellos ascienden á 151914 rs. vn., ademas de 68 ca misas, y en consideración igualmente á los deseos que le animan de aumen tar estos testimonios de su amor á la patri…</t>
  </si>
  <si>
    <t>…operar en combinación con ellas han salido últimamente de Cádiz a f 00 hombres mas en otras dos expediciones al man do del Mariscal de Campo D. Alexandro de Hore» y del Brigadier D. Fer nando Miyares» con dirección al istmo de Panamá y otros puntos» llevan do los cuerpos que las componen el armamento y correage necesario para aumentar su fuerza» ademas del correspondiente á 2© hombres de infante ría y 800 de caballería, que con el menage de…</t>
  </si>
  <si>
    <t>…l cura D. Pedro Eduardo Ernaez. Apéndice en contestación á otro apéndice que D. Francisco Amorós, soi-disant consejero'de estado español, zurció á la representación á S. M. el Rby D. Fer nando vii , fecha en París á i8 de Setiembre de 1814, é impresa en aquella ciudad en la imprenta de P. N. Rougerow en francés y castellano : por el Rmo. P. Mtro. FivManuel .Martínez¿ mercenario calzado, predicador de S. M. y de su consejo en ' el &lt;te la supre…</t>
  </si>
  <si>
    <t>…rso de gentes de todas clases, agolpa-* das por la£ ¿calles, y plazas de la capital, hacen resonar por todas partes re petidos ecos de viva el Rey ; viva nuestro amado Soberano el Sr. D. Fer nando vn; vivan-nuestros libertadores , y ofrecen ,á porfía sus nobles vecinos cuantiosos donativos para la subsistencia del egército. „Tales son, Señor, los sentimientos de Chile, tales los de aquel'valiente egército en que he tenido la gloria de servir á V.…</t>
  </si>
  <si>
    <t>Fer, Domingo</t>
  </si>
  <si>
    <t>Domingo Fer</t>
  </si>
  <si>
    <t>…mingo Puertas*, para la de Aillon á D. Josef Puerta Benito: para la del Carpió á D. Ignacio Gil de Sagredo: para la de Potes á D. Joaquín González Ramírez: para la de S. Esteban á D. Domingo Fer nandez : para la de Soto-Palacios á D. Juan González Bravo: para Gober nador Justicia mayor de Valde-Caballeros, y Juez privativo ae las Reales dehesas de los Guadalupes á D. Pedro León de la Plaza Segura: para la de Portillo á D. Garlos Covarrubias: para la…</t>
  </si>
  <si>
    <t>Fer, Francisco Domingo Antonio</t>
  </si>
  <si>
    <t>Francisco Domingo Antonio Fer</t>
  </si>
  <si>
    <t>706 metropolitana, y*el beneficio simple Je S. Simón'de Nande,*en el arzobispa do de Santiago, que.vacQ por muerte de D. Francisco Domingo Antonio Fer nandez Buituron, á D. Jacinto Sánchez de Ocaña, én atención á la renuncia fque ha hecho, y le ha .sido admitida, de la canongía que obtiene en la cate dral de Coria. = Atendiendo al notorio mérito y virtud de D. Simón López, presbítero de la congregación del…</t>
  </si>
  <si>
    <t>Fer, Gabriel</t>
  </si>
  <si>
    <t>Gabriel Fer</t>
  </si>
  <si>
    <t>…dignidad de tesorero de la colegiata de Rázaf vacante por fallecimiento de D, Antonio Mancebo, á D. Juan Antonio Ruiz de Mendoza, canónigo de la propia iglesia ; y esta canongía á D. Gabriel Fer nandez: la dignidad de chantre de ia misma, vacante por fallecimiento de D. Pedro Mellado , á D. Martin Miturovier, debiendo quedar sin efecto «I nombramiento hecho anteriormente pata el arciprestázgo de la catedral de Guadix. = El beneficio servidero de la v…</t>
  </si>
  <si>
    <t>Fer, Manuel</t>
  </si>
  <si>
    <t>Manuel Fer</t>
  </si>
  <si>
    <t>…os siglos apostólicos. _ ESPAÑA. Madrid 19 de Abril. El día 24 de Noviembre tuvieron el honor de felicitar á S. M. y besa* su Real mano á nombre del cabildo y clero de Lugo el Dr. D. Manuel Fer nandez Varela, dignidad de Prior de Acoba, y el Dr. D. Josef San pedro,</t>
  </si>
  <si>
    <t>Fer.nandez, Domingo</t>
  </si>
  <si>
    <t>Domingo Fer.nandez</t>
  </si>
  <si>
    <t>…o á o de Noviembre de 1815. rbYÓ ÉLRE^á; jpdtjj., Ju^rn Ignacio de Ay estarán;, Secretario del¿ B.Ey nuestro Señor , ía | hice escribir p9* su mandado» == El Duque del Infant3do. =D. Domingo Fer.nandez de¡ Campománes.=r D. Francisco Marín. D. Jadeo Gómez, ar D.¡Manuel 1 de Torres; se Registrada ,' Aquilino Escudero. .s= Teniente de Canciller mayor, Aquilino Escudero. ' k : i , ■ - .1; No habiéndose pres,en|ad^ cÚ. l^iDífeccion/g¿neíál de Rentas al remate</t>
  </si>
  <si>
    <t>Fermí</t>
  </si>
  <si>
    <t>…D» Francheo Menduiña, D. Julián Senessens^iD* Josef AraüjoyD. Antonio Rute, D. Manuel Santander, D. Josef Domínguez , D. Josef!Montero y D. Pedro .Trasierra , D. Frandsco Olmo:,* Don Fermí n Meneos^ «Dv VénturaiRiesco ,D. Josef Muñoz § D. Luis Gorrichátegui, B; Joaquín Arbizu, D. Francisco Bravo, D. Josef Ausejo, B. Ramón Espona, D. Fráncisco Victoríno, D. Pedro Lechuga, D. Manuel Aramburu, D. Ramón Vinader, D. Antonio Fons ,D. Lorenzo Alambra,…</t>
  </si>
  <si>
    <t>Fermín</t>
  </si>
  <si>
    <t>…o infantería de Buenos-Ay res, agregado á la expedi ción del Rio de la Plata: idem de teniente coronel á D. Basilio da Irigoyen, sargento mayor agregado al depósito de Ultramar, á D. Fermín de la Vega,</t>
  </si>
  <si>
    <t>Fernan</t>
  </si>
  <si>
    <t>…emne;función de’ gracias que endo mingo 5 de Junio consagró en su Real capilla -su apellan mayor D. Francisco Ca yetano Nogués, por el feliz regreso de nuestro a-dorado Monarca el Sr. D. Fernan do vir al trono de sus mayores, dixo el Dr. t). Manuel Fortea y Übeda, presbíte ro, examinador sinodal del obispado de Tortosa, coronista de Castellón de la Pla~«á, y predicador de la muy ilustre ciudad. Se hallara en la librería de González, ~ífente á los Gr…</t>
  </si>
  <si>
    <t>Fernán</t>
  </si>
  <si>
    <t>…Merino; para otra en el de infantería de Caxámarca ai teniente D. Juan Francisco de Arana i para tres tenencias en el propio regimiento á los subtenientes D. Josef Isidro Bonifaz, D. Fernán* do Loredo y D. Pedro Ürteaga: para una subtenéncia en el mismo cuerpo ai cadete D. Narciso de Boniiaz y Castañeda : para dos subtenencias de ban dera en el expresado regimiento ádos cadetes. D. Juan Josef García Perez y D. Manuel Pascual de la Rocha, y para…</t>
  </si>
  <si>
    <t>Deseoso un artista bien acreditado de esta capital de proporcionar i los españo les el poder llevar consigo el retrato de nuestro amado Soberano el Sr. D. Fernan do vil» acaba de.grabar en hueco uno, en el quai brillan á la par la exactitud del dibuxo y la delicadeza del grabado. Se hallarán medallas de él en oro y plata, aco modadas paracaxas y medallones y caxás con ellos en la platería de la plazuela del Angel, fre…</t>
  </si>
  <si>
    <t>Fernan, Antonio</t>
  </si>
  <si>
    <t>Antonio Fernan</t>
  </si>
  <si>
    <t>4^4 nio Perez, D. Fidel Provecho, D. Francisco Masías, D. Antonio Fernan dez, D. Valentín Roxo, D* Carlos Osorio y D. Josef Laso de la Vega, del de Voluntarios de León; D. Pedro Valcárcel, D. Manuel González Campillo, D. Juan Villapaderna, D. Juan Manuel Mancebo, D. Francis co Diez Sopeña, D. Josef Provedo, del de Voluntarios del…</t>
  </si>
  <si>
    <t>Fernan, Manuel</t>
  </si>
  <si>
    <t>Manuel Fernan</t>
  </si>
  <si>
    <t>…dias contados desde el 27 del pasado. El Sr. D. Julián de Iturralde, auditor de guerra de esta plaza y provincia, juez de la testamentaría y ocurrencia de .acreedores del Escoto. Sr. D. Manuel Fernan dez de Córdoba y Pimentel, duque que fue de Arion, teniendo presente el estado en que quedaron los autos al tiempo da la ocupación de ésta capital por los enemi gos, y haber ocurrido el fallecimiento del único representante de los acreedores, á instancia de u…</t>
  </si>
  <si>
    <t>Fernán-</t>
  </si>
  <si>
    <t>…rías se vende el manifiesto del arzobispo de Nicea D. Pedro Gravina, nuncio de S. S., sobre las ocurrencias de su estrañamíento, añadida á él la carta éterita de Orden de S. M. él Sr. D. Fernán-* do vii, llamándole á sus dominios; y contestación dé monseñor nuncio á S. M.: un tomo en 4.°: su precio 10 rs. Memorias sobre la reconquista de Zaragoza; conservación de la plaza y rendición de su castillo por las tropas españolas en el mes de Julio de 1813;…</t>
  </si>
  <si>
    <t>Fernandez, Aléxandro</t>
  </si>
  <si>
    <t>Aléxandro Fernandez</t>
  </si>
  <si>
    <t>…f CástiSlá á uóal canongía de la iglesia car fedraí de Goatemála, á D. Francisco Mcntoya; y para eí préstamo de San Medell, en el obispado de Segovia, á D. Josef Rodríguez Alonso. D. Aléxandro Fernandez, siendo gefe del extinguido esquadron de hú sares de, CiudadReal, tomá á los enemigos de 4 á 5© arrobas de plomo;,y aunque pudo entonces, según las órdenes que regían, disponer de¡ ellas no lo hizo, y las acaba de poner ahora á disposición de S. M.; quien se…</t>
  </si>
  <si>
    <t>Fernandez, Antonio Villa y</t>
  </si>
  <si>
    <t>Antonio Villa y Fernandez</t>
  </si>
  <si>
    <t>…a ciudad de Va lencia * que ha sido cuniplimentado por el Sr.. D. Joaquín Almazan, det'cdnséjo do S. M., teniente corregidor de esta villa, por la escribanía del número que exerco D. Antonio Villa y Fernandez, se ha mandado sacar á pública subasta para pago £ cierto acreedor una casa sita en esta corte, calle del Carmen, con accesorias á la de Preciados, núm. 2, manzana 377, que tiene de sitio 2i8i§ pies, y se halla tasada en 323595 rs. vn. La persona que quisiere…</t>
  </si>
  <si>
    <t>…para su satisfacción. Ante el Sr. D. Joaquín Almazan yGímeno, del consejo de S. M., teniente «flty'égidor de esta heroica villa, por la escribanía del número de ella que despacha D. Antonio Villa y Fernandez, se ha puesto demanda reclamando la propiedad de 47 vales Reales de 300 peses, creación de i.° de Mayo de 1808 , de la que se ha dado traslado á los sugetos á cuyo favor están endosados últimamente ; y hallándo se los 44 en él de D. Feliciano de Guizaburuaga,…</t>
  </si>
  <si>
    <t>Fernandez, Diego-Gü</t>
  </si>
  <si>
    <t>Diego-Gü Fernandez</t>
  </si>
  <si>
    <t>…db 1807 vivían también en esta corte, y á su instancia se recibió una infor mación con citación del procurador síndico general de esta villa, reconocida per éi, y aprobada por el Sr. D. Diego-Gü Fernandez, del consejo de S. M.ry enton ces alcalde de su Real; casa y corte, ante el escribano- de provincia D. Juan AptOf nro Díaz Noriega, con el fin.,de acreditar su legitimidad , quedando todo compror bado y sellado; pero no pudo efectuarse la remisión dé aquel do…</t>
  </si>
  <si>
    <t>Fernandez, Domingo</t>
  </si>
  <si>
    <t>Domingo Fernandez</t>
  </si>
  <si>
    <t>…Castelló,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giier, D. Benito Romasanta , D. Mariano Gómez , D. Juan: Antonio Berdia, D. Josef A…</t>
  </si>
  <si>
    <t>Fernandez, Fermín</t>
  </si>
  <si>
    <t>Fermín Fernandez</t>
  </si>
  <si>
    <t>…el de $. Clemen te á D. Josef Matías Eguizabal: para el de Toro á D. Juan de Dios Alon so: para el de Medina del Campo á Di Manuel Josef Sánchez Fano: para la vara de Valladoh^J á D. Fermín Fernandez de la Cuesta: para la de Aguilar de Campoo i D. Juan Pedro Talasac: para la de Muía á D. Ignacio Fran-; cisco A yuso: para la de Baños dé Jaén á D. Antonio Llata Palacios; y pará la de Puente D. Gonzalo á D. Bérnardino de Peralta. &gt; ' , También se ha dignado…</t>
  </si>
  <si>
    <t>…á quien corresponda. Dios guarde á V. S. muchos años. Madrid 12 de Julio de 1815. S. M. se ha servido nombrar para tres plazas de alcaldes del crimen de Ja audiencia de Cataluña á D. Fermín Fernandez de la Cuenta, á D. Pablo Jover y Placies y á D. Josef María Cherif; y para la de fiscal del crimen jen comisión de-la iftisma audiencia á D/Ignacio María Higueras, catedrático •de leyes de partida de la universidad de Sevilla, y abogado del colegio de dicha c…</t>
  </si>
  <si>
    <t>…s, caballero de la Real y distinguida orden española deCárlos ni, decano del Real y supre mo consejo y cámara de S. M., str presidente, y de los ganaderos é individuos del concejo D. Fermín Fernandez de la Cuesta, D. Joaquín Perez , D. Balta sar Carrillo, D. Pedro Marcelino Blanco, D. Gregorio Moreno, D. Manuel Frutos , D. Cristóbal Hernández, D. Vicente Gil AIbert,L&gt;. Josef Ramírez y D.,Bernardo González Alvarez, su procurador general. Igualmente el 30 d…</t>
  </si>
  <si>
    <t>…e sus individuos para que cumplimentasen á S. M.; y AA. Sermasl, la que presentada en. ambas ocasiones por el limo. Sr. presidente, tuvo la honra de besar á S. M. su Real mano , y D. Fermín Fernandez de la Cuesta , uno de la comisión, manifestó á S. M. en uo elegante discurso la gratitud y reconocimiento eterno de todos los ganaderos del reino; S. M. y AA., bien penetrados del amor de sus ganaderos y utilidad de la Real cabaña, tan productiva para el rein…</t>
  </si>
  <si>
    <t>Fernandez, Francisco</t>
  </si>
  <si>
    <t>Francisco Fernandez</t>
  </si>
  <si>
    <t>…uerte de D. Antonio Tor res, á D. Julián de la Peña: para otro beneficio simple de Santa María de Atienza de ia ciudad de Huete, en el obispado de Cuenca, vacante por di misión de D. Francisco Fernandez, í D. Isidoro Salazar, con retención del de Adamuz en la diócesis de.Córdoba; y para el arciprestazgo de Madrid, vacante por dimisión de D. Jorge Miguel de Gordon, al referido D. Fran cisco Antonio Fernandez. Igualmente se ha servido nombrar S. M. para un ben…</t>
  </si>
  <si>
    <t>…tells y de Montaner: para el de Loxa á Don Juan Víctor Navarro: para el de Chinchilla á D. Juan María Ruano: para el de Marbella á D. Marcos Cachapero:. para la vara de Purchena á Don Francisco Fernandez: para la de Tobarra á D. Antonio Roca y Bayot: para la de Adra, Berja y Dalias á D. Ramón Rodríguez Vélaseos para la de Puerto Real á D. Joaquín Pardiñas de Soto: para la de Almería á Don Manuel Perez de los Ríos: para la de la villa de Haro á D. Antonio Guar…</t>
  </si>
  <si>
    <t>Fernandez, Francisco Gómez</t>
  </si>
  <si>
    <t>Francisco Gómez Fernandez</t>
  </si>
  <si>
    <t>…ias á D. Miguel Antonio Blanes, Oidor de la audiencia de Gali cia: parala de Sevilla á D. Torcuato Antonio Collado: para la fiscalía de lo civil de la misma audiencia de Sevilla á D. Francisco Gómez Fernandez, Fiscal de lo criminal ; y para esta resulta á D. Manuel Caballero. El inspector general de Milicias ha dado cuenta al Rey nuestro Señor de que para costear la bandera del regimiento provincial de Bujalance han en tregado á su coronel como» donativo voluntari…</t>
  </si>
  <si>
    <t>Fernandez, Francisco María</t>
  </si>
  <si>
    <t>Francisco María Fernandez</t>
  </si>
  <si>
    <t>…a* . . . ; Grádo de coronel al teniente: coronel D. Miguel Salinas , sargento mayo* del regimiento de caballería del Rey. 'Grados de teñicrites coróLtd.cs -^dasisargentos. mayores D. Francisco María Fernandez ,B. Garlos LanzaroteyDofli Miguel Sánchez Barriga, D. Antonio G o va otes, D. Antonio Saliquet,Don Joaquín Escamez, D. Josef García Aparicio, D. Domingo Orejón * D. Joa** quin Casasola, D. F rancisco Javier de Cia, D¿ Manuel de' la Cruz;, .Di Cárlos Viü&amp;padie…</t>
  </si>
  <si>
    <t>Fernandez, Francisco Zamora</t>
  </si>
  <si>
    <t>Francisco Zamora Fernandez</t>
  </si>
  <si>
    <t>…Mu ñoz Palomares, y el beneficio servidero de Villanueva del Arzobispo, va cante también por fallecimiento de D. Francisco Félix Cameros, todos en la expresada diócesis de Jaén, á D. Francisco Zamora Fernandez; y para la prestamera menor de Valdejudíos en la iglesia parroquial de Carrascosa del Campo, vacante por muerte de D. Manuel Peñuelo Polo, la que lo está asi mismo en la Villa de Barbalimpia por haber tallecido D. Julián Valiente, la de Armaüones que vacó por…</t>
  </si>
  <si>
    <t>Fernandez, Josef</t>
  </si>
  <si>
    <t>Josef Fernandez</t>
  </si>
  <si>
    <t>7X9 Josef Saavedra , D. Maimel del Barrio, D. Bartblómd Labrador, D. Raimun do Marín, D. Josef Fernandez de los Muros, D. Fernando Plaza, D. Isidro Cifuentes, O. Antonio Montesinos, D. Lorenzo García, D. Miguel1 Blanco* D. Francisco Sancha, D.-AntonioEstevezyD; Ildefonso Mansilla, D. Gre-f gOrio Pieoir, D. Cristóbal Bermejo ,D. Francisco López, D. Francisco Arah…</t>
  </si>
  <si>
    <t>Fernandez, Juan</t>
  </si>
  <si>
    <t>Juan Fernandez</t>
  </si>
  <si>
    <t>…D.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giier, D. Benito Romasanta , D. Mariano Gómez , D. Juan: Antonio Berdia, D. Josef Alonso , D. Pedro Cortés , D. Francisco Mareli, D. Francisco Doy…</t>
  </si>
  <si>
    <t>…o el modo de aplicar las sanguijuelas y ventosas; igualmente se «íspone el modo de curar los síntomas y accidentes que pueden seguirse de dicha operación: escrita y adicionada por D. Juan Fernandez dei Vaiie: un tomo en 8.°— Tratado teórico y práctico de las hernias en general, y de las estranguladas en par ticular: es original de D. Juan Fernandez del Valle , cirujano del número de los Reales hospitales General y Pasión: un tomo en 8.° Se hallarán en l…</t>
  </si>
  <si>
    <t>Fernandez, Juan Francisco</t>
  </si>
  <si>
    <t>Juan Francisco Fernandez</t>
  </si>
  <si>
    <t>…isco Javier Pávía, D: Josef León y Tamariz, T&gt;. Bernardo Brandem^ ■ Lbruoke y D. Manuel Ezquerra. Grado de comisarios de guerra á los oficiales primeros D. Juan Antonio* González, D. Juan Francisco Fernandez, Di Josef Manuel de Casas, Don* Miguel Perez de la Quintana , D. Nicolás Hernández, D. Salvador de Otero, D. Francisco Fernandez NavarreteD. Juan Manuel Maurat y D. Benignode Rodenas. .. Grado de comisario de guerra al oficial primero D. Juan del Pico. • „Jis…</t>
  </si>
  <si>
    <t>Fernandez, Juan Josef</t>
  </si>
  <si>
    <t>Juan Josef Fernandez</t>
  </si>
  <si>
    <t>Se cita á Francisco Torneros; de exercicio carretero, cu ya" vecindad y paradero se ignora; ante D. Juan Josef Fernandez, ayudante mayor} del tercer batallón de Reales Zapadores (que se halla en Alcalá de Henares}, y juez fiscal de la causa qu* se sigue contra varios individuos de; dicho, cuerpo, que están presos pc&gt;t;.la queja que dió el mismo carretero en la ciudad; de Ecijá…</t>
  </si>
  <si>
    <t>Fernandez, Manuel</t>
  </si>
  <si>
    <t>Manuel Fernandez</t>
  </si>
  <si>
    <t>…co , Cascos, D. Juan Tejadár, DvBasilioBayoni, D.Joaquin Dolz, D. Salvador Arnardo, D. An tonio Marcoletá, D, Josef Gáliano, D. Manuel Ayolo, D. Ignacio Cambil, D. Vicente. Dolz , D. Manuel Fernandez , D. Rafael Montemayor, D. Ga briel Villoría, D, Diego Latorre, D. Pedro Vidal, D. Antonio Rey, D. Pe dro Áhnabai, D. Manuel Lomar, D. Pablo Chamorro , :D, Josef Ckuñer. DvJosefGucrra, D. Juan Sevillano , H. Josef Fonseca, D. Sancho Estrada, ¡BJosefSoler , D.…</t>
  </si>
  <si>
    <t>Fernandez, Mariano Gil</t>
  </si>
  <si>
    <t>Mariano Gil Fernandez</t>
  </si>
  <si>
    <t>…de coro de la Real iglesia colegial de S. Ildefonso: para otra ración de la iglesia cole gial de Sancti Spiritus de la ciudad de Santiago * que resultará vacante por promoción de D. Mariano Gil Fernandez, ¿ D. Josef de Florez y García: para otra ración de la jglesia catedral de Avila, vacante por fallecimiento de D. Juan del Rey Negrilla, á D. Benito Gómez de Gayangos, cura propio de Canales, en la diócesis de Sígti^nza: para ©tra racion de la de</t>
  </si>
  <si>
    <t>Fernandez, Mariano Milla</t>
  </si>
  <si>
    <t>Mariano Milla Fernandez</t>
  </si>
  <si>
    <t>…onda lla nombrado S.M^ á D. Pedro Casillas y Ortega , relator de la sala del crimen de la áudiencis| de Sevilla: para la de Almansa á. D. Abdon Baena y Ramos: para la de Za mora á D. Mariano Milla Fernandez : para la.de Valderas á Di Ramón An gel de las Cuevas: para la de Huesear de Baza á D. Cristóbal Benitez Campion: parala de A race na á D. Félix Antonio Ratiios; y para la de Peñafiél á D. Isidro Preciado. Para el corregimiento de Tnrazona dé la Mancha á D. J…</t>
  </si>
  <si>
    <t>Fernandez, Mieuel de Vargas</t>
  </si>
  <si>
    <t>Mieuel de Vargas Fernandez</t>
  </si>
  <si>
    <t>…Beltráh,, Cáfróhfgo -péniéenckrió de la catedral de Ibiza: pára una canongía de la iglesia metropolitana de Sevilla, VáCante-pOr falleóimíento*de D. Francisco Vicente Venesas f á D. Mieuel de Vargas Fernandez, racio%féro&lt;:dé-4a^nismanigle^? {mnFtítNi"Baza, diócesis de Guadix, vacante por muerte de D. Luis Naryaez:, á P. Pedro Mar tínez Bellido1: para étra'Cahbñgía de la iglesia cólegiáf de Al faro, vacante por 'miuérté- ¿e! Ó. MáhnelpGáfées de - lois Fayos, á D. P…</t>
  </si>
  <si>
    <t>Fernandez, Patricio</t>
  </si>
  <si>
    <t>Patricio Fernandez</t>
  </si>
  <si>
    <t>…de Artille ría D. Vicente Zaragoza, D* Manuel Sánchez y D. Manuel Sarasa : al de Zapadores D. Manuel Calleja; á los del regimiento de infantería de Mallor ca D. Joaquín. Canseco, D. Patricio Fernandez, D. Josef Rodríguez de</t>
  </si>
  <si>
    <t>Fernandez, Simón</t>
  </si>
  <si>
    <t>Simón Fernandez</t>
  </si>
  <si>
    <t>…D. Andrés González, D. Josef Valcárcel, D. Ber nardo Amado, D. Manuel Martínez y D. Francisco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Francisco Sillero, D. Juan Sánchez, D. Alexandro Saez, D. Estéban Rub…</t>
  </si>
  <si>
    <t>Fernandez, Ventura</t>
  </si>
  <si>
    <t>Ventura Fernandez</t>
  </si>
  <si>
    <t>…Quintana, provincia de Rioja, que se ausentó de esta corte y cálle de Hortalezat Aúna. 10, donde vivía en el mes de Marzo del año de 1807, se le suplica1 lo avise en esta corte á D. Ventura Fernandez, del comercio, red de S. Luís, núm. 27, ó en dicho pueblo al cura D. Pedro Eduardo Ernaez. Apéndice en contestación á otro apéndice que D. Francisco Amorós, soi-disant consejero'de estado español, zurció á la representación á S. M. el Rby D. Fer nando vii , f…</t>
  </si>
  <si>
    <t>Fernandez, Victoriano</t>
  </si>
  <si>
    <t>Victoriano Fernandez</t>
  </si>
  <si>
    <t>…icha provincia. Siendo sus padres de mayor edad quieren formar el debido testamento, por lo que suplican á las personas que se pan si son vivos ó muertos lo avisen en esta corte á D. Victoriano Fernandez, ro pero en la calle Mayor , y en Albatéra á Josef García Bañuls» Reglamento de comandancias militares. Véndese á 6 rs. en el despacho de la imprenta Real. ,.L t,’, '« En Jas librerías de Gómez, calle de las Carretas, de Villaplazuela de Sto. Do mingo , de Am…</t>
  </si>
  <si>
    <t>Fernando</t>
  </si>
  <si>
    <t>…de Abril próximo. '.'•-.'■.‘v _ ESPAÑA. : 7'; ; - . Sevilla jo de Diciembre» ; r " ; c El dia^j de: Noviembre, aniversario de la gloriosa reconquista, de Sevi lla por el Sto. Rey D. Fernando: ni, la sociedad-patriótica de amigos del país de la misma celebró sus exámenes públicos en el saioh dé las casas de ciudad, como lo ha de costumbre, á que concurrió* un lucido é ilustrado* concurso de las primeras clases, deseoso de ver los adelantamientos d…</t>
  </si>
  <si>
    <t>13</t>
  </si>
  <si>
    <t>…ido, de Cuellai», han manifestado su verdadero patriotismo y amor al Soberano en una so lemne función de iglesia para dar tas gracias al Todopoderoso por la feliz restauración del Sr. D. Fernando vil, que Dios guarde , en el trono de las Españas. Celebraron una solemne misa cantada, en la qual pronunció un elo cuente discurso D. Andrés Gil, cura de la Moraleja; y habiendo cantado el Te D&lt;rum, y reservado el Señor, concluyeron con unas preces de difun…</t>
  </si>
  <si>
    <t>…e Ronda ’6© rs. vn. aí habilitado d^í regimiento de infantéría dé Ronda en remuneración de los buéñbs servictos?;que habla hecho en, defensa de la. religión, del Rey nuestro $eñór D. Fernando vii,y rde Jas.p^u}f,'¿3t$ que sus dignos gefés lo distribuyesen entre la tropa, según la mayor urgencia. Siendo muy conveniente que muestras'semejantes de patriotismo sean o** nocidas para que sirvan de estímulo á otros , y de satisfacción y gloria á los que…</t>
  </si>
  <si>
    <t>…n los anales :de&lt; las Ovaciones, tarttoque las tropas enemigas no ■se'dettiTreron eñ manifestar qüe &lt; la España seria dnconquista(? :p si pa*toda su extensioil se profesara al Rey D. Fernando un amor tan acrisolado como el de los burgaleses. A su partida fue proclamado de nuevo con las mas sencillas y enérgicas demostraciones de todos,los habitantes, y con la reverente súplica que el ilustre ayuntamiento rezeloso del pérfido Napoleón dirigió á . S…</t>
  </si>
  <si>
    <t>…de los- memorables y extraordinarios aeóntecirnien'íós ^de Zaragoza en esta ‘última tullía. Ultima^ mente, qitanio restituido al trono de sus mayores nuestro legítimo Sobera no el Sr. D. Fernando vn el Deseado, miraba ya cumplidas todas las ansias y deseos que la habían combatido durante tantos años de peligros y afanes, pasó á i-nej ?r vida t dexando en esta uri-eterno sentimiento á qüantos tuvie— ion el placer de conocerla , y Un exemplo de patrioti…</t>
  </si>
  <si>
    <t>…uevo el regocijo del inmenso Con curso, que no pudo contener las efusiones de su corazón gritando, aunque con el respeto debido á la santidad del templo, viva, nuestro Soberano el Sr. D. Fernando vm viva la nación española &gt;* y viva nuestra fiel pro* viñeta. : . ' (, . ; ■■ r ’ :■ r0 » Inmediatamente se publicó el bando con la solemnidad militar que cor* responde, mandando el Sr. G. G. G. S. obedecer el decreto, que fae de mera fórmula para lo jurídic…</t>
  </si>
  <si>
    <t>…a obra, y volvieron á dexaren el olvido en que había estado este esclarecido pen samiento. &lt; ' Estaba reservada su execocion para los dias del reynadode nuestro amadin Soberano el Sr. D. Fernando vn el deseado, que queriéndole señalar cod'acciones y providencias dignas de un Rey, que está persuadido que el mejor y mas grande dé Ibs Reyes es el que hace la tierra mas fecunda., á los dias de hallarse sentado en su trono, echando una mirada benéfica $9¡t…</t>
  </si>
  <si>
    <t>…parti cular. Y para que ademas lleguen á noticia de los interesados estas providen cias, se anuncian al publico para los efectos conducentes. ' Teniendo pendientes el Rey nuestro Señor D. Fernando vn (que Dio* guarde) varios pleytos en los Estados-Unidos contra diversos de aquéllos co merciantes que adeudan á la Real Hacienda crecidas sumas por derechos de expediciones realizadas en las colonias de S. M. en virtud de Reales per runos , resolvieron los…</t>
  </si>
  <si>
    <t>…a restaura ción de la escuela, que se verificará á Ja mayor brevedad. El honor que disfruta esta empresa de considerarse baxo los benéficos auspicios de nuestro adorado Monarca el Sr. D. Fernando vil (que Dios guarde) es la mas sólida base en que afianza sus ventajosos proyectos ;y sus alumnos, no menos que sus vocales, reconocidos á tan piadoso protector, bendicen con lágrimas de júbilo su precioso nombre, y no cesan de elevar sus votos al trono de l…</t>
  </si>
  <si>
    <t>…de la religión en dar nueva fuerza y. vigor a sus ordenanzas y decisiones: beneficio incompa rable y singular que no debió el santo Oficio ni á su fundador, protector y bienhechor D. Fernando el Católico , ni á sus augustos.sucesores. El vues tro. consejo no tiene voces» ni las hay en el vasto pais de la elocuencia, pa-</t>
  </si>
  <si>
    <t>…om pañía de Jesús, añadido con 130 preguntas con sus correspondientes respuestas por D. Juan Antonio de la Riva, canónigo de la santa iglesia de Cartagena: dedicado al Rey nuestro Señor D. Fernando vn, y reimpreso con superior permiso. Este catecismo no necesita mas recomendación que el haberse despachado mas de exemplares en varias impresiones que se han hecho en esta, Murcia y Cartagena. Se hallará en las librerías de Escribano y Barco, calle de las C…</t>
  </si>
  <si>
    <t>…la casa de su protector el Sr. D.‘Roque Delgado, dis puesto al intento, y adornado con elegancia» y en el qual se colocó baxo de un solio el retrato de. nuestro adorado Monarca el Sr. D. Fernando vir# verdadero parare de los niños» y de los huérfanos. y desvalidos. Asistieron ,‘¿ este acto .el clero eclesiástico » señores de justicia» la comunidad de San Francisco de dicha villa, géfes militares de ella» y un lucidísimo concurso de todos los mas princ…</t>
  </si>
  <si>
    <t>…sieren hacer pretensión á ella acudirán con sus memo riales al ayuntamiento de dicha villa hasta el gi del próximo mes de Marzo. Sermón que i la venida á España de su legítimo Rey D. Fernando vu, cauti vo por seis años enteros en Francia por ia tiranía de Napoleón, pronunció en la so lemne acción de gracias, que con tan plausible motivo, y luego que llegó tan im portante noticia, hizo celebrar en la santa iglesia catedral de Palencia el consejo de…</t>
  </si>
  <si>
    <t>…sef Nicolás Maniau y Torquemada.” y y.y ~.iv ;•? pe OMCSip. , &gt;{ JjR.eaí dédiila dé 3. 'Miy; Sédqréí delCmi^:1^il:vvf/¿i;1 c . :;.v v« y. i- s-zk í:í noibfifi id síj rtsjd ín.í;,, Don Fernando vu por la gracia de: Diosy Rev dé Gástüb^dé JbeOP *de Aragón , ¡&amp;c &amp;c. A los del ;mi .Consejo, Presiden tas.,. Regen tes &amp;c * Que, con motivo de haber ^dyertido.ei muCónsejólque no. habla uniformidad en ia extensión de las Provisiones que se despachaban par s…</t>
  </si>
  <si>
    <t>¿24 ARTICULO DE OFICIO, i JRe.il Cédula de S. M. y Señores del Consejo» Don Fernando vn por la gracia de Dios, Rey de Castilla , de León, de Aragón &amp;c. ¿ke. A los del mi Consejo, Presidentes, Regentes &amp;c., sabed: Que hallándose pendientes en las Audiencias y demas Tribunales de Justicia causas asi civí'es como criminales, y otras sentenciadas…</t>
  </si>
  <si>
    <t>…valor de las monedas, pesas y medidas mas usuales de Cas tilla &amp;c. Se hallará á real y medio en la librería de Gila, calle de las Carretas. , Retrato de nuestro muy amado Monarca D. Fernando vn, Rey de España y de las Indias, pintado por su pintor de cámara D. Vicente López 5 copiado por D. Antonio Guerrero, y grabado en medio pliego por D. Manuel Albuerne. Se vende en el almacén de estampas, calle Mayor, frente á la casa del conde deOñate, á 8 r…</t>
  </si>
  <si>
    <t>…o y mostraren en adelante en favor de la defensa y con servación de aquellos remotos pai es; teniendo presente al mismo tiempo el dignoexemplo de mi muy caro y augusto AbueloelSr. D. Fernando v, quien con motivo semejante fundó la Orden llamada del Arminio, para premiar á los que acreditaron so pureza y .lealtad en los disturbios de Ñapóles, como también que ninguna de las,subsistentes en la actualidad en España es aná loga ni adecuada al enunciad…</t>
  </si>
  <si>
    <t>…eneral de accionistas, con arreglo á su nueva Real cédula, el dia 30 de Marzo próximo. La junta fue agradablemente sorprehendida al presentarse en ella nuestro augusto Soberano el Señor D. Fernando vn,sin previo avisó,sin escolta alguna, y acompaña do de su capitán de guardias el Excmo. Sr. duque de Aiagon. S. M. tuvo la dignación de ocupar la silla del presidente; y este , que es el Excmo. Señor D. Miguel de Lardizabal y Uribe, como secretario de Estad…</t>
  </si>
  <si>
    <t>…as benigna aten ción , repitiendo las muestras mas satisfactorias de su Real clemencia. ARTICULO DE OFICIO. Se ha expedido la Real Cédula siguiente de S. M, y Señores del Consejo. Don Fernando vn por la gracia de Dios, Rey de Castilla, de León, de Aragón &amp;c. &amp;c. A los del mi Consejo, Presidentes, Regentes y Oido res &amp;c. &amp;c., sabed: Que por D. Tomas Moyano , mi Secretario de Estado y del Despacho de Gracia y Justicia, se comunicaron al mi Consejo co…</t>
  </si>
  <si>
    <t>…stas circunstancias ,ha merecido singular aprecio de S. M. y AA., y de un crecido número de subscriptores por la idea tan completa que da de toda la revolución hasta U entrada del Sr. D. Fernando vxt en Madrid , f por. estar escrita de manera que según el sabio censor.que la ha revisado, será útil al sencillo pueblo español, á los sabios y. militares, y i las demás clases amantes de nuestra oanfa, Fe , de nuestra patria y legítimo Soberano. Napoleón ó…</t>
  </si>
  <si>
    <t>…a, Infante de España, pintado por Don Vicente López, pintor de cámara de S. M., copiado por D. Antonio Guerrero, y grabado por D. Manuel Alrgre, de igual tamaño al del Rey nuestro Señor Don Fernando vrr ya publicado anteriormente. Ambos se venden en el almacén de estampas de la calle Mayor, fíente á la casa del conde de Oñate, á 8 rs. cada uno en negro y á 16 iluminado. . ». EN LA IMPRENTA REAL.</t>
  </si>
  <si>
    <t>…na. Se hallafá en la librería de Dávilá, calle de las Carretas. -¡.."í • :, ¡;r o ,Colección de las primeras poesías que ¡se han-publicado en¡ España eíx obsequia del Rky nuestro, Señor Fernando yi.i dcBorboííuesde su feliz entrada [y Tiene ¡a;en Valencia hasta el presente: ppr D. Agustín Bonajpas^^y pasero,.agerjta $9 los Real.es. consejos. Se,hallará n 3 re?. eniaíjl*rei;ía :4* Gjíá* retas. ^ " Colección de 12 estampas y una portada en ¿cuartilla d…</t>
  </si>
  <si>
    <t>…J Mayó. r; “£1 hijo del ministro duque de Serra Capriola salió de aquí ántes de áyét pava/Sicilia á llevar eh tratado ofensivo y defensivo del Austria con la corte de Palermo. El rey Fernando se obliga por este tratado á poner contra Mu rat 30© hombres en campaña, los cualesserári Wndados por el conde Nugent, quien sin embargo de’ esto conservará, su grado en el egército ' austríaco. • -Xas noticias de Italia son muy satisfactorias: Se icree que s…</t>
  </si>
  <si>
    <t>caj: algunt crittsjrioticias 3» sérvirín hacerlo í D.i Jpsef Nicolás TUero&gt;y? Selonf¡ avecindado, cnl^ciudaddeMurcia ide la parroquia: de, S.' Miguel ,rhób5j• [ D. Fernando/Mazcirra defe Castañeda , natural y yecino del valle, de Carnéelo, en la provincia de Cantabria, sentó plaza de soldado el año de 1811 en las inmeregimiento infantería de Sevilla en él jprimer batallón, segunda coriípañíá', que eri iá de Noviembre^ de 1812 ca…</t>
  </si>
  <si>
    <t>…y D. Francisco Cobos de la tercera. Sevilla 4 de Junio. El.Real cuerpo de maestranza de caballería de esta ciudad, en celebridad del día1 de su augusto Soberanp y hermano mayor el Sr. D. Fernando vii, que Dios guarde, egecutó en la tarde del 30 del pasado, y en su plaza de toros, pna función propia de su instituto: en la noche del mismo dia el marques de Grañina , conde de Gomara, su teniente, adornó é iluminó magníficamente las casas de su habitación…</t>
  </si>
  <si>
    <t>…ación jurí¡dica de los testigos oculares: con nn breve apéndice sobre jo que ocurrió i ias cua-, tro augustas víctimas qué quedaron én lá misma torré: dedicada al Rey nuestroScÜor D. Fernando vii por el presbítero I&gt;. Luis Fris Ducos, rector y administra* dor dé.I» Real iglesia-hospital de S.%ui¿ Rey de Francia: un tomo en 8.° dividi do en dós partes. Esta obra, qoe puede considerarse como luna continuación deí orígen de la révolucion fráncesá que…</t>
  </si>
  <si>
    <t>…llan , lo mismo que los puertos y arsenales de toda clase, á los egércitos de las potencias aliadas, al tiempo señalado en el articulo siguiente , tiara d«vqIvcrios á S. M= el Rey D. Fernando iy, escepto aquellos que antes de dicha época se Layan entregado ya. Las plazas de Gaeta, Pescara y Ancona que están bloqueadas por mar y tierra,.como no están en la línea de operaciones del egército dei mando del general én gefe Carrasco sa, declara este que…</t>
  </si>
  <si>
    <t>…"cuál el reine/,: fbltálézásarsenales ,ítropás y recursos íe entregan' eási sin escepeion á los aliados, para que estos las pongan á disposición del legitimó" soberano del país el Sr. D. Fernando iv.—.Después de las ventajas conse guidas por el general Nugent, de que hablé en mi último oficio, recibió el teniente de feld-mariscal Bianchi el 18 una carta del duque de' Gallo, pi diendo una conferencia para Comunicarle proposiciones dei mariscal Murat___…</t>
  </si>
  <si>
    <t>…te nien toaron el dé caballería D. Pedro Pablo Alvarez. Se halla rá en la librería de Hurtado , calle de las Carretas: su precio 14 rs. en'rústica. Retrato de nuestro Soberano el Sr. D. Fernando y ir., Rey de España y de las Indias, visto de frente, de. buen grabado. Se hallará en; la librería de Campo, eslíe de Alcalá , frente al Buen Suceso^ á 5 rs. vn. EN LA IMPRENTA REAIT '</t>
  </si>
  <si>
    <t>…monumentos de España: un tomo en 4.0—Cartas de Gonzalo Ayora, cronista de los Reyes Cató licos, é introductor de la táctica de las tropas de á pie en estos reinos, escritas al Rey D. Fernando desde el Roseilon en el año 1503*. un cuaderno en 8.°—.Elogio de Antonio de Lebrija, leído en junta pública de la misma academia: un cuaderno en 8.°.—Informe dado al consejo por la Real academia de la Historia sobre la dis ciplina eclesiástica antigua y moder…</t>
  </si>
  <si>
    <t>…e hallarán en la imprenta debDávila, ca lle dé Bárrioñuevo, núm. 25 , cuarto bajo, y én la de Sojo, calle de las,Carreras. ; S Xa Fernandiná: canción patriótica, qué alregreso del Sr. D. Fernando vir con,sagra la muy noblé y muy. leal ciudad de Guayana. Se hallará i real y medio en la libreríadeGila. calle de.las Carretas. ;r ',s ■ &gt; ; , ; &lt;.irr» TT Trrr &gt; ;j -; - Nota. En0 lágácéta del jueves ; 29 dé Ju nió próximo jasado, pág. 73 f, 4íiii 12 vbnfrel…</t>
  </si>
  <si>
    <t>…matriz de esta ciudad, supo la plausible noticia que comunicó-el coman&lt;dánte general de Panamá en carta particular de la llegada al trono de las Españas de su legítimo Soberano el Sr. D. Fernando vii „ dispuso i sn&amp;sea^ pensas que se diesen gracias á Dios por tan feliz acontecimiento * [yse pro porcionase á los habitantes de esta ciudad ám dia¡ de alegría y regocija. .*:Ai efecto la tarde del 29 de Julio del año próximo: pasado adornó fcon .el mas esq…</t>
  </si>
  <si>
    <t>Fernandó</t>
  </si>
  <si>
    <t>…' &gt; España. Orikuela 8 de Setiembre» La Real y pontificia universidad literaria de la ciudad de Orihuela » res tablecida por la'soberana bénéfictí^a dé nuestro Católico Monarca el Señor D. Fernandó vti empezará lá enseñanza pública de filosofía, teología', le yes y cánones el día i 8 ;de; Octubre próximo conforme á lo prevenido en ei plan general d¿ estudios , mandado observar por la Real cédula de 12 de Julio del año de 1807. A este efecto ha completad…</t>
  </si>
  <si>
    <t>…revistadel egército austríaco. S. M. no trae mas que un coche de comitiva.' ' L - ESPAÑA.. * Madrid 16 de Octubre. ~ ]*?1 14 de este mes , dia del feliz cumpleaños del Rey nuestro Señor Don Fernando vii , se vistió la corte de gala con uniforme, y hubo besamanos, ai que asistieron los grandes y mirtist$r&gt;s, embajadores extranjeros, los tribu nales ¿prelados., los i generales y oficiales de los egércitos de' mar y tierra que tuvieron ¡la honra de cumplime…</t>
  </si>
  <si>
    <t>…cuyo servicio será siempre gusto samente ocupado el exponente.” ARTICULO DE OFICIO. - En Febrero de 1810, luego que el violento usurpador del trono de nuestro augusto Soberano el Sr. D. Fernando vti invadid las Andalucías, y forma lizó el asedio de Cádiz, en donde acababa de buscar su asilo el gobierno es pañol ; el primer cuidado de este fue proporcionar un individuo, que sirvién dole de confidente, le avisase de las operaciones de los enemigosf par…</t>
  </si>
  <si>
    <t>…s tronos , dirigiéndose á esta capital; hombres, mugeres y niños cor rían por calles y plazas mezclando sus voces en el aire, gritando sin cesar ▼iva el Rey nuestro Señor, viva él Señor D. Fernando vii, viva la casa de Borbon. Llenos de respeto y amor para que otros pueblos imiten esta conducta ofrecen á V. M. por medio de esta vuestra diputación saludable, la cantidad de 321740 rs. con 44 mrs. vn.: parte de esta cantidad es de 13 vales reales perteneci…</t>
  </si>
  <si>
    <t>…de cámara de S. M., que se ha lla original en el convento de S. Pascual de Aranjuez. Se propuso no publi carlas hasta que se verificase el regreso al trono de nuestro amado Rey y Sr. D. Fernando vii. La compasión y sentimiento que le causó la entrada de los prisioneros hechos por los enemigos en la acción de Ocaña, le causó una pasión de ánimo, de cuyas resultas, retirado del trato de las gentes, y agravado el accidente de gota que padecía, le ocasio…</t>
  </si>
  <si>
    <t>…efecto esta mi benéfica determinación. r= Rubricado. de la Real mano. = Palacio á 17 de Diciembre de 1815. =5A D. Pedro Ceyallps.” ? Real cédula de S. ,M. y Señores del Consejo. \ D. Fernando vii por la gracia de Dios, Rey de Castilla, de León , de Aragón &amp;c. &amp;c. A los del mi Consejo, Presidentes;, Regentes &amp;c., sabed: Que en 21 de Noviembre próximo tuve á bien dirigir al Duque Presidente del mi Consejo el Real decreto siguiente: Habiendo ocurrido…</t>
  </si>
  <si>
    <t>…Targetas nuevas patrióticas siguiendo la colección á las ya anunciadas, á saber, caída y prisión de Gr doy en Aranjuez: renuncia de la corona por el Sr. D, Cár¡"los’iv en su hijo D. Fernando vii en 19 de Marzo de 1808: memoria fúnebre á las víctimas del dia Dos de Mayo de 1808 celebrada en él de 1814 en dicho diá: entrada triunfante en Madrid de nuestro Monarca en 13 de Mayo de 1814 de re greso de su cautiverio de Francia. __ Juntamente hay un gr…</t>
  </si>
  <si>
    <t>Fernando'Manuel</t>
  </si>
  <si>
    <t>…tracanongíádé (la - íglésia: Catedral dé Ciudad-Rodrigó j que 'resulta vacante por prófnocíoh &lt;dé -D. Miguel Uria á la abadía de Santa María de Jares en el obispado de Astorga , á D. Fernando'Manuel de la Concha, cura párroco del lugar de Só*bradillo én aquella diócesis: para k dignidad de maestreseuela dela ig!esí]aCíítedrál de; Güadixí vacante! pór! í muerte dé Di Antonio - Yegres $ áD. Pantaleótx Alvafez CÜenfúegéa ,-;átCipri;Stéde' k tbisnfa ¡iglesia…</t>
  </si>
  <si>
    <t>Fernando, Juan</t>
  </si>
  <si>
    <t>Juan Fernando</t>
  </si>
  <si>
    <t>…as antiguo, y maestro de ceremonias de la propia iglesia: para otro be neficio servidero de Cañete la Real, en el arzobispado de Sevilla, vacante por muerte de D; Julián Cobelo, á D. Juan Fernando de las Cuevas; y para las dos capellanías simples y unidas de las villas de Tor reloba ron y ViHásexmil, en el obispádó de Patencia, nombradas la primera de Arteaga, y la segunda de Romerino y Oreja, vacantes por muerte de D. Miguel Mar** tm dé lá Fuente, á D…</t>
  </si>
  <si>
    <t>Fernandocuyo</t>
  </si>
  <si>
    <t>…no faltase, testimonio expresivo de esta misma fidelidad en las mas remotas gene raciones. i. Había sido efectivamente proclamado de mil maneras en aquella ciudad nuestro adorado D. Fernandocuyo ^scenso al trpnp fue celebrado con un entusiasmo equivalente i la mas ,solié.rtíue -RrP-daífta¿ipfi., El ^moroso recibi miento de su Real Persona quando .se dirigía á la ciudad de Vitoria,apenas tendrá exemplo en los anales :de&lt; las Ovaciones, tarttoque las t…</t>
  </si>
  <si>
    <t>FernandoiFery</t>
  </si>
  <si>
    <t>…dicho D. Fernando Fery, á menos que el fallecimiento de sus padres, primos hermanos del di funto Descamps, hubiese acaecido posteriormente al de este. Los representan tes de dicho D. FernandoiFery, que según lo referido se crean con derecho á la sucesión del citado Descamps, quedan prevenidos para probar su filia ción ó parentesco en el espacio de dos meses á mas tardar, contados desde el dia de la inserción de este aviso en la gaceta. Concluido este t…</t>
  </si>
  <si>
    <t>FernfiaGrU, Josef</t>
  </si>
  <si>
    <t>Josef FernfiaGrU</t>
  </si>
  <si>
    <t>…circunstancias que; concurren en el Dr. D. Antonio García Caso, fue nombrado pata la^afzl* dé director y presidente ; y asimismo fuéróñ~nómbrad0s'aSéSí5r* pfltfter&lt;rel li cenciado D. Josef FernfiaGrU, ábógado del jlustre cóiegio de esta corte, y</t>
  </si>
  <si>
    <t>Ferradas, Salvador</t>
  </si>
  <si>
    <t>Salvador Ferradas</t>
  </si>
  <si>
    <t>…ombrarle su predicador honorario. f Habiéndose dignado él Rey nuestro Señor admitir de D. Josef Alvarez Lórénzaha , cura párroco &lt;3eÍ lugar de Oencia en la provincia de León, y de D. Salvador Ferradas ,'Cprrégidór electo de la Gran Canaria, los donati vos que bah hecho, aquél de 6450 rs. vn., importe de suministros hechos al exércitó, y este de 80212 , procedentes parte de lo mismo, y parte de sueldos vencidos, ha mandado S. M. que en su Real nombre se les…</t>
  </si>
  <si>
    <t>…ciudad de Granada ¿ D. Juan de Campos y Molina: para el de Hellin á D. Josef Angulo: para el de Plasencia á D. Francisco»Xaviét ViLlanueva:para el de la isla de la Gran Cana ria á D. Salvador Ferradas ^ para el de la isla de Tenerife y la Palma á Don Juan Bautista Persiva t para el de Córdoba á D. Joaquín Bernad y Vargas; y para el de Erija á D- Agustín Guaxardo Faxardo» Para el corregimiento de Gibraleon á D. Josef Barragan y Car bailar: para el de Rota y…</t>
  </si>
  <si>
    <t>Ferrard</t>
  </si>
  <si>
    <t>…uque de Daiberg, par devf Francia; el conde de Beurnonville , par de Francia; el mariscaljOudinot,:■ duque, de Reggloi». par.de, Francia; el conde Dessoles:, par de Francia * el l conde Ferrard, par.de» Francia; el conde Dupont, teniente! general * antiguo s ministro de Guerra el-abate Montesquieu * par de Francia * antiguo mitiistfrob de lo Interior; ei duque de.Feltre, par.-de Francia ;- antiguo:' ministro dell^b Guerra ; el conde de.ífeugnot* dic…</t>
  </si>
  <si>
    <t>Ferraz, Josef</t>
  </si>
  <si>
    <t>Josef Ferraz</t>
  </si>
  <si>
    <t>…ez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 Josef Arcos, Don Fermín Moza, DPAnjgel Villa, JL Florentino García., D. Rafael Alcalde, D, Ambrosi…</t>
  </si>
  <si>
    <t>Ferrer, Jorge</t>
  </si>
  <si>
    <t>Jorge Ferrer</t>
  </si>
  <si>
    <t>…lmonacid de Zorita á D. Antonio Fernando Briz: de Daymiel al honorario de la cámara de Comptos D. Juan Ramón de Ibarra: de Mérida á D. Joaquín María de Egui^uren: de Dos-Barrios á D. Jorge Ferrer: de Segura de la Sierra á D. Diego Crespo de León! de Porcuna á D. Josef Antonio de Oscoz y Recarte: de Totana y Aledo á D. Ignacio María de Funes y Ulloa; y para el corregimiento de Guadalcanal á D. Gaspar Armengol.</t>
  </si>
  <si>
    <t>…dos de propios. La persona que quisiere hacer pretensión á dicha plaza acudirá por sí ó por: su apoderado con memorial hasta el día 3ó:del corriente al presidente del ayuntamiento D. Jorge Ferrer, que dará instrucción de todo: el pueblo es de buen clima, saludable, buenas aguas, abundante de los principales comestibles, y tiene de habitantes de ambos sexos y todayedades mas de 2 © personas. Se halla vacante el partido de cirujano del lugar del Pedroso…</t>
  </si>
  <si>
    <t>Ferrer, Raymundo</t>
  </si>
  <si>
    <t>Raymundo Ferrer</t>
  </si>
  <si>
    <t>…co héróeS el 0ri Di Joaquín Poií, cura -párroco de ía ciudadéla, el Pr. Di -JtoaníGallifa, D. íosef Navarro, sargento de Soria, D. Juan Massana y D. Salvador Auiet: por. cl R¿ Pr; D. Raymundo Ferrer ¿ del oratorio de S. Felipe Neri de Barcelona. Se hallafá en la librería de Dávilá, calle de las Carretas. -¡.."í • :, ¡;r o ,Colección de las primeras poesías que ¡se han-publicado en¡ España eíx obsequia del Rky nuestro, Señor Fernando yi.i dcBorboííuesde s…</t>
  </si>
  <si>
    <t>Ferrero, Juan</t>
  </si>
  <si>
    <t>Juan Ferrero</t>
  </si>
  <si>
    <t>…a , D. Cenon López, 0. Bernabé Porián, y D. Josef Diaz, del primer Batallón de Ciudad-Rodrigo; á D. Antonio Echenique, D. Domin go García , D. Hénrique Arias, D. Vicente Xerez , y D. Juan Ferrero, Sargento mayor y Capitanes del segundo Batallón de Ciudad- Rodrigo; á 0. Patricio Iñiguez, D. Blas Carrasco, D. Josef Robledo, y D. Antonio Garrido, Capitanes dél tercer Batallón de la misma denominación, y á Don Francisco Huerta, Ayudante de la Plaza de Ciu…</t>
  </si>
  <si>
    <t>Ferri, Antonio</t>
  </si>
  <si>
    <t>Antonio Ferri</t>
  </si>
  <si>
    <t>…Ik Gttíerta: ,&lt;j Caballería^ de línea y ligera. Cf Grados de tenientes á los alféreces D. Pedro Cataneó y Negro, D. Ig nacio Tejeiro y Lastra, D. Josef Quintero, D. Josef Garcés, D. Antonio Ferri, D. Manuel Moreno, D&gt; Josef Funes, D. Ignacio Iturrigaray, D. Fran cisco Martos,: D. Francisco G^rces, ,D. Gonzalo Lobo , D. Josef Araujo, p. Josef Rovirat, D. Antonio Sierra , D, Josef María Lauquer, D. Josef Dá^ viía, ,D&lt;Antonio Alvare^, D, Joaquín Asensio,…</t>
  </si>
  <si>
    <t>Ferriz, Fermín Sánchez y</t>
  </si>
  <si>
    <t>Fermín Sánchez y Ferriz</t>
  </si>
  <si>
    <t>…ciud¿d de Valencia á D. Josef Fernandez Quevedo y D. Ignacio Guseme: para la de la ciudad de S. Felipe de Xátiva á D. Josef Muñoz de la Hinojosa : para la de la villa de Callera á D. Fermín Sánchez y Ferriz: Íaraabernasla dedela Valdignavilla de Alciraá D. Antonioá D. BlasMateo.Ar¿guete; y para la de la villa de Artículo de oficio comunicado por la primera secretaría de Estado. La experiencia continuada de los saludables efectos de varias aguas mi-* rerales con…</t>
  </si>
  <si>
    <t>Fery, Fernando</t>
  </si>
  <si>
    <t>Fernando Fery</t>
  </si>
  <si>
    <t>…a de Bruselas; el pueblo de su residencia ordinaria y de su familia era Barce lona tuvo, varios, hijos, y su esposa .según se cree era natural de Bruselas. Los hijos del espresaao D. Fernando Fery (que falleció años hace), siendo pri mos hermanos de dicho D. Miguel Descamps, tienen derecho á participar de la herencia de este; pero quedan escluidos los nietos de dicho D. Fernando Fery, á menos que el fallecimiento de sus padres, primos hermanos del di f…</t>
  </si>
  <si>
    <t>Feryj, Fernando</t>
  </si>
  <si>
    <t>Fernando Feryj</t>
  </si>
  <si>
    <t>…individualmente 6 por Cabezal. Lodos los parientes dél finado en grado preferente son conocidos, á escepcion dé aquellos que pueda haber en España. El difunto tenia un tío llamado D. Fernando Feryj milítaral servicio de España. Se cree que servia en el Real cüerpo de guardias de Corps con.grado de teniente coronel: en 1773 era capitán del regimiento infantería de Bruselas; el pueblo de su residencia ordinaria y de su familia era Barce lona tuvo, varios,…</t>
  </si>
  <si>
    <t>Fesch</t>
  </si>
  <si>
    <t>…Se han comunicado órdenes para que se establezca en Laon el. gran cuartel general de los egércitos; 16 que hace creer que no tardará én marchar el Emperador.__Madama Leticia y el cardenal Fesch lle garon el dia 2 á París._____________________________________________ - / Idem /2, ; Napoleón ha salido de aquí esta mañana á las tres y media. BAVIERA. ’ Munich jo de Mayo. ' ¿ * El dia 17 del corriente llegó á esta ciudad el Emperador de Rusia, que se al…</t>
  </si>
  <si>
    <t>…■ * •' 1 "•/ r'.‘ 1 , ■ , i 1 * » . &lt; .'i j ; .-‘il*.;,, &gt; J v .Muchas personas adictasáBo ñapar te parece quehantenjdoórden de sa lir de Francia: también se habla del arresto del cardenal Fesch y de¿nada?* ma Leticiií¡madre:de Napoleonj «,b ?•:; }. r-\ jnry-, r • Los; retratos de Noy y derDavoust han sido retirados de la sala de los mariscales &gt; donde permanece ¡todavía el de Murat. . ;-¿ u tElcido jlcl . corriente (hubo aquí eii la ; posada del Prí…</t>
  </si>
  <si>
    <t>…os. ; f • Se sabe que una parte del egército del Loira ha repisado este rio en Gos-j ne para dirigirse á Borgoña, y que ha sido atacado por los. austríacos. Ayer salió de París el cardenal Fesch con una escolta de caballería aliada. En una carta de Orleans del 19 se dice que; el 'cuartel general del egército francés esta todavía en Olivet. r . , ? Se han enviado órdenes á Mende para: que dejen libre al mariscal Soülti que había sido allí detenido, y…</t>
  </si>
  <si>
    <t>…de la Trimomlle cerca de Cosne. El resto de aquella parte del egcrcito francés que entró en la Auvernia manifiesta por el contrario los mayores de seos de someterse á Luis xvm. El cardenal Fesch, pasando á Bourg, celebró de pontifical ,y concluida la misa algunos sugetos que le acompañaron á su casa empezaron á gritar ¡ Viva el Emperador! El general austríaco que manda en esta ciudad hizo venir al maire, le reprendió severamente por no haber reprimid…</t>
  </si>
  <si>
    <t>Ntíin. 117. cuartos.] 1091 GACETA DE MADRID % DEL JUEVES 21 DE SETIEMBRE DE 181*. ITALIA. Roma 18 de Agosto. El cardenal Fesch y madama Leticia, su hermana, llegaron antes de ayer á esta ciudad. En la noche del 16 ai 17 salió de aquí una columna de tropas de 300 cazadores con dos piezas de campaña y un fuerte destacamento de dragones á las órdenes del coronel Bonfigli, dirigiéndose á…</t>
  </si>
  <si>
    <t>FfrKANnovu</t>
  </si>
  <si>
    <t>…recoja una pe queña herencia que le pertenece; pues de lo contrario, se dispondrá de ella conforme á derecho. ~ Diario del alma en presencia de su. Dios. Le: dedica al Rey nuestro Sr. D. FfrKANnovu. el Rmo. P. Fr. Ramón Manrique *, profeso del Real monasterio de San Lorenzo del Escorial, , predicador .dé¿...teólogo consultor v y examinador de la Ñurciatura fice,. Véndese, á &amp; rs. en pasta en, el despacho de la imprenta. Reai.Schalla vscántc la plaza de-…</t>
  </si>
  <si>
    <t>Fierro, Josef</t>
  </si>
  <si>
    <t>Josef Fierro</t>
  </si>
  <si>
    <t>…ficio servidero de la parroquial de Santa.María, ti tulada del Cordero, en la misma villa, y el préstamo de S. Miguel de Ber^ mui, vacantes en el obispado.de Segovia por muerte.de D. Josef Fierro, á D. Juan Pedrero Espinosa , con dimisión del beneficio que obtiene de Ta pióles en la diócesis de León: para una media ración de la iglesia catedral de Cuenca, vacante por haber obtenido D. Leandro Alvarez y Navarro el beneficio de la parroquia de S. Salvad…</t>
  </si>
  <si>
    <t>Figueroa, Josef de Mosquera y</t>
  </si>
  <si>
    <t>Josef de Mosquera y Figueroa</t>
  </si>
  <si>
    <t>…levaban el coronel i) Agustín Esparzg, teniente de rey de esta plaza y-gobernador interino, el referido alcaide mayor D. Pedro Josef Rovira, el sargento mayor graduado de teniente coronel D. Josef de Mosquera y Figueroa, y el teniente coronel graduado D. Cris tóbal Frucker y O-Donell, director de la escuela militar de cadetes; y ha biendo llegado á la iglesia se cantó con la mayor pompa el Te Demn, y en seguida se celebró una misa solemne con sermón; y concluida esta función…</t>
  </si>
  <si>
    <t>Figúeroa, Jósef Vázquez</t>
  </si>
  <si>
    <t>Jósef Vázquez Figúeroa</t>
  </si>
  <si>
    <t>…dante general que fue de las pro vincias íntérnásdeÑiíévá-España: D. Juan Manuel Goyeneche, mariscal de campo de los Reales éxércitos, y general en géfe que fue deí del alto Perú: D. Jósef Vázquez Figúeroa, ministro que fue de Marina: D. Juan María Villavicencioj teniente genéfál de marina , y ministro del consejo del Almirantazgo: D. Joaquín de la Pezuelá,-mariscal de campo de los Reales éxércitos, y general en gefe del dél alto Perú:’D. Josef de lá Cruz, mari…</t>
  </si>
  <si>
    <t>Filangieri</t>
  </si>
  <si>
    <t>…gran tren de artillería, mas de 80 carros de transporte, y 12 coches con caballeros boloñeses, que se dirigían precipitadamente á las Marcas. El dia antes había pasado por allí el general Filangieri, que iba herido, y la caxa militar escoltada con un cuerpo considerable de tropas. Se esperaba por mo mentos que pasase también de Imola para el mismo destino una división del exército napolitano. Florencia 17 de Abril. Un oficial que acaba de llegar de Bolon…</t>
  </si>
  <si>
    <t>Fingal</t>
  </si>
  <si>
    <t>…irige contra dos fragatas ame ricanas que cruzan en nuestras costas para interceptar los convoyes. El 17 del corriente celebraron una sesión los1'católicos de Irlanda en ca té del lord Fingal ¿ y á propuesta de Mr. O-Cónnors se • determinó que se renovasen sus ¡peticiones á la legislatura .para la revocación total de las leyes penales qué óprimeú y degradan á&lt; los.católico^ de Irlanda. - - Y., i Y . V 1 \ f; Í V'- ^ *í jPor: élmayío Rebesca, proce…</t>
  </si>
  <si>
    <t>Fingall</t>
  </si>
  <si>
    <t>…Estados-Unidos en Rusia, ha sido nombrado para residir con el mis mo carácter cerca de nuestra corte. El 12 del corriente se ¡untaron una porcipo de católicos romanos en ca ta del lord Fingall, en Dublin ¿ esta reuniontenia porobjetoeí decidir qué redacción se adoptaría para la petición que debía pretentarse al parlamento en favor de los católicos. Lord Viclleeñ y los señores Sheil, O-Gormán y Lube había cada nno preparado un modelo de petición que…</t>
  </si>
  <si>
    <t>Fino, Juan Reinador y</t>
  </si>
  <si>
    <t>Juan Reinador y Fino</t>
  </si>
  <si>
    <t>…üenza para. la reparación del cuartel 2003 rs. y 8¡ jnrs.r el.mismo para,costear seis cajas de guerra y dos cornetas con todo lo necesario 1460 rs. t eí presidente y alcalde mayor D. Juan Reinador y Fino 243 rs. y 22 mrs. : la villa de Pelegrina 20 rs.: la ,de Aragosa 10: la de Valdealmendras 20: la de Raides &amp; rs. y 16 mrs.: la Cabrera 20 rs. y 24 mrs.: la de Torremocha del Campo rs.: la"de Arcos 30: la de Ures 10: la dé La riba de Santiuste 24: la ae Checa…</t>
  </si>
  <si>
    <t>Fiscal</t>
  </si>
  <si>
    <t>…iento del actual Corregidor, en que se le concedieron todas las que se habían designado á uno de sus an tecesores en dicho año de 1792 ; y con vista de lo que sobre todo espuso el señor Fiscal, hizo el Consejo presente á S. M. su dictamen en consulta per sonal ; y conformándose con él, se ha servido declarar que el Corregidor de Madrid debe subdelegar sus facultades, respectivas á teatros, en los Corregi dores ó Alcaldes mayores, conforme se mandó…</t>
  </si>
  <si>
    <t>…y de sus armas , y ¿el decoro dé la noble y respetable nación española* En la subdelegacion general de bienes mostrencos, vacantes y abintestatos se están siguieindo autos pór el Sr. Fiscal de ella con 1). Antonio Agu ado y Andrade, vecino, que fue de esta corte &gt; sobre denuncia propuesta por J). Éerna^dp Diego jMor^no Sauca de una casa, sita én ella, calle del Angel, num. 4 , marizana i 18, que,posee el citado D. Antonio Agudo: y por proyideíic…</t>
  </si>
  <si>
    <t>…es* Dios guarde á V ‘ muchos años. Madrid 28 de Julio dé 181?. Vista por el consejo la citada Real orden de 8 de Agosto con el egempíar "deja que va inserta , y lo expuesto por el Sr. Fiscal, ha acordado se" comu nique á la Saífl de Alcaldes, Chanciíierías y Aúdíenpias Reates, y á las Jus ticias y Ayuntamientos en la forma ordinaria. Madrid 16 de Octubre de 1815 . Don Manuel de Nava y Campománes, coronel del regimiento de infan te ría»-de volunta…</t>
  </si>
  <si>
    <t>…veredas : para co-rtar este desorden y los perjuicios progresivos que de •él pueden resultar, ;ha resuelto por decreto de 2,2 del corriente, y por punto general, habiendo,oido al Sr. Fiscal, que V. S. procure no molestar á los •pueblos con multitud de veredas, como le está encargado por repetidas ór denes , excusándolas en lo posible, usahdo.del medio 3e, los correos; y en los íque no haya esta proporción, esperando que se presenten qtros motivo…</t>
  </si>
  <si>
    <t>…orden lo participo á "WE* para.que eí Consejo disponga su cumplimiento, man dando se circule y publique esta soberana resojucion." ' Y visto p!or el Consejo , con lo qúe expuso el Señor Fiscal , sé ha servi do mandar se guardé y cumpla lo dispuesto, por,S. M. en la Real orden que queda inserta, la que se imprima y'circule en la forma que se previene. Lo que participo á V. de orden del Consejo para su inteligencia y cum plimiento en lo que le corres…</t>
  </si>
  <si>
    <t>Fita, Vicente</t>
  </si>
  <si>
    <t>Vicente Fita</t>
  </si>
  <si>
    <t>…Toledo. Lo que se hace shber al público para que pueda disfrutar dei beneficio que proporciona ia adquisición de este artículo , á un precio tan equitativo. • Por providencia dei Sr. D. Vicente Fita, del consejo de S. M., su alcalde de casa y corte, de 19 de Junio último, que entiende en los autos de intervención de la Real, alcaidía de corte7 qué está formada á pedimento de los.acreedores censua listas á la misma, se ha mandado que estos comparezcan en…</t>
  </si>
  <si>
    <t>FitzRoy-Somerset</t>
  </si>
  <si>
    <t>…común, y hasta ahora no ha tenido aquel cultivo á que puede llegar progresivamente. GRAN BRETAÑA. Londres 13 de Marzo. Esta mañana llegó aquí un correo de gabinete con pliegos del lord FitzRoy-Somerset, que salió de París el dia 10. También traxo una carta de S. M. Cristianísima para el Príncipe Regente. El embaxador de Francia ha tenido una larga conferencia con el minis-^ tro de Negocios extrangeros, en virtud de la qual hubo despees una junta de ministro…</t>
  </si>
  <si>
    <t>Flemingg, Jorge</t>
  </si>
  <si>
    <t>Jorge Flemingg</t>
  </si>
  <si>
    <t>…s milicianos urbanos , se ha dignado S. M. conceder grados de provinciales á los individuos de la citada milicia que ¿ continua ción se expresan: de Capitanes á D. Bernardo Seguy, D. Jorge Flemingg y D. Pedro Corifac¡o:de tenientes á D. Juan Clark y D. Juan O-Reylly; de subtenientes á D Gerónimo Alvarez y D. Joaquín Sánchez. En consideración á los buenos servicios de D. Luis Clonet, comandante del cuerpo reglado de voluntarios del Mississipi» se ha dignado S. M. pro mover…</t>
  </si>
  <si>
    <t>Floran, Antonio</t>
  </si>
  <si>
    <t>Antonio Floran</t>
  </si>
  <si>
    <t>…D. R.afael Sánchez Sáravia, D. Ramón Polo, D. Miguel Linares, D. Juan Larrua , D. .Tomas Montero ,'D. Antonio Enfy, D. Josef Aguilar, 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t>
  </si>
  <si>
    <t>Floren, Andrés</t>
  </si>
  <si>
    <t>Andrés Floren</t>
  </si>
  <si>
    <t>…Don Francisco Huerta, Ayudante de la Plaza de Ciudad Rodrigo: al grado de Capitán á los Tenientes D. Pablo Baza, del Real Cuerpo de Artillería, 0. Tomas Yarto, D. Santiago Otero, D. Andrés Floren, D. Juan Albelda, 0'. Manuel Michel, D. Francisco Arahgo, y D. Estéban López, del Regi miento de Mallorca; á D. Félix Llano, D. Gregorio Martin, D. Gabriel Olgado, D. Josef Mela, D. Felipe San Alberto, D. Pedro García de Várgas ,y D. Agustín Reviila, del de V…</t>
  </si>
  <si>
    <t>Flores, Gregorio</t>
  </si>
  <si>
    <t>Gregorio Flores</t>
  </si>
  <si>
    <t>…Lorenzo Valcarcel y D. Josef Sansiz, del de Lugo; D. Baltasar Valcárcel, del segundo de Asturias; Don Josef Martínez, del de Cazadores del Rey; D. Rainon Maurin, del de Zaragoza; D. Gregorio Flores, D. Juan Miguel Rodríguez, D. Eusebio Rodríguez, D. Francisco Masías, D. Pedro Rodríguez, D. Manuel Diez, D. Miguel María Robles, D. Pedro Maratino, D. Francisco Antonio Pe rez y D. Manuel Martínez, del de Voluntarios de León; D. Raymundo Provedo, D. Cipriano…</t>
  </si>
  <si>
    <t>Flores, Manuel</t>
  </si>
  <si>
    <t>Manuel Flores</t>
  </si>
  <si>
    <t>…ado como administrador judicial de una ¿ásá sita en la calle ancha del Avapies, número ra de la manzana 47; y no habien do podido comunicarse cierta providencia á Ü. Rafael P©veo, D. Manuel Flores jr</t>
  </si>
  <si>
    <t>Florezj, Xavier García</t>
  </si>
  <si>
    <t>Xavier García Florezj</t>
  </si>
  <si>
    <t>…es. El Rey se ha servido nombrar coronel del regimiento provincial de Lu go á D. Rodrigo Rodríguez de Campománes: para igual empleo del de Pontevedra al coronel vivo de infantería D. Xavier García Florezj y para el de teniente coronel de la quarta división de granaderos provinciales de Galicia al capitán de infantería D. Josef Caxide. El Rey nuestro Señor se ha servido nombrar coronel del regimiento pro vincial de Ronda á D. Antonio Aviles, teniente coronel ag…</t>
  </si>
  <si>
    <t>Florín, Rafael</t>
  </si>
  <si>
    <t>Rafael Florín</t>
  </si>
  <si>
    <t>…inciales D. Tomas de Aja y Pellón; Contador de la Renta del Taba? co D. Gabriel López; Contador de la Renta de Salinas D. Francisco Escar-. íariy Contádor. Ael, ÍÑoveno y E^cu^ado D. Rafael Florín , y Contador de Salitres D. Joaquín Ciudad Sánchez; y previniendo que por él quedan supri midas la Administración general, Juzgado y Tesorería del Tabaco y demas oficinas separadas de otra cualquiera Renta de las que por el indicado regla mento se incorporan…</t>
  </si>
  <si>
    <t>Foja, Ignacio</t>
  </si>
  <si>
    <t>Ignacio Foja</t>
  </si>
  <si>
    <t>…Lorenzo López, D. Francis co Cardeñes , D. Gerónimo ¿aborda , D,. Josef Rodríguez, IX Plácido Gúell, D. Joaquín González', IX Juan García-, '0; Ramón de Coba, D. Josef Mon tano,,? D. Ignacio Foja, rD. Antonio Marco , D. Ginés 'Rubio, D. Josef Ga vilanes , D Joaquín Aguijar, D. Santiago López Gascón, D. Ambrosio Mar tínez, ÉX C^ayemnp Ojezalde,; D.-Antonio Delgado, D. Gaspar Jover, Don NJarciso,Felipe, IX Josef Vilíavieencio, D. Cristóbal del Aguila, D…</t>
  </si>
  <si>
    <t>Folgueras, Pedro Manuel</t>
  </si>
  <si>
    <t>Pedro Manuel Folgueras</t>
  </si>
  <si>
    <t>…ntara, con los herederos de D. Josef Veladiez, sobre rescisión del con trato de dicha encomienda; y siendovpartes én los referidos autos el Lie. D. Juan Josef Goriiez Palenzuele , D. Pedro Manuel Folgueras, Doña Juana Rodríguez , viu da de D. Pedro Tegeiro, D. Gaspar Eugeni, D. Juan Ruiz Morales, D. Josef, D. Joaquín y D. Bernabé VcladieZ, como herederos del difunto D. Josef Veladiezj</t>
  </si>
  <si>
    <t>FoncUlas, Josef Angel</t>
  </si>
  <si>
    <t>Josef Angel FoncUlas</t>
  </si>
  <si>
    <t>…id 30 dé Eaero de 181 $• El Rey se ha servido nombrar para la dignidad de prior de la iglesia co legial regatar del santo sepulcro de la ciudad de Calatayud, vacante por muerte de D. Josef Angel FoncUlas» á D. Mariano Rodrigo Vatlabriga, dignidad secutar de limosnero de la misma iglesia: para los beneficios de Gumiel de Izan y Vill^escusa, vacantes por renuncía de D. Gregorio Arago nés «ambos en él obispado de Osma » á D. Josef Domínguez Hernández: para otro…</t>
  </si>
  <si>
    <t>Fons, Antonio</t>
  </si>
  <si>
    <t>Antonio Fons</t>
  </si>
  <si>
    <t>…z § D. Luis Gorrichátegui,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t>
  </si>
  <si>
    <t>Fonseca, Antonio Gaiepte y</t>
  </si>
  <si>
    <t>Antonio Gaiepte y Fonseca</t>
  </si>
  <si>
    <t>fejftz Testíturcion^ái trono en nombre de la ciudad de Álmuñecir D. Antonio Gaiepte y Fonseca, espitan retirado de infantería; el qual con este motivo dixo : ; v „ Señor: en nombre déla ciudad de Almoñecar, mi patria, tengo el honor de ponerme á L R. P.'de V. M. con el debido respeto, felicitán dole por su restitución al trono de Recaredo, de que lo h…</t>
  </si>
  <si>
    <t>Fontan, Manuel</t>
  </si>
  <si>
    <t>Manuel Fontan</t>
  </si>
  <si>
    <t>…iscina, canónigo de la iglesia metropolitana de Burgos: para otra abadía de la Trinidad, dignidad de la catedral de Oren se , vacante por fallecimiento de D. Manuel Yebra y Oca, á D. Manuel Fontan , cora párroco de aquella diócesis: para el arcedianato de Baronceli, dignidad de la misma iglesia , vacante por muerte de D. Manuel Blanco San tos, á D. Josef Uraga, canónigo cardenal de la misma catedral: para el de Litnia, dignidad de la propia iglesia, va…</t>
  </si>
  <si>
    <t>Fontanelli</t>
  </si>
  <si>
    <t>194</t>
  </si>
  <si>
    <t>…si este punto se tratará en junta general de todas las potencias ó en alguna particular , compuesta de los ministros de aquellas que tienen un ínteres di recto en este asunto. El general Fontanelli, antiguo ministro de Guerra del reyno de Italia, se halla todavía aqui; y el consejo de Guerra le consulta á menudo sobre la organización militar de las provincias italianas que está formando. ITALIA. Venecia 2$ de Enero. El gobernador de esta ciudad ha manif…</t>
  </si>
  <si>
    <t>Fontanes</t>
  </si>
  <si>
    <t>…a ; Mr. de la Luxerne, antiguo obispo de Langres, par de Francia-; el conde Garnier,~ par de Francia; el duque de Levy, par de Francia ; el conde Barbé-Marbois, par de Francia; el conde Fontanes, par de Francia; el conde de ChóiseulGouffier, par de Francia; el conde de Lally-Tollendal, par de Francia; el vizconde de Chateaubriant, par de Francia ; el barón Anglés; Mr. Bourienne, y el conde Alexis de Noailles. 6.° El barón de Vitrolles egercerá las fu…</t>
  </si>
  <si>
    <t>Fonte, Pedro Josef de</t>
  </si>
  <si>
    <t>Pedro Josef de Fonte</t>
  </si>
  <si>
    <t>…Indias á Don Manuel de la Bodega. Igualmente se lia servido S. M. nombrar para, el arzobispado de Méxicp, vacante por fallecimiento del limo. Sr. ¿. Francisco Xavier de Lizana, á D. Pedro Josef de Fonte, doctoral de la misma iglesia; y para el obispado de Valhdoüd de Mechoacaná D. Josef María Gómez Villaseñor, canónigo de Guadalaxara* Asimismo se.ha servido nombrar para la dignidad de maestrescuela de la iglesia metropolitana de Sevilla, vacante por promoció…</t>
  </si>
  <si>
    <t>Fornier, Francisco</t>
  </si>
  <si>
    <t>Francisco Fornier</t>
  </si>
  <si>
    <t>73^* . ... . D. Antonio Gómez,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'Aquiíinb Otolá ,(D&gt;í Josef Sálas-, ©. Antonio Bolu* fer, D. Ciprian…</t>
  </si>
  <si>
    <t>Forvides, Francisco</t>
  </si>
  <si>
    <t>Francisco Forvides</t>
  </si>
  <si>
    <t>…de la fecha, a instancia de losSres. Mar queses de Sta. Colonia se cita, llama i y. emplaza, por segundó términoáD.Bal tasar déla Iglesia, D. Joaquín Martínez, Doña María Gira! y D. Francisco Forvides, sus herederos ó sucesores, para que en el preciso término de 15 días, último y perentório, contado desde 14 del presente, comparezcan con poder bástante y por medio dé procurador en la audiencia de S. S. por la presénte escribanía, á deducir las razones qué…</t>
  </si>
  <si>
    <t>Forvjdes, Francisco</t>
  </si>
  <si>
    <t>Francisco Forvjdes</t>
  </si>
  <si>
    <t>…ribano de provincia y comisiones, i instancia de los, señores Marqueses de Sta. Coloma se cita, llama y emplaza á D. Baltasar de la Igle sia , Joaquín Martinez, Doña Marta Gira! y D. Francisco Forvjdes, sus herede ros ó sucesores, para que en el preciso término de 20 dias, contados desdé el en' que se anuncie én los periódicos, comparezcan en el juzgado de su secretaria y es cribanía citada de provincia á deducir las acciones que les competan en la deman da…</t>
  </si>
  <si>
    <t>Fosch, Juan Gerardo</t>
  </si>
  <si>
    <t>Juan Gerardo Fosch</t>
  </si>
  <si>
    <t>…sef Mas mit ja, arcediano de Alpuente en la catedral de Segorve: la ca nongía de la colegiata de Sta. Ana en la misma ciudad dé Barcelona, vacante pot muerte de D. Ramón Besart, á D. Juan Gerardo Fosch. = En ia cate dral de.Mondoñedo una canongía, que vacó por muerte de D. Silvestre Ro dríguez, á D. Juan de Ceñal, cura de la parroquial de Sta. María de Pinera, diócesis de Oviedo; y la que obtuvo D. Manuel de la Fuente en la propia cate dral á D. Josef Anton…</t>
  </si>
  <si>
    <t>Fox, Manuel</t>
  </si>
  <si>
    <t>Manuel Fox</t>
  </si>
  <si>
    <t>…isádb » que ccntenia yámsWüestras de lfctr&amp;s^y‘poesías latinas y cistella'nasy'de-las quales recita ron algunas , por haberlo querido asi $. M., D. "Nicolás Muzquiz'y Aid un ate , D. Manuel Fox y D. Josef Mareoleta. i—-. Después íde esto S. M?. meiiifestó lo satis fecho, que qued aba su Real án i.mo del zelo -y laboriosidad; de- tes maestros, y dé la aplicación y adelantamiento de tes discípulos ;; y hábiértd.olo manifestado expresamente asiy y concedido á todosla disti…</t>
  </si>
  <si>
    <t>Fr</t>
  </si>
  <si>
    <t>…eforma que se anunciaba en España: su autor el M. R. P. Mtro. Fernando C.evallos, de ja religión de $. Ge rónimo, doctoral antes, quien la dirigió al P. confesor de S.’M. él limo. Sr. Don Fr. Joaquín de Osma, con el objeto de desvaratar por la mayó* parte Ja reforma proyectada en el consejo extraordinario. La dedica á la nación española, y la man da imprimir Fr. Andrés Vülageiiu, del orden de S. Francisco, predicador mayor de Vigo, y diíinidor ho…</t>
  </si>
  <si>
    <t>…del limo. Sr. D. Lorenzo Igual de Soria, á D. Antonio Car rillo Mayoral, deán y canónigo dé la iglesia catedral de Calahorra: para el de Pamplona, vacante por traslación del limo. Sr. D. Fr. Veremundo Arias al arzobispado de Valencia, á D. Joaquín Xavier Uriz, prior de la Real iglesia y monasterio colegial de nuestra Señora de Roncesvaíles : para el deanato de la iglesia catedral de Cádiz, vacante por fallecimiento de D. Fran cisco Caraza y Sous…</t>
  </si>
  <si>
    <t>…ario conciliar tridentino fue adonde se dirigieron principalmeíite sus mitas, y auxiliados en esta noble empresa por él zelo é ilustración de su nuevo y dignísimo prelado el limo. Sr. D. Fr. Lorenzo Maguéro, han tenido la dulce satisfacción de haber visto ya algunos felices resultados de sus desvelos. El dia 2 del corriente los seminaristas, de la clase de filosofía se presentaron á ses examinados, y después que dos de ellos sostuvieron los ar g…</t>
  </si>
  <si>
    <t>…ga á bien en consideración á lo dicho , y á sus dilata dos servicios, principalmente los contraídos aquí___ Plago presente igual mente á V. E. el zelo del R. Obispo de esta ciudad D. Fr. Manuel Redon do , el que, habiéndose comenzado á oir aquí el vivo fuego que se hacia eri Barranquilia desde el 19 del mencionado Abril, mandó tocar á rogativa en todas las iglesias, egecuíando otros actos religiosos para alcanzar del Dios de</t>
  </si>
  <si>
    <t>…cos. ESPAÑA. Madrid 2 y de Setiembre. - Et dia 17 rdé éste' ínés1 sé consá grarón én la iglesia de S. Frahciscb el Grande' los limos. Srés.1D. Gregorio Gemelb, obispo dé Oviedo; y Don Fr. Miguel Fernandez j del órdéñ dé S. Fraficiscoi , obispo in partibus dé Marcópolis, auxiliar y coadministradór de Quito. Flie consagrante él lima. Sr. D. Blas -Jacobo Beltrán i obispo de Ibizaj y electo de Coria: asistentes los limos. Sres. D. Antonio Joaquín…</t>
  </si>
  <si>
    <t>…á la nueva, id.: otra con su huerto, en Arbolete: otra num. u, calle S. Antón, Granada. Capellanía de Doña Ana Giménez Muñoz. Una casa núm. 4, calle las Cruces, id. Capellanía de D. Fr. Alonso, Bernardo de los Ríos. Una casa núm. 6, Tendidas, Sta. Paula,id. Capellanía de D. Cristóbal Plazas. Una casa, calle la Estación, Gabia la grande : 3 hazas de tierra,una de 20 marjales de riego puesta de olivos ; otra de 13 fanegas, pago de lá Alcantar…</t>
  </si>
  <si>
    <t>Frade, Matías</t>
  </si>
  <si>
    <t>Matías Frade</t>
  </si>
  <si>
    <t>…cedo, y D. Miguel González, del de Voluntarios de Avila; D. Francisco Herranz ,'D. Angel Díaz, y Don Vicente Tomes, del Provincial de Segovia; D. Pedro NuñeZ;, D. Manuel Calderón, D. Matías Frade, D.Francisco Antonio Ledesmá, y LF. Andrés .Muñoz, del primer Batallón de Ciudad-Rodrigo; D. Miguel Retámar, Don Juan Atienza, D. Isidoro Caballero* 0. Julián Avilé*, D¿! Juan Martin,</t>
  </si>
  <si>
    <t>Frahci</t>
  </si>
  <si>
    <t>…vref.'pÓrá • r ' ! ’?i -!\ 1 nel. que sévhállabá eiicargádó.He dicha cóntístoñi '' : f i* . s ■ :o-_ , v «.¡j'ívvrismirji:. ab uo::c!:ric'i .i ’ : ? El Rey se ha férvido nóméfár á D. Frahci^d’dl.r^^ií^p^ijlrff^^ la, vara de Alcalde mayor., segundo de la qiqdad de, &amp;rcéÍdna'*5l7p.jSjg¿»acio Barber para la alcaldía mayor de la baronía de Pólop; á £). Josef Jur^ gara la. de la viila-de Axpe.;~á. D.Josef, RipolLparala de-CieviJlente., -y-«á--Doa Sii…</t>
  </si>
  <si>
    <t>Fran</t>
  </si>
  <si>
    <t>…rar para la dignidad de maestrescuela de la iglesia metropolitana de Sevilla, vacante por promoción de-D. Juan Mi guel Perez Tafalla, al arcedianato titular de la misma iglesia, á D. Fran cisco Arjo,na, ministro del Consejo Real, conservándole las honras, distit^— ^.ciones. y preeminencias de tal consejera: para Ia canongía y dignidad de ajr«cediano.de \fillavicipsa, en la catedral de Oviedo , vacantes por promoción d$ D. Pedro AJyarez Caballe…</t>
  </si>
  <si>
    <t>…antes una diputación de la villa de Almadén» compuesta del coronel D. Pedro Hernando &gt; gobernador propietario Yie la mismas y snperintendente de sus Reales minas, y de ios señores D. Fran cisco Ramiro, vicario eclesiástico de Madrid, hijo de Almadén, y D, Ra món de Quintaoa ; y de ellos el primero dixo: ' „ Señor: vuestra villa de Almadén y Real establecimiento de minas,,que es la joya jnas preciosa de la’ corona de V. M., tiene la honra de fe…</t>
  </si>
  <si>
    <t>…I D, Mateo López Matijirrés: para otro be neficio de la ipisma parroquia de santa Bárbara de Ecija» en dicho arzobis pado de Seéipa» vacióte por muerte dé D;JúanFélix Gamarasa» á D. Fran</t>
  </si>
  <si>
    <t>…dez, í D. Isidoro Salazar, con retención del de Adamuz en la diócesis de.Córdoba; y para el arciprestazgo de Madrid, vacante por dimisión de D. Jorge Miguel de Gordon, al referido D. Fran cisco Antonio Fernandez. Igualmente se ha servido nombrar S. M. para un beneficio simple de Santa María del Campo, diócesis de Cuenca, vacante por muerte de Don Lucas Munguía, á D. Josef Antonio García Poyatos: para la prestamera de Villanueva de Alarcon» que…</t>
  </si>
  <si>
    <t>…res. Infantes D. Cárlos y D. Antonio. Concluida la función, al salir S. M. admitió á los cursantes seculares dé teología y filos o fia de aquellos estudios á besar so Real mano; y D. Fran cisco de Paula Garnier arengó en nombre de todos á S. M. en los siguien tes términos: „Augusto Señor: seis años de horrores y de una guerra la mas funesta para la religión y las ciencias alejaron de nuestros corazones la dulce alegría tan propia de nuestra ed…</t>
  </si>
  <si>
    <t>…general de .esta orden el Excmo. Sr. duque de S. Carlos: el Excmo. Sr. D. Francisco Xavier Castaños: el Excmo. Sr. Don francisco Xavier Venegas: el Excmo. Sr. D. Gaspar Vigodet; y D. Fran cisco Tadeo de Calomarde, oficial mayor más antiguo de la secretaría del despacho universal de Indias, secretario general de la orden con voto. También ha concedido el Rey cruces de primera clase en la misma Real orden.Americana á D.Tadeo Segundo Gómez, minis…</t>
  </si>
  <si>
    <t>…aquín Xavier Uriz, prior de la Real iglesia y monasterio colegial de nuestra Señora de Roncesvaíles : para el deanato de la iglesia catedral de Cádiz, vacante por fallecimiento de D. Fran cisco Caraza y Sousa, á D. Juan Josef Cordon, canónigo de Ia.de Guadalaxara de Indias: para la abadía de la iglesia colegial de Alfaro, diócesis de Tarazona, vacante por muerte de D. Bernardino de Aldama y Bustamante, á D. Martin Ramírez de la Piscina, canóni…</t>
  </si>
  <si>
    <t>…apilla , y quedando sin efecto la pensión de 4© rs. que S. M. se sirvió concederle sobre las mitras de la penínsulas para otra canongía de la misma iglesia, que vacó por muerte de D. Fran cisco Fernandez Mantilla, á D. Je sef Manuel Erroz, con dimisión del bene ficio curado que obtiene en la villa de Obanos, diócesis de Pamplona r y re tención de la capellanía de altar que sirve en dicha Real capilla: para otra de la iglesia catedral de Jaén,…</t>
  </si>
  <si>
    <t>…fallecimiento de D. Josef Subían á D. Tomas Escuer, párroco^rectór de Farlete en el arzo bispado de Zaragoza. ’ _ . , La canongía vacante en ía catedral de Tarazona por muerte de D. Fran cisco Castillon á D, Vicente C astil! oji y Torres. . . La canongía vacante en la catedral de Valladolid por fallecimiento de 0. Bernabé Aguasal i 0. Antonio Merino ;y Cortés, ^apellan del oratorio de S. Felipe Neri de la misma ciudad, y la canongía que. ha v…</t>
  </si>
  <si>
    <t>…a Sendéja, D. Andrés Tacón, P. Joaquín Ro dríguez de Ribera , D. Pedro Germán D. Josef de Torre Llobregat, D. An tonio Villavicencio , D. Mauricio Albert, D. Manuel Villavicencio, D. Fran cisco Fernandez dejos Senderos , D. Josef Saravia ,* D. Manuel Vigo, Don Gaspar Pineda, D. Josef Mozo, D. Juan de* la Cueva, D. Juan Delgado,: D. josef Febrer , D; Mariano Henarejos, D; Ciríaco Mella , D. Juan Sanjurjo, D. Ignacio Cuadrado,: D. Juan Aleson, D…</t>
  </si>
  <si>
    <t>…Real Persona habían hecho los naturales de aquella villa,i • - - - ■ -■ - ' - : t f ; f ^ ■ , ’ ■ : v . i , : &gt; , ’ El' mismo* dia-se presentaron también á S. M. por igual motivó D. Fran cisco Javier de Rábago, dignidad de capiscol jubilado de la santa iglesia de: Burgos , jy él intéfcdénte dé egéVciro D: Felipe Moñtes.y Rey; los cuales, des pués de ,haber cumplimentado á S. *M. en nombre de los eclesiásticos y jus ticia del valle de Polacion…</t>
  </si>
  <si>
    <t>…ra de la parroquial de S. Pedro de los Huertos, diócesis de León. = La dignidad de arcediano de Cuellar, vacante en la catedral de Segovia por fallecimiento de D. Miguel Alvarez,á D. Fran cisco Valle Roldan, ministro del tribunal de la Rota de la nunciatura apos tólica , con dimisión de la canongía que obtiene en la misma iglesia; y esta 'canongía á D. Juan García Beltran, cura párroco de la iglesia de S. Esteban de aquella ciudad: otra canong…</t>
  </si>
  <si>
    <t>…por los enemigos, y las talas hechas en el monte, que á pesar de su diligencia no pudo llegar á su destino hasta muy tarde. „ Debo mucho para laexecucion de este plan al teniente coronel D. Fran cisco de las Piedras, comandante de Tulancingo, por la exactitud y buena voluntad con que cumplió mis instrucciones , y me facilitó conocimientos del país, no habiéndole permitido sus dolencias acompañarme. El teniente coro nel Llórente me ha sido de mucha ut…</t>
  </si>
  <si>
    <t>…(D&gt;í Josef Sálas-, ©. Antonio Bolu* fer, D. Cipriano Castro ; D. Josef Tovar y D. Josef González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 D. Jose…</t>
  </si>
  <si>
    <t>…s alféreces D. Pedro Cataneó y Negro, D. Ig nacio Tejeiro y Lastra, D. Josef Quintero, D. Josef Garcés, D. Antonio Ferri, D. Manuel Moreno, D&gt; Josef Funes, D. Ignacio Iturrigaray, D. Fran cisco Martos,: D. Francisco G^rces, ,D. Gonzalo Lobo , D. Josef Araujo, p. Josef Rovirat, D. Antonio Sierra , D, Josef María Lauquer, D. Josef Dá^ viía, ,D&lt;Antonio Alvare^, D, Joaquín Asensio, D. Benito Ibañez, D. Anto nio Casbas j D. Francisco Botella, D. Jo…</t>
  </si>
  <si>
    <t>…amiento , y para ello ha señalado el dia ; yi del corriente á las 12 de su mañana en la casa del Escmó. Sr. conde de Fernán-Nuñeíe, plazuela del conde dé Barajas, dónde hfabita el Sr. D. Fran cisco Javier de Gchoa, decano dél supremo consejo dé las Ordenes, y pre sidente de dicha comisión: ét ¿fue quiera enterarse dél espediente del primer remate, plan de condiciones, y hacer alguna mejora, acudirá a D. Bartolomé Torrado, Secretario dé dicha junta…</t>
  </si>
  <si>
    <t>…hicieren si endo arregladas. Las memorias sobre la reconquista de Zaragoza, donde se evidencia, lo mucho que se equivocó el autor dé la comedía titulada Zaragoza reconquistada por D. Fran cisco Espoz y Mina, se halla de venta en Madrid en las librerías de Cifuéntes, ca lle de Preciados, y de Perez, calle de las Carretas, y en Zaragoza en la librería de Yague. EN LA IMPRENTA REAL,</t>
  </si>
  <si>
    <t>…-la Havana al Guarico, de Veracruz á la Havana, y de Alicante á diferentes puertos del Mediterráneo. En la guerra con Fran cia de 1793 mandó el navio S. Vicente de la escuadra del general D. Fran cisco Borja; hizo las campañas de las islas de Córcega y Cerdeña; se separó por orden de aquel de la misma escuadra, mandando una división compues ta del propio navio, del Intrépido, y fragatas Tetis y Ceresj y después de haber, dado caza en 2 de Agosto de 17…</t>
  </si>
  <si>
    <t>Fran, Luis</t>
  </si>
  <si>
    <t>Luis Fran</t>
  </si>
  <si>
    <t>…la de Calasparra á D. Josef Antonio Picazo: para la de Jumilla á D. Francisco Morales de los Ríos: para la de Velorado á D. Cosme Moreno y Mérida: para la de la villa del Prado á D. Luis Fran cisco Sanz Teresa: para la de Belmonte á D. Pedro Antonio Moraleja y Montalban: para la de Carcabuey á D. Juan Carlos Callaba: para la cíe Cartaya á D. Joaquín Fernandez Duran: para la de Mansilla de las Muías á D. Evaristo Linares: para la de Alcañices á D.…</t>
  </si>
  <si>
    <t>Fran, Vicente</t>
  </si>
  <si>
    <t>Vicente Fran</t>
  </si>
  <si>
    <t>…■la-Croixy'D. Joalquin Mozo, D. Tomas, Herrera y Cruzar» D.Francisco Vizcarrondo, D-Joaquiñ !de Castañeda» D. Juan Francisco Püi¿t D. Ramon Hcrrera yíCfüzat, D. Francisco Millau, D. Vicente Fran cisco1 de ¡Voz , Martin Francisco Triarte, D. Josef Sartorio, D. Diego Bu trón, D. Francisco Ciscar, D. Josef Mollinedo, D. Fermín Esterripa y D. Francisco de Paula Osorio. -Ascenso á capitanes de navio áTos de fragata D. Francisco Man¡on, Don Faustino Gnimii…</t>
  </si>
  <si>
    <t>Fran-</t>
  </si>
  <si>
    <t>…hallará en: la librería de Baylo, calle de las' Carretas., , /., ■ . •. k t 'i:&gt; :ü •: ..o' ■: ¡ia- ' •= Tratado de la educación de las hijas: escrito en francés por el limo. Sr; D. Fran- . cisco de Salignac de la Motte Fenelon, arzobispo de Cambray, y traducido al cas-, tellano por D. Remigio Asensio, presbítero: segunda edición. La utilidad dé esta traducción no solo se manifiesta por el mérito de la obra, bien conocida y aprecia da en toda…</t>
  </si>
  <si>
    <t>Fran-, Ignacio</t>
  </si>
  <si>
    <t>Ignacio Fran-</t>
  </si>
  <si>
    <t>…na del Campo á Di Manuel Josef Sánchez Fano: para la vara de Valladoh^J á D. Fermín Fernandez de la Cuesta: para la de Aguilar de Campoo i D. Juan Pedro Talasac: para la de Muía á D. Ignacio Fran-; cisco A yuso: para la de Baños dé Jaén á D. Antonio Llata Palacios; y pará la de Puente D. Gonzalo á D. Bérnardino de Peralta. &gt; ' , También se ha dignado S. M. nombrar para juez civil de la ciudad de , Cádiz á D. Teotiímo Escuderó, oidor de la audiencia de…</t>
  </si>
  <si>
    <t>Fran-t</t>
  </si>
  <si>
    <t>…ta D. Josef Carrizosa,y Riquélme- ; ^ Ascenso á tenientes de fragata A los alféreces de navio D. Josef Rodríguez, D. Francisco.; Guiral, D. Ignacio de Rojas, D¿ Antonio Garrapedo, D. Fran-t pisco Ruiz Caballero;, D. Juári. Villavrcencio, D. Alejandro Beyens, D. Vi-, pente Méndez-, ,D..Ántontp del- Corro, Di Antonio Roso, D. Juan Robion, I&gt;. Josef Car rabedo, D. Francisco: del Moyo, D. Josef del Rio, D. Domin go Monduiña , D. Manuel Diaz Herrera,…</t>
  </si>
  <si>
    <t>Franc, Ramón</t>
  </si>
  <si>
    <t>Ramón Franc</t>
  </si>
  <si>
    <t>…el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Cayetano Salcedo, Dw Andrés Nieto.-, B; Manuel Nifo, D. Juan Ltiis&gt; Astraudi yB*…</t>
  </si>
  <si>
    <t>Franceschetti</t>
  </si>
  <si>
    <t>…con dos peque ños buques á la costa de Pezzo, en la Calabria ulterior, donde desembarcó* inmediatamente con una comitiva de 30 personas, entre las cuales se halla ban el teniente general Franceschetti y el mariscal Nattali , quienes desde la costa se dirigieron tranquilamente á la plaza. Luego que llegaron á ella, Mu rat trató de excitar una sedición gritando al pueblo: Yo soy vuestro Rey Joaquín Murat, d quien debeis reconocer. ‘ Estas palabras fueron la…</t>
  </si>
  <si>
    <t>Francis</t>
  </si>
  <si>
    <t>…entín Roxo, D* Carlos Osorio y D. Josef Laso de la Vega, del de Voluntarios de León; D. Pedro Valcárcel, D. Manuel González Campillo, D. Juan Villapaderna, D. Juan Manuel Mancebo, D. Francis co Diez Sopeña, D. Josef Provedo, del de Voluntarios del Ribero; Don Gerónimo Roxo, del de Cazadores del Rey; D. Cesar Tournel, d¿l Real Cuerpo de Artillería , y D. Gerónimo Alvarez , del de Húsares extinguidos de León: de Teniente á D. Felipe Castro, D. Ramó…</t>
  </si>
  <si>
    <t>…en la librería de Hurtado, calle de las Carretas, y en el puesto de Hermoso en dicha calle, frente á la imprenta Real. Nota, r En la gaceta interior pág*» 499, lín. 18, donde dice D. Francis ca Caamoño y Pardo léase D, Joaquín Ca amaño. EN LA IMPRENTA REAL.</t>
  </si>
  <si>
    <t>…l Villa, JL Florentino García., D. Rafael Alcalde, D, Ambrosio Doz, D. Vicente Guisber, D. Mariano Rodríguez, D. Eusebio Gavilanes, D. Juan Polo, D. Josef Baeza, D; Josef Dávila , D. Francis co Frades., D* Josef Urbiña, D. Antoiiio Valdivieso, D. Juan Sánchez , Don Manuel Laso, D. Domingo Cepeda, D. Mariano Mayor&gt; D*5Juan Bastos,</t>
  </si>
  <si>
    <t>…o Navarro, D. Josef Faura, D. Juan Bengoechea, D. Ra fael Aleson, D. Santiago Mateos, D. Gregorio Mateo , D. Felipe Crespo, JuanAntonioRui?, 1^. ídigiiel Ibañez, D. Lorenzo López, D. Francis co Cardeñes , D. Gerónimo ¿aborda , D,. Josef Rodríguez, IX Plácido Gúell, D. Joaquín González', IX Juan García-, '0; Ramón de Coba, D. Josef Mon tano,,? D. Ignacio Foja, rD. Antonio Marco , D. Ginés 'Rubio, D. Josef Ga vilanes , D Joaquín Aguijar, D. Santiag…</t>
  </si>
  <si>
    <t>86</t>
  </si>
  <si>
    <t>…y agregadas de correos. Anocujeni ó alfabeto universal para todas las lenguas, conforme á los principios analíticos de la naturaleza, parte primera de la ortografía universal, por D. Francis co Mirambell y Giol, cura párroco de S. Vicente de la villa de Prast de Llusanés, corregimiento, de, Manresa. Él mérito de esta obra debe conocerse cuando se vea| que con los principios de este alfabeto se puede arreglar fácilmente el ^particular de cada naci…</t>
  </si>
  <si>
    <t>…cha ó Rioja es natural Don Francisco Vezares, que fue comerciante en el Perú, y murió en Lima en fines del siglo pasado. Las personas que tengan noticia de la, población del dicho D. Francis co, de sus hermanos; sobrinos ó parientes dentro del 'cuarto grado, lo avisarán en Madrid á D. Josef Antonio de Sta. María, que vive calle, de las Fuentes, núm.y, cuarto principal, par^ comunicarles asuntos de su ínteres. i Se halla vacante la plaza de ciruja…</t>
  </si>
  <si>
    <t>Francisco</t>
  </si>
  <si>
    <t>…imo. Sr. t&gt;. Antonio de Villafiueva, de! consejo y cámara de S. M. en el Peal y supremo de Castilla , juez privativo en virtud de Real órden para Ja de terminación del concurso de D. Francisco y D. Sebastian Nevares de Santoyo , se lia mandado fizar edictos refrendados de D. Juan Antonio Díaz Noriega , escriba* no de provincia y comisiones de la Real casa y corte de S. M., citando y empla zando á todos los acreedores que lo sean por razón de escribanías segregadas de la mayor de re…</t>
  </si>
  <si>
    <t>…as las contratadas por su augusto predecesor. Las tres lenguas están representadas por 300 profesos y por i® caballeros novicios. Idem 00. Habiéndose restablecido perfectamente el emperador Francisco de la in disposición que le hizo estar en cama» dio el 17 audiencia al duque de Wellington, embaxador de Inglaterra en la corte de Francia, y actualmente ministro en el congreso. - En el día se trata de fas indemnizaciones que de ben darse al rey de Dinamarca…</t>
  </si>
  <si>
    <t>…(os militares ó patriotas que hubieren muerto en defensa de la justa causa de la nación, ha cabido en suerte del primer extracto de la de éste dia á Doña María Martínez, hija del comandante D. Francisco* muerto en el campo del honor. La extracción siguiente se executaiá el 17 de AbriL próximo. ARTICULO DE OFICIO. Artículo comunicado vor la primera Secretaría de Estado* , Con fecha de 14 del corriente mes se remitió ai Consejo Real, de orden del Rby nuestro S…</t>
  </si>
  <si>
    <t>…o y desús sucesores el contribuir á la Rey na, mi querida Esposa, xon la suma;anual de ocho millones de reales, pagaderos por mesadas anti.cip2das. ; . y-•;.■■■■■ Hijo -el Infante D. Francisco de.Paula lo ha constituido 4.0 , Mí ama4o Dios en es taa kadignidad., y c.omo tal tiene el derecho de gozar de los ali mentos de que siémp'ré ban disfrutado su» Hermanos, sus Tíos y demas In fantes. No podiendo Yo! presumir que su amante Hermano quiera privar…</t>
  </si>
  <si>
    <t>…. irá á sus estados por Munich, Stuttgard, Carlsruhe, Francfort, Weimar, Berlín y Varsovia. Es regular que todos ios Soberanos que se encuentran aquí precedan á este Emperador. El emperador Francisco ha nombrado al príncipe de Hesse H'imburgo comandante general de su reyno de Italia. Se cree que S. M. I. condescen derá con el deseo de aquellos habitantes de ponerles un archiduque por virey. El príncipe de Hesse-Homburgo saldrá inmediatamente para Milán. A…</t>
  </si>
  <si>
    <t>…la de Sepulveda á D. Manuel FrutosPara ef corregimiento político* de la ciudad de Granada ¿ D. Juan de Campos y Molina: para el de Hellin á D. Josef Angulo: para el de Plasencia á D. Francisco»Xaviét ViLlanueva:para el de la isla de la Gran Cana ria á D. Salvador Ferradas ^ para el de la isla de Tenerife y la Palma á Don Juan Bautista Persiva t para el de Córdoba á D. Joaquín Bernad y Vargas; y para el de Erija á D- Agustín Guaxardo Faxardo» Para e…</t>
  </si>
  <si>
    <t>403</t>
  </si>
  <si>
    <t>…bieren muerto en defensa de la ju ta causa de la nación, ha cabido en suerte del primer extracto de la de este dia á Doña Rosa Hueso, hija del coronel y comandante de artille* fía D. Francisco, muerto en el campo del honor. La extracción siguiente se executará el Zl de Mayo próximo. ARTICULO DE OFICIO. El Rey nuestro Señor se ha servido nombrar coronel del regimiento provincial de Burgos al de infantería D. Joaquin González de Menchaca. En atención…</t>
  </si>
  <si>
    <t>…tenido contraor den , y se embarcarán para la Bélgica. Idem g. Escriben de Francfort con fecha de 21 de Marzo lo que sigue: ,, Se ase gura hoy que Murat ofrece todo su exército al emperador Francisco, con</t>
  </si>
  <si>
    <t>…el 0. Fermín Montano y al brigadier 0. Pedro Me lina: á coroneles; á los tenientes coroneles 0. Josef Martínez , 0. Juan Josef de León , gra duado de coronel, D. Francisco Lemaur, D. Francisco, Mendizábal y ;0on Anastasio Araogo. - .. "o ¿;' a'- ;.-b : . -.2 •••.. :*) iirj/- •/ ' ns , r :n\ ;-¡h ■:!;:) gr:. ¿ r ? ‘* v . '.. *" Por resoiucioB de 17 de Febrero último se felrvió cI Ret nuestro Señor* conceder los hnnorbs de ibtfendefttfe dtí próylWcKí…</t>
  </si>
  <si>
    <t>…á la justicia y ayuntamiento de la ex presada villa; baxo la inteligencia que se ha de proveer en todo ei mes de Mayo. Retratos á caballo del Excmo. Sr. D. Francisco Ballesteros, D. Francisco. Ro.yiraj D. Francisco Tomas de Longa y D. Josef Manso, en medio pliego. Se.halla rán con Jos nueve publicados anteriormente en el almacén de estampas* calle-M4yor, frente 4 la casa del conde de Ofiate, 4 8 rs. iluminados y 4 4 en negro. [[.. Nota, En Ja gace…</t>
  </si>
  <si>
    <t>…e atonta ¿quemo puede haber ni paz ni treguaron quien no respéta las prome sas hechas» y desprecia los tratados de los vencedores generosos. ,, Los beneficios que ha derramado :el emperador Francisco i en el ejér cito italiano, asi en los guerreros como en los ¡empleados, los cuidados pa ternales con que» sin miramiento á opiniones, políticas ó á la conducta pasada » él gobierno austnaco ha procurado en su {reintegración de Italia re unir todas Jas partes…</t>
  </si>
  <si>
    <t>…nistro He Real hacienda ‘de Menorca; á D. Manuel Oftiz, superintendente de la Real cása de moneda de esta corte; á D. Antonio López, ministro de hacienda mi litar de ésta plaza; á D. Francisco dé Iá Roca y Arredondo y D* Juan Jo sef. dé-Lesaca , contadores de la intéryencíon de la ^esorerja general ¿ y i Don Antonio Élola, intendente de la provincia de Murcia, i s n : Honores de intendente de provincia á Dv Isidro Velazquez, arquitecto mayor de S.…</t>
  </si>
  <si>
    <t>Franciscó</t>
  </si>
  <si>
    <t>…s intenciones de S. M. ■' ■ ■, ■ - ■■ ■ . i ■ ' • ■ . ■ • •. ■ ■ El Rey se ha servido nombrar para una canongía de la iglesia cafédraí dé Mondó nedp , vacante por fallecimiento de D. Franciscó dé Paula Serra no, a D. Diego'González Baqueriza , Con dimisión de la'canóngía.que ob-| tiene en la colegiata «dé la Coruna, en el arzobispado de Santiago; y para esta resulta á D. Francisco Aranda y Lisspn, con dimisión deí beneficio de Barriofalda que obtie…</t>
  </si>
  <si>
    <t>…uesadaí - - Pita gfado de teniente de navio al que lo era de fragata D. Josef Carrizosa,y Riquélme- ; ^ Ascenso á tenientes de fragata A los alféreces de navio D. Josef Rodríguez, D. Francisco.; Guiral, D. Ignacio de Rojas, D¿ Antonio Garrapedo, D. Fran-t pisco Ruiz Caballero;, D. Juári. Villavrcencio, D. Alejandro Beyens, D. Vi-, pente Méndez-, ,D..Ántontp del- Corro, Di Antonio Roso, D. Juan Robion, I&gt;. Josef Car rabedo, D. Francisco: del Moyo, D…</t>
  </si>
  <si>
    <t>…o tas esta, carta. Recibid. la; seguridad de mi sincera estimación &amp;c. Vienajode „Abril de 1815.= Alejandro" , AUSTRIA. ; Vierta tz de Mayo.. , Esta ya determinada la- partida del emperador Francisco para el egército, , v«nombradas ljts personas que h^ü de. acompañar .á ,S.XNi. I. El archiduque Kanerio queda con la dirección de todos los negocios durante la ausencia del .Emperador.../,; v. •: \- ' ' . ,. • . , r.t i: , ...« Todas lasoficinas de las admini…</t>
  </si>
  <si>
    <t>…es ó patriotas que hubieren muerto en defensa de la justa causa de la nación, ha cabido en suerte del primer estracto de la de este día á Doña María Teresa Toro, hija del teniente coronel D. Francisco, muerto en el campo del honor. La estraccion siguiente se egecutará el 17 de Julio próximo. ARTICULO DE OFICIO. * El Rey nuestro Señor se ha servido espedir el decreto siguiente: ,,Para que en el caso de que las actuales circunstancias de Europa obli guen por…</t>
  </si>
  <si>
    <t>…e de la plaza de Alcántara. = La dignidad de arcedia no de Borriol en la iglesia de Torfosa, vacante por dimisión de D. Santiago* Antonio Méndez, deán de la catedral de Solsona, á D. Francisco! Castañedo, canónigo de Jaén. = La canongía vacante en la catedrád de Jaén por trasla ción de D. Francisco Castañedo al arcedianato de Borriol en la de Tortosa, á D. Francisco Javier de Outon, médio-racionero de la iglesia de Sevilla: otra* canongía vacante e…</t>
  </si>
  <si>
    <t>…ército: del duque de Wellingtdnvi^L.íEI‘'íttismd día - se 'recibieron; noticias .-muy satisfactorias de Viena con tra todos los rumores que la malignidad se esmera en propagar. El emperador Francisco da diariamente pruebas de su constante é inalterable determinación de emplear tpdos sus medios en hácer la guerra por la seguridad de Europa: En un periódico de Brusélas se ha insertado el párrafo siguiente ; ,,EI es píritu dé los habitantes de' París inspira…</t>
  </si>
  <si>
    <t>…Gabriel del Rio, D. Juan Gutiérrez, D. Tornas de Codes, Di Josef Navarro; D. Juan Ruiz &gt; D. Salvador González, D. Rafael Solano, Di Josef; Majríaí Prieto , Q¿ Fráncisco Cervera &gt; D. Francisco , Cascos, D. Juan Tejadár, DvBasilioBayoni, D.Joaquin Dolz, D. Salvador Arnardo, D. An tonio Marcoletá, D, Josef Gáliano, D. Manuel Ayolo, D. Ignacio Cambil, D. Vicente. Dolz , D. Manuel Fernandez , D. Rafael Montemayor, D. Ga briel Villoría, D, Diego Latorre…</t>
  </si>
  <si>
    <t>…Canals,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giier, D. Benito Romasanta , D. Mariano Gómez , D. Juan: Antonio Berdia, D. Josef Alonso , D. Ped…</t>
  </si>
  <si>
    <t>…corte en 2 1 de Junio de 1814, que fue cumplimenta* do por el juzgado de esta capitanía general en 5 de Julio siguiente para que se pu siese en la gaceta, como se hizo llamando á D. Francisco y D. Antonio García Mayor de Londoño, á sus hijos y descendientes nombrados para suceder en el vín culo después de la muerte de Doña María de los Dolores García Mayor de Londo-* fío, ya difunta, para que acudiesen al referido juzgado y autos á deducir su derecho con ia debida justificación; y co…</t>
  </si>
  <si>
    <t>…?zo G,bert- .. 'JE'« Patencia...^" D. Marcelino de la Torre. £u) Bar vos y..;..:.... ©.¡Román ? Martínez Montaos. En jCatíiz.a¿¿.¿¿i"i-jDá Benita de la Piedrav £n Canarias........ D. Francisco.*María Herrera. -En Malaga........ D¿ Francisco Escovar. En Orense.... . D. Fernando Rey. zEn Lugo.............. D. Josef María Gayoso. r£n Santiago.i...... D. Manuel de la Riva Moreno. En la Coruñaí...... D. Felipe Elorz. En Valladolid..... D. Luis Francisco…</t>
  </si>
  <si>
    <t>…i • _ ’ . - • * .¡J ; : l-í . ' 1 , . » &gt; Jiíí • *'*■* *!» t."**, D. Tomas Diez Serrano.' -•* i \ J i. olit-i-i .&gt; i2i W , D¿ Joaquín Tutor* y Barzola. • &gt; i •En Bilbao........... D. Francisco :de la,Mata. ; tifa &gt;A Jil il» Zamora........... D. Manuel de Humara.* ¡hdA vb JET»* Salamanca..... D. Francisco de fZúñiga y ¿Barbosa** En Santander • M*** Señores Vial é hijo. En Cartagena..... D. Francisco Giivilles menor. E¡n Z+enta............. D. Carlos…</t>
  </si>
  <si>
    <t>…A. I. le puso en la mano una bolsa llena de ducados, diciendo: „Nada se le rehúsa al Emperador.” ESPAÑA. Barcelona 2j&gt; de Agosto. Bando mandado publicar por el Escmo. Sr. capitán general D. Francisco - Javier pástanos, general en gefe del egército de los Pirineos orientales, al entrar con las tropas de su mando en el territorio de Francia. No dudo que las valientes y honradas tropas que tengo el honor deman dar corresponderán á la confianza que merecen á…</t>
  </si>
  <si>
    <t>…muerto en defensa de la justa causa de la nación &gt; ha cabido en suerte del primer estracto de la de» este diá á Doña Ramona Hueso, hija del coronel y comandante de artille-1' ría D. Francisco , ;qiuerto en el campo del honor. Lá estraccion siguiente sé egecütará el diá ló de Octubtev ' • J</t>
  </si>
  <si>
    <t>1395</t>
  </si>
  <si>
    <t>…ilitares ó patriotas que hubieren muerto en defensa de la justa causa de la nación, ha cabido en suerte del primer extracto de la de este dia á Doña Tomasa Pascuala Muñoz, hija de D. Francisco, músico .de Carabineros Reales, muerto en el campo dei honor. La extracción siguiente se egecutará el dia 18 de Diciembre. • articuló de oficio. Por oficios que ha recibido el Sr. secretario de Estado y del Despacho; universal de la Guerra del gobernador de l…</t>
  </si>
  <si>
    <t>María, y en representación de «sta sus dos hijos D. Francisco y Doña Juana; y ha biendo presentado dócnmentos que-justifican la legítima fraternidad- de los nominar dos con' D. Jóséf Basurto, difunto,' han solicitado se les declare herederos abintestato del mismo, y en su vista S. S. ha tenido á: bien proveer el auto siguiente: ijCo…</t>
  </si>
  <si>
    <t>…tares o patriotas que Hubieren muerto en defensa de la justíf' catisa de la nacidri ,ha cabido en suerte del primer extracto dé la dé esté&gt;dia..!j!Doña María Jesusa Aleu, hija del sargento Francisco, muerto Én eKcampo del honor. - V7 . ■ t 7 - -a . ...i. ;v iií-i -.¿i .i . ji.' :: V’i; i. j * jr * ARTICULO« .1 , DE OFICIO.„ , JE V‘REir :‘niiéstro' Señor sé ha hervido expedir 'el déóreto siguiente •* ,,Mis continuos desvelos por enjugar las lágrimas de mi…</t>
  </si>
  <si>
    <t>Francisco'Fe</t>
  </si>
  <si>
    <t>. .. £¥» Hería dé Granada á D. Francisco'Fe rhatidez del Pino j D. Antonio de f« Parra y D. Joaquín Lorenzo Mózq; y para alcaldé del;crimen dé la misfma?á D. Salvador Antonio Fernandez y TorreV: pára Oidores; de la áudieñ. ciá de Sevilla á D . Josef Miér, D. Pédro Simo y D: Francisco Ola va rrieta ; y…</t>
  </si>
  <si>
    <t>Francisco'Velasco</t>
  </si>
  <si>
    <t>…el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 Sisto Fajardo, D. Ma-„ miel Fernandez Rey na, D. F raneisco Bonet, D. Josef María de Novoa, Don Miguel Mir, D. Antonio Cidron , D. S…</t>
  </si>
  <si>
    <t>Francisco, Di</t>
  </si>
  <si>
    <t>Di Francisco</t>
  </si>
  <si>
    <t>72 o - Pór ptóvidencia del Sr. Di Francisco .Alfonso de Tuero, del consejo de S. M., alcalde de su Real casa y corte, de 19 dél corriente, refrendada de mí el infrascri to &gt;T-Para pago de acreedores, se ha mándadq sacar á pública subasta por término de §0 dias ^contados desde esta fecha , una $a$a sita…</t>
  </si>
  <si>
    <t>Francisco, Juan</t>
  </si>
  <si>
    <t>Juan Francisco</t>
  </si>
  <si>
    <t>…s parará el perjuicio que haya lugar si no com pareciesen por sí ó persona que al efecto nombren, acreditándolo debidamente por la escribanía del número de D. Cristóbal de Vicuña. D. Juan Francisco de la Quintana, residente en el valle de Mena, provincia de Búrgos, avisa á D. Manuel Pórtela, que en el año de 1796 tiene noticia resi día en Cádiz, y á D. Andrés de Olave , maestre que fue de plata del navio de S. M* el Argonauta , para que en el término de…</t>
  </si>
  <si>
    <t>Fránciscp-Yarto</t>
  </si>
  <si>
    <t>…del Real Cuerpo de Artir!ería ; D. Agustín Vicente y D. Ramón de Alcalá, auxiliares dei mismo Cuerpo; D. Josef de Canga, agregado al de Zapadores; D. Josef Bena, 0. Manuel Hueso, D. Fránciscp-Yarto, D. Mariano Rosas,. D. Henrique Puga, y D. Carlos ViHarejo, del Regimiento de Mallorca; D. Ignacio Llánderas , D. Miguel Moretid, D. Gregorio del Pozo, D. Fabian de Lastra, 0. Ricardo Rey roso, Don Víctor Cabeza de Vaca, D. Casimiro Salcedo, y D. Miguel Gonzá…</t>
  </si>
  <si>
    <t>Franco, Agustin</t>
  </si>
  <si>
    <t>Agustin Franco</t>
  </si>
  <si>
    <t>…ado el mando, y el conde de la Limonada declararía, en nombre de su nuevo amo, que los haitianos estaban resueltos á perecer an tes que volver al yugo ignominioso de la Francia, y D. Agustin Franco no hubiera ganado en la mudanza; y asi fue muy imprudente el encargarse dé ir al Cabo, en donde era conocido por su adhesión al gobierno francés quando la parte española pertenecía á la Francia. Franco era natural de San-</t>
  </si>
  <si>
    <t>Francolí, Benítoo Miaría Moxó y</t>
  </si>
  <si>
    <t>Benítoo Miaría Moxó y Francolí</t>
  </si>
  <si>
    <t>…ipio, ó fin dé los disqinro»»?, para verificar su identidad : éstos podrán es cribirse en castellano, latinni, francés ó italiano. ‘ . , . . I .. Madrid 7 He Agosto. ,¡ - El limo. Sr. D. Benítoo Miaría Moxó y Francolí, arzobispo de Charcas, en la América meridional,, liiKgo que por un oficio del Sr. secretario de Gra-</t>
  </si>
  <si>
    <t>Frandsca</t>
  </si>
  <si>
    <t>…concesión.én los beneméritos sin tacha. Tendreisio entendido, y lo comunicareis á quienes corresponda para su cumpli miento. = Señalado de su Reai mano á ib de Abril de 9815. = A D. Frandsca* jBjdiesteroa.’* v r cr.h*-:..* •- ■'&gt;</t>
  </si>
  <si>
    <t>Frank</t>
  </si>
  <si>
    <t>…abeza ae puente de Arli, cerca de Conflans, que ocupaba con 3® hombres. Mientras el gene-jal sardo Dandesaine con sus tropas y las piamontesas ocupaba al enemigo por la derecha,el general Frank, con el valiente regimiento austríaco de Du bas , se apoderó, por asalto de la posición y de la cabeza de puente. La pér dida de este regimiento fue de 16 oficiales y 300 hombres , y la pérdida total en esta acción llegó á 1® hombres. Los piamonteses, qüe se…</t>
  </si>
  <si>
    <t>Frankiinton, Harrison-en</t>
  </si>
  <si>
    <t>Harrison-en Frankiinton</t>
  </si>
  <si>
    <t>…La gaceta del Scioto anuncia la salida del general M’Ether y del mayor Graham, dos de los comisarios nombrados para tratar con los indios del N. O.,; los cuales deben encontrar al general Harrison-en Frankiinton, y de allí, marchar á toda prisa al parage en donde han de desempeñar su comisión. ITALIA. Bolonia 17 de Setiembre* , El gobierno ha hecho detener tres coches de viageros que se dirigían en» posta á Toscana. Se cree que este arresto se ha egecutado á consecue…</t>
  </si>
  <si>
    <t>Frántmendorf-Wéinsberg, Josef de</t>
  </si>
  <si>
    <t>Josef de Frántmendorf-Wéinsberg</t>
  </si>
  <si>
    <t>…v ; f t f r .V AUSTRIA. :; ' * j,t -&gt;♦ - ‘'l, / ''i'V^íendpfdi t.......# . S. M. I. ha nombrado át Principé Rau niíz- Rie tberg embajador cercaJ de la porte de España j á tór. él conde Josef de Frántmendorf-Wéinsberg! enviado estraordinaríp y ministro plenipotenciario cerca de S. A. R. el gran Duque de‘Badén; y'&amp;'Mri él cobdé FerítaHdo^Marescalchi mrinisi'rd estraordinario y pknipotenciarip perca de la córté- del Du^üe dé Módena. 1 &gt;C .1 *•&gt; i «i * •**-ALEMANIA^J .&gt; r ...…</t>
  </si>
  <si>
    <t>Fráti-</t>
  </si>
  <si>
    <t>…e tenido á bien el admitírsela, con servándole todos'sús honores y el sueldo que ha gozado como Secretario dé-J la referida Secretaría ; y para que le suceda en ella he nombrado á D. Fráti-"" ciscó Ballesteros4, Temen te General dfe los Reales Exércitos.Tendreislo: en-' tendido , y dispondréis lo necesario á su cumplimiént6.í Señárado’ délaReal' mano. Palacio á 25 de Marzo dé 1815. = A D. Pedro CévaUbs¿*^ C ; ^ 5i.0í ,, Desde él instante en que…</t>
  </si>
  <si>
    <t>Freile, Beatriz</t>
  </si>
  <si>
    <t>Beatriz Freile</t>
  </si>
  <si>
    <t>…re servado el derecho á los hijos,*nietos y biznietos d i Lie. D. Berna;do Pérez de Herrera, por-el ■■qti«^puedatt-*tSi^í^W¿í-|dft'díd^‘!^7y/7rífs. y,,3 2 mrs., cor es pondiente á Doña Beatriz Freile contra el ‘estado del marquesado de FTomista, y á I01 réditos vencidos y mandados pagar *por Jlá sentencia;; cuya caridad unida á la an tecedente. asciende á 384891 !rs. y 23 ¿ntL, de qüe deberán deducirse 89130 rs., sobre que se fundaron los dos patrón atos…</t>
  </si>
  <si>
    <t>Fresno.', Josef Luaces y</t>
  </si>
  <si>
    <t>Josef Luaces y Fresno.'</t>
  </si>
  <si>
    <t>…aradero, se.suplica á quien.sepa de él se¡sirva comunicarlo en esta corté á D. F rancisco Antonio Cerragería, dél comercio; en la Coruña á D. Pedro de los -Ríos , y en Mondoñedo á D. Josef Luaces y Fresno.' " En principios del año pasado dé 1808 residía en la ciudad.de Valladolid Don Manuel Cabrera, capitán reformado entonces del{regimiento provincial de Toro, de cuyo sugetó no se ha vuelto á saber despúes por las ocurrencias acaecidas; y te niendo que comunicar…</t>
  </si>
  <si>
    <t>Frey, Manuel</t>
  </si>
  <si>
    <t>Manuel Frey</t>
  </si>
  <si>
    <t>…ancisco Ro mero y Liñan, cura de S. Vicente de dicha ciudad de Sevilla. Y en consir deracion á los méritos de D. Josef Freyre y Reguera, y á los particulares que contraxó sü padre D. Manuel Frey re Castrillon mientras que estuvo dé diputado á las Cortes llamadas generales y extraordinarias, y después qüe cesó en esté encargo, se ha servido S. M. nombrar al primero para Ja ración vacante en la iglesia de Sancti Spiritus de la ciudad de Santiago por fa…</t>
  </si>
  <si>
    <t>Freyre, Antonio</t>
  </si>
  <si>
    <t>Antonio Freyre</t>
  </si>
  <si>
    <t>…Estéban Rubio y D. Gabriel Yanguas, del de Cazadores de León ; D. Ramón Mo reno, de la escuela militar de Santiago; D. Manuel Moreno y D. Andrés Pierola, del Cuerpo de Artillería; D. Antonio Freyre, del de Zaragoza, y D. León Ovalle, del de Cazadores del Rey; y grado y sueldo de Subte niente á Manuel Lamela: de Sargento primero y segundo á Juan Fandiño y Juan de Torres: dos escudos de ventaja á los Soldados Ramón Trillo, Josef Vázquez y Juan Vieyro, los…</t>
  </si>
  <si>
    <t>Freyre, Manuel</t>
  </si>
  <si>
    <t>Manuel Freyre</t>
  </si>
  <si>
    <t>…15. = A D. Pedro Cevallos.” Circular del Ministerio de Guerra. Penetrado el Rey nuestro Señor del distinguido mérito que coutraxo el Quarto Exército del mando del Teniente General D. Manuel Freyre en la sangrienta y gloriosa batalla dada el dia 10 de Abril de 1814 á la vista</t>
  </si>
  <si>
    <t>Fri</t>
  </si>
  <si>
    <t>'12 515 í permanecer eh Francia; son: por el Austria, el teniente general barón Fri«* mont; por la Rusia, el teniente general conde WoronzOw; por.la Inglater ra, el duque de Wellington, y por la,Prusia,el general conde Gneizenau. El primer cuerpo de egército mandado por el general Ziethen, y el sexto cuerpo por el general Tauentzien , conde…</t>
  </si>
  <si>
    <t>Fri-</t>
  </si>
  <si>
    <t>…stria y Rusia continúan adelantando hacia la ca pital de Francia: ha habido varios encuentros serios con los generales Lecourve, y Rapp, como también entre el mariscal Suchet y el general Fri-* mont: procuraré referirlos brevemente, y V. E. concebirá, por el vigor d intrepidez con que los cuerpos sueltos de estos egércitos y el austriaco de Ita lia han . obrado contra el enemigo, que soló esperan ocasión de dar un nuevo egemplo igual al de t8 de Ju…</t>
  </si>
  <si>
    <t>Frías, Félix</t>
  </si>
  <si>
    <t>Félix Frías</t>
  </si>
  <si>
    <t>…iudad Rodrigo, y D. Francisco Picado, segundo ayudante de la plaza de Ciudad- Rodrigó: de teniente á D. Gonzalo García, subteniente entonces del batallón de vo luntarios de Avila, D. Félix Frías, D. Zacarías Ruiz Malo, D. Bernardo Hernández, de los batallones de voluntarios de Ciudad Rodrigo, D. Jo sef Serrano, alférez de caballería, y D. Manuel De pis, subteniente de in válidos: de subteniente á los sargentos primeros del Real cuerpo de Artille ría…</t>
  </si>
  <si>
    <t>Friíñont</t>
  </si>
  <si>
    <t>…herado cerca de Befortretirándose á esta fortaleza. Es de creer que allí haya habido terribles combates, pues han llegado aquí en estas tres últimas noches multitud de heridos. El general Friíñont ha entradó en St. Claude*^.Dícese que ayer foe to mada la primera línea de defensa del géneiral Lecourvé después de una san grienta acción , y que este general está en ret irada. También sé dice que el conde de la Rochefoucauld, comisionado dé Luis xviii en e…</t>
  </si>
  <si>
    <t>Frimonr</t>
  </si>
  <si>
    <t>…día 3. ’t ■ ’ ■ .""iITALIA. GrcnvvU 8 c*€. JiifilO. Las tropas austríacas que estaban en los ducados de Milán y Mantua y en Lombardía se han juntado con el brillante egército del general Frimonr, que acaba de adelantar sus tropas para penetrar en Francia. Veinte mil sar dos y 8® ingleses, ó tropas á sueldo de estos, que estaban en Genova y en el territorio de Niza, forman parte de este egército, el mas bien disciplinado qije hasta ahora lia pasado lo…</t>
  </si>
  <si>
    <t>Frimont</t>
  </si>
  <si>
    <t>…uales dentro de tres dias 40 ó 5pv&amp; estarán, yá obrando». Idem 2 Hace cinco'dias que no cesan db pasar por Gfiablais tropas austríacas* que son&gt;parte del cuerpo que*manda el íelcl-mariscal Frimont * que fia. pasa do, ya el Sicnplom. Ademas de estas tropas pasaron ayer y antes de ayer por llvian-mas de 20$ hombres. Desdé aquí con, un anteojo se ven. desfilar las tropas por el puente del Drance, y anoche el fuego de los vivaques ocupa ba más de una legua…</t>
  </si>
  <si>
    <t>…la-Roche fue gravemente herido ; y se hace gran elogio á la caballería de este contingente, qtie Cargó á los cuadros--enemigos con gran denuedo. . -v ■ .... ~ - * ■ . íEl genera!1 barón Frimont refiere élf qué despees de haber forzado los pasos del Jura, did disposiciones pará embestir ét fuerte de L’Ecluseí : I -•J--£f regimiento Esterhazzy tomó ¿por* ásálré' Un téducto. que domióa el camino de Ginebra á León; apoderóse de cuatro cañones, un estand…</t>
  </si>
  <si>
    <t>…, de ¿que ’ ya en otros pficios ítengo [hablad^ l,oájau5tfia&lt;»?ítepdrán uno5lLÍí)Q|^ .hdinbriís ,&lt;fisponiBles en .eliEoira süperíQr&gt;sin;in¿Iuir elre^rqitp ¿e italia; ai .mando del general Frimont; y me ha sido de la mayor, i satisfacción el haber sido &lt; yo mismo testigo ocular del estado.de perfección de su eglétOito, 'cuya masa se •reúne ahora aqui: ;á pesar de;, sus 'penosasnikrch&amp;s &gt; ninguna- tropa puede, iháf» liarse en mejor estado paraí entrax i…</t>
  </si>
  <si>
    <t>…y esta ciudad por Ruon d’Etapes y Baccorat lue go que le releven los austríacos. El lord Stewart refiere menudamente los movimientos de los egércitos del Archiduque Fernando y del general Frimont, y del egército sardo. &gt; Algunos cuerpos de paisanos armados se han establecido en los bosques y montañas que últimamente han pasado los egércitos, y desde allí han come tido depredaciones y robos contra algunas personas que siguen al egército* Para repeler á…</t>
  </si>
  <si>
    <t>…inarán á cuantosrebeldcs encuentfciv El Príncipe Pablo de Wurtemberg ha pasado por S. Galo, dirigiéndose hacia el mediodía de Francia en busca díeí egército austríaco que manda el general Frimont. , ídem *9. Está para llegar la artillería gruesa para el sitio de Huninga. Esta plaza ha hecho anoche un fuego vivísimo por la parte de Neudosf. En la noche del 25 al 26 los suizos del Huninga chico han muerto á sie te soldados y un sargento p ri mero i fran…</t>
  </si>
  <si>
    <t>…vamente los Príncipes Fede rico y Clemente, sobrinos del Rey de Saxonia, y el Príncipe Pablo Federico, hijo primogénito del Príncipe heredero de Mecklenburgo-Schwerin. El teniente general Frimont, que manda las tropas austríacas que han de quedar de guarnición én Francia, ha establecido sú cuartel general en esta ciudad, y habita ch el palacio de las juntas provinciales. V Páris i y de Octubre. • * 1 , Mr. Angeles, encargado de Negocios de la sublime…</t>
  </si>
  <si>
    <t>…M gusta hija, que deberá haber llegado ya á Venecia en compañía del Empe rador. ' ,-r x 9ri y-y ■; ;."vy . -y ; : .v;-vj vv? - ¡ • . • Se dice que el conde de Bubna reemplazará al general Frimont en el man do superior del egército austríaco que-ha de permanecer en Francia, ALEMANIA. • --. ..... Saarbtttck 6 de Noviembre. Nota oficial, dirigida porc el consejero íntimo prusiano Stagmann al coman dante ruso de la ciudad de Sadrbruck. : ,, por el present…</t>
  </si>
  <si>
    <t>…prdend.e evacuar la Aisacia, y de ponerse en marcha el 8 de este mes con dirección á la Bohemia. Se están esperando las tropas austríacas que vienen de Borgoña á las ór denes del general Frimont; pero no harán más que atravesar la Aisacia. ■ Lila 8 de Diciembre, ' Orden del diá. ' Debiendo pasar por los alrededores de la ciudad^de Lila ¿erutos;días 8 y 9 de esté mes dos columnas.(fe tropas aliadas de á 3® hombres .ca«ja nqa. es. necesario tomar las m…</t>
  </si>
  <si>
    <t>Frutos, Mahuel</t>
  </si>
  <si>
    <t>Mahuel Frutos</t>
  </si>
  <si>
    <t>…D. Victoriano Aznar y Rubio: para la de Jaca á D. Josef Ibarlueea: para la de Lérida á D. Josef Ruiz Manzanopara la de Alcira á D. -Lorenzo Ventura de Dueñas : pira la de Vique á D. Mahuel Frutos: pa ra la de Tárrega á D. Gregorio Sancho Granado r para la de Segorve á Don josef Tomas Aparicio: para la de Villalonga, en el partido de Denia, á Don Agustin Velasco y Calleja: para la de Novelda á D. Miguel Elias Sicardo: paraTa de Pego Ú D. Pedro Antonio…</t>
  </si>
  <si>
    <t>Frutos, Manuel</t>
  </si>
  <si>
    <t>Manuel Frutos</t>
  </si>
  <si>
    <t>…presidente, y de los ganaderos é individuos del concejo D. Fermín Fernandez de la Cuesta, D. Joaquín Perez , D. Balta sar Carrillo, D. Pedro Marcelino Blanco, D. Gregorio Moreno, D. Manuel Frutos , D. Cristóbal Hernández, D. Vicente Gil AIbert,L&gt;. Josef Ramírez y D.,Bernardo González Alvarez, su procurador general. Igualmente el 30 del mismo mes se presentaron también á S. M., y le fe licitaron con igual motivo en nombre del partido de Castropol y de…</t>
  </si>
  <si>
    <t>FrutosPara, Manuel</t>
  </si>
  <si>
    <t>Manuel FrutosPara</t>
  </si>
  <si>
    <t>…yor segundo de Córdoba á D. Carlos Guerrero: para el de Miranda de Ebro á D. Josef Victoriano de Olaeta; para la de Antequera á D. Joaquín Tercero Gaseo i y para la de Sepulveda á D. Manuel FrutosPara ef corregimiento político* de la ciudad de Granada ¿ D. Juan de Campos y Molina: para el de Hellin á D. Josef Angulo: para el de Plasencia á D. Francisco»Xaviét ViLlanueva:para el de la isla de la Gran Cana ria á D. Salvador Ferradas ^ para el de la isla de T…</t>
  </si>
  <si>
    <t>Fuen-, Gerónimo</t>
  </si>
  <si>
    <t>Gerónimo Fuen-</t>
  </si>
  <si>
    <t>…do, D. Francisco: del Moyo, D. Josef del Rio, D. Domin go Monduiña , D. Manuel Diaz Herrera, D. Josef del Calvo, D. Manuel Bar rientes; D. Juan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t>
  </si>
  <si>
    <t>Fuente, Nicolás Prietotde la</t>
  </si>
  <si>
    <t>Nicolás Prietotde la Fuente</t>
  </si>
  <si>
    <t>…varios testimonios dados en esta corte i £&gt;. Jilas Prieto de lá Fuente , cuyos ascendientes fueron oriundos de las villas de Orche y la Alameda, y que tuvo por hijo á fin y muerte D. Nicolás Prietotde la Fuente, escribano Real en Madrid, quien parece tenia un hermano también es cribano en la ciudád de Ecija, acudirá en esta corte á D. Carlos Rodrigo, que vive calle Imperial^ iíúm. 8, cuarto tercero, el cual la entregará. Se halla vacante el magisterio de primeras le…</t>
  </si>
  <si>
    <t>Fuentes, Ignacio Fernandez</t>
  </si>
  <si>
    <t>Ignacio Fernandez Fuentes</t>
  </si>
  <si>
    <t>…de D. Pablo Nicolás de San Pedro , á D. Agustín de Rivarola, prelado doméstico de S. S.; y la capella-1 nía de coro de ia misma iglesia, vacante por muerte de D. Josef Monedero»i D. Ignacio Fernandez Fuentes. = La abadía que ha vacado en la iglesia colé-' gial dé Jerez de la Frontera por muerte de D. Diego Gómez Recio á D. Jo-1 sef María Alvarez de Palma, canónigo de la misma iglesia; y esta resulta á D. Mañud López Pizano.rrLa dignidad de tesorero de la colegiat…</t>
  </si>
  <si>
    <t>Fuero, Juan Antonio</t>
  </si>
  <si>
    <t>Juan Antonio Fuero</t>
  </si>
  <si>
    <t>…r de Outon, médio-racionero de la iglesia de Sevilla: otra* canongía vacante en la misma catedral de Jaén por traslación de D. Segun do Cayetano García á otra canongía de Oviedo á D. Juan Antonio Fuero,: arcediano de la iglesia* de Chiapa , en la provincia de Goatemala; y la ración que vacó por fallecimiento de D. Melchor de Cuesta á D. Diego Martin Blan co : el beneficio servidero de la ciudad de Cazorla, que vacó por muerte de D. Alejandro Ufano, á D. Jua…</t>
  </si>
  <si>
    <t>Fuerte, Ignacio</t>
  </si>
  <si>
    <t>Ignacio Fuerte</t>
  </si>
  <si>
    <t>…x Llano, D. Gregorio Martin, D. Gabriel Olgado, D. Josef Mela, D. Felipe San Alberto, D. Pedro García de Várgas ,y D. Agustín Reviila, del de Voluntarios de Avila; á D. Pedro Doz, D. Ignacio Fuerte , D. Josef Gacet, D. Guillermo Dot, y D. José f Villar de Francos, del Provincial de Segovia; á D. Santiago Muriedas, D, Isi doro Moreno, D. Antonio Gallego, D. Juan Calderón, y Di Juan Sierra, del primer Barallon de Voluntarios de Ciudad-Rodrigo; á D. Manuel…</t>
  </si>
  <si>
    <t>Fuidio, Braulio Antonio de</t>
  </si>
  <si>
    <t>Braulio Antonio de Fuidio</t>
  </si>
  <si>
    <t>…&amp;c.; traducidas del francés al castellano, ilustradas con algunas notas, y aumentadas de un apéndice que publica la receta genuina del jarabe antigálico de Puente de la Reina, por Don Braulio Antonio de Fuidio, ayudante honorario de cirujano mayor de egército &amp;c.: un cuaderno en 4.0 á 6 rs. en rústica. Se hallará en Madrid en la librería de Barco, carrera de S. Gerónimo^ y en la de Quiroga, calle de las Carretas; en Vitoria en la de Barrio; en Haro en la de la Viud…</t>
  </si>
  <si>
    <t>FuilenefF</t>
  </si>
  <si>
    <t>…del estado mayor de este, cuer = ¡po el general Pountt. ——. Ciento veinte piezas de cañón; - *-’.r Cuarto cuerpo de exército, general Raessky.— 11.a división de infante ría, mayor general FuilenefF.—. 17.a división .id»., el teniente general Olsoufieff.___3.a división de húsares, teniente general Ezaplitz.»__ Ochenta y quatro cañones.. . i . ■.»; ...• &gt; v; Ouinto cuerno de egército, general Lacketl._ 12.* división de infantería;*■ 1 u ' u general el con…</t>
  </si>
  <si>
    <t>Fullckens</t>
  </si>
  <si>
    <t>…r . r (, HOLANDA. : , . Amsterdan 20 de Agosto. , v Se han recibido aquí noticias:de Argel;de 30 de Julio, por las cuales se sabe que la escuadra holandesa, mandada por el contra-almirante Fullckens* compuesta de seis fragatas y un bergantín, llegó el 22 del mismo mes de Ju lio á la rada de aquella ciudad.-—Las negociaciones de paz se habian prin cipiado ya bajo la mediación del cónsul ingles; pero habiendo la escuadra ho landesa combatido mas de hora y…</t>
  </si>
  <si>
    <t>Furcosindo, Juan</t>
  </si>
  <si>
    <t>Juan Furcosindo</t>
  </si>
  <si>
    <t>…gos que en ellos vayan ocurriendo acerca de este ramo; y al elegido en cada obispado se le darán las facultades é instrucciones convenientes i rú Las eartas se dirigirán francas á D. Juan Furcosindo, plazuela del Angel, casa de la fonda, cuarto principal; no olvidando poner en ellas cada uno su obis pado y la dirección parada contestación. v .En:vÍYtud de providencia del Sr. LX Joaquín Almazan, del consejo de S. M., teniente-corregidor de esta villa,"'•y…</t>
  </si>
  <si>
    <t>Fximont</t>
  </si>
  <si>
    <t>…de su cuerpo de la guarnición de Befort. Al anochecer del dia 2 envió un parlamentario pidiendo un armisticio: la respuesta de los alia dos fue que entregase á Befort. El general barón Fximont refiere desde Shene que el 28 el general Crene-</t>
  </si>
  <si>
    <t>G, Antonio</t>
  </si>
  <si>
    <t>Antonio G</t>
  </si>
  <si>
    <t>…yo* del regimiento de caballería del Rey. 'Grados de teñicrites coróLtd.cs -^dasisargentos. mayores D. Francisco María Fernandez ,B. Garlos LanzaroteyDofli Miguel Sánchez Barriga, D. Antonio G o va otes, D. Antonio Saliquet,Don Joaquín Escamez, D. Josef García Aparicio, D. Domingo Orejón * D. Joa** quin Casasola, D. F rancisco Javier de Cia, D¿ Manuel de' la Cruz;, .Di Cárlos Viü&amp;padierna^ D- Bernabé Arjranz^ D* Juair derMetidie^í.1^. Aatóriioíde C…</t>
  </si>
  <si>
    <t>G, Francisco</t>
  </si>
  <si>
    <t>Francisco G</t>
  </si>
  <si>
    <t>…taneó y Negro, D. Ig nacio Tejeiro y Lastra, D. Josef Quintero, D. Josef Garcés, D. Antonio Ferri, D. Manuel Moreno, D&gt; Josef Funes, D. Ignacio Iturrigaray, D. Fran cisco Martos,: D. Francisco G^rces, ,D. Gonzalo Lobo , D. Josef Araujo, p. Josef Rovirat, D. Antonio Sierra , D, Josef María Lauquer, D. Josef Dá^ viía, ,D&lt;Antonio Alvare^, D, Joaquín Asensio, D. Benito Ibañez, D. Anto nio Casbas j D. Francisco Botella, D. Josef Rasero , D. Josef Joaquín…</t>
  </si>
  <si>
    <t>G, Mateo</t>
  </si>
  <si>
    <t>Mateo G</t>
  </si>
  <si>
    <t>…l tribunal de Contaduría mayor á IX Gaspar Estdler, super intendente de la Real casa de moneda de $evilla. Honores .de intendentes de egército á los directores generales de Rentas D. Mateo G,il de Sola y D. Josef dé Imaz ¿ á Di Eugenio Domínguez, ministro He Real hacienda ‘de Menorca; á D. Manuel Oftiz, superintendente de la Real cása de moneda de esta corte; á D. Antonio López, ministro de hacienda mi litar de ésta plaza; á D. Francisco dé Iá Ro…</t>
  </si>
  <si>
    <t>G-uer, Bernardo</t>
  </si>
  <si>
    <t>Bernardo G-uer</t>
  </si>
  <si>
    <t>…ueblos de la circunferencia con quienes podrá pactar. Dicha villa goza de aires puros.y alimentos abundantes y sa ludables. Los aspirantes á dicha plaza dirigirán sus memoriales á D. Bernardo G-uer•ca Alonso, secretario dél ftúmefó y ayuntamiento de ella, los que se admitirán has ta.él 24 de Agosto del presente año. :ji: *V - A ' , Se halla vacante la plaza de maestro de prlmerasJetras de laciudaddeOrduña en Vizcaya, cuya dotación son 200 ducados que pa…</t>
  </si>
  <si>
    <t>Ga</t>
  </si>
  <si>
    <t>…s, capellán que fue de Rea les Guardias de Corps; y en el caso de que hubiese muerto, de su legítimo here dero, para comunicarle asuntos de intereses , sobre lo que podrá informar D. Ga briel de la Vega Castillo, vecino de esta corte, que vive en la calle de Atocha, ca sa de Campo Villar, núm. t y 2 , quarto 2.0, y D. Josef Fernandez Espriella, pres bítero, vecino de la villa de Gijon en Astúrias. Adiciones á la salmodia orgánica: contienen…</t>
  </si>
  <si>
    <t>…i, D.Joaquin Dolz, D. Salvador Arnardo, D. An tonio Marcoletá, D, Josef Gáliano, D. Manuel Ayolo, D. Ignacio Cambil, D. Vicente. Dolz , D. Manuel Fernandez , D. Rafael Montemayor, D. Ga briel Villoría, D, Diego Latorre, D. Pedro Vidal, D. Antonio Rey, D. Pe dro Áhnabai, D. Manuel Lomar, D. Pablo Chamorro , :D, Josef Ckuñer. DvJosefGucrra, D. Juan Sevillano , H. Josef Fonseca, D. Sancho Estrada, ¡BJosefSoler , D. Diego Delgado* D* Rafael Varg…</t>
  </si>
  <si>
    <t>Ga, Josef</t>
  </si>
  <si>
    <t>Josef Ga</t>
  </si>
  <si>
    <t>…borda , D,. Josef Rodríguez, IX Plácido Gúell, D. Joaquín González', IX Juan García-, '0; Ramón de Coba, D. Josef Mon tano,,? D. Ignacio Foja, rD. Antonio Marco , D. Ginés 'Rubio, D. Josef Ga vilanes , D Joaquín Aguijar, D. Santiago López Gascón, D. Ambrosio Mar tínez, ÉX C^ayemnp Ojezalde,; D.-Antonio Delgado, D. Gaspar Jover, Don NJarciso,Felipe, IX Josef Vilíavieencio, D. Cristóbal del Aguila, D. Berna-? Fe Chinchilla,, D. Manye! Carrasco, D. T…</t>
  </si>
  <si>
    <t>Ga-, Marcos Domínguez</t>
  </si>
  <si>
    <t>Marcos Domínguez Ga-</t>
  </si>
  <si>
    <t>…cho objeto:' para el -beneficio simple servidero qué se halla vacante en la parroquial de Malparada de Cáceres, obispado de Coria , por fallecimiento de D. Diego Ramos Aparicio, á D. Marcos Domínguez Ga- llego, cura párroco del lugar de los Casares: para otro beneficio simple, vacante por müerté-de D. Juan Mi lían en la parroquial de Sta. Eulalia de Viliacoba y jurisdicción dé la villa de bfóya &gt; en el arzobispado de Santiago» a D.üJósefi Luis Guérrary^Millar…</t>
  </si>
  <si>
    <t>Gabaldon, Luis</t>
  </si>
  <si>
    <t>Luis Gabaldon</t>
  </si>
  <si>
    <t>3M* sefde Hevfci y Noricga, regente en comisión de la chanciller ¡a de Gra nada. . - - . ’ Para la plaza de juez mayor de Vizcaya, en la chahcilíería de Valla-* dolid, á D. Luis Gabaldon: para el corregimiento de Carmona á D. Josef María Tirado: para el de Lucena i D. Benito Saiz de Villegas: para el de Ubeda á D¿ Manuel Becerriir para el de Soria á D. Juan Meneses Calvete: para el de Linares á I&gt;. Josef Julián Ortega: para el de Tordesillas…</t>
  </si>
  <si>
    <t>Gabazo, Juan</t>
  </si>
  <si>
    <t>Juan Gabazo</t>
  </si>
  <si>
    <t>…e á la proa dél navio , formó un puente con los demas izotes flecheras, que acudieron al socorro Con la mayor actividad,di rígidos con arrojo y serenidad por el alférez de fragata D. Juan Gabazo,que se irianejó cbn la actividad qpe le es propia y conocida de V. S. i solo el interefc general de todos pudo salvar tanta gente ^recelando como debían la esploSion del nayío , y ser confundidos con ella; quedándome solo la satisfacción de no haber faltado b…</t>
  </si>
  <si>
    <t>Gabriel</t>
  </si>
  <si>
    <t>…V. para su inteligencia y cumplimiento en la parte que le toca. Dios guarde á V. muchos años. Madrid 26 de Junio de 1815. En atención á los^uenos servicios y constante lealtad de D. Gabriel de la Vega Castillo, agente general de espediciones de Roma, se ha dignado S. M. concederle los honores de su secretario. Igualmente se ha servido S. M. nombrar á D. Josef Mariano Márquez de Aguilar para la vara de alcalde mayor de la ciudad de Mataré; para l…</t>
  </si>
  <si>
    <t>Gabriel'Solano</t>
  </si>
  <si>
    <t>…z y 0 Gerónimo de capitanes á los tenientes 0. Juan Mendez Vigo, D„ Pedro Masdeuy íDoin Joaquín Goñi, 0. Tomas Murrietay 0. Felipe Agnado , 0. Dionisio Gil, Don Simeón de la Rosa, D. Gabriel'Solano, 0.' Juan Alverico, D. Ramón Narvaez, D. Salvador Gallard, 0. Lorenzo Zarate, D. Josef Odriozola, 0. Pe dro Fuenmayor, p. Juan de Dios Gil de Lara., D. Anastasio Navas, Don Manuel Rodríguez, 0. Fernando López, 0. Juan Sénovilla, 0. Santiago Pereira, D. Sabas…</t>
  </si>
  <si>
    <t>Gabriela</t>
  </si>
  <si>
    <t>expone en su informe sobre la pretensión de Doña María Ramona» Doña Gabriela y Doña Rosa DaJp., hijas huérfanas de D. Francisco Xavier, Ad ministrador general-^ue -füeclela! Rerita del' Tabác&amp;/ y de la justicia cón qiiea'si éstsnneómo otras interesadas han solicitado el* gocé de dos pendones dé viudedad ¡por haber contribuido sus maridos ó padres á do…</t>
  </si>
  <si>
    <t>Gacet, Josef</t>
  </si>
  <si>
    <t>Josef Gacet</t>
  </si>
  <si>
    <t>…Martin, D. Gabriel Olgado, D. Josef Mela, D. Felipe San Alberto, D. Pedro García de Várgas ,y D. Agustín Reviila, del de Voluntarios de Avila; á D. Pedro Doz, D. Ignacio Fuerte , D. Josef Gacet, D. Guillermo Dot, y D. José f Villar de Francos, del Provincial de Segovia; á D. Santiago Muriedas, D, Isi doro Moreno, D. Antonio Gallego, D. Juan Calderón, y Di Juan Sierra, del primer Barallon de Voluntarios de Ciudad-Rodrigo; á D. Manuel Ri bero, D. Joaq…</t>
  </si>
  <si>
    <t>Gadorniga, Josef María de</t>
  </si>
  <si>
    <t>Josef María de Gadorniga</t>
  </si>
  <si>
    <t>…ernardo de Soto; para la del partido de -Vérin á D. Josef Salgado y' Blan-^ go ; para la del partido de Óimbra a E). Juan González j. pará la del partido de S. Martin de Arau jo á‘D. Josef María de Gadorniga; y para la del pár-&lt; tido de ;S. Jorge de Aguas Santas á D.‘Ramón de Ayude! * &gt;•&gt; Los subscriptores á lá$ Memórias para servir í la historia eclesiástica durante éí siglo xvni acudirán a recoger el tercer tomo, adelantando el importe del 4.0 qué está para sal…</t>
  </si>
  <si>
    <t>Gady</t>
  </si>
  <si>
    <t>…También pasan muchos ingleses que vienen del medio día de Francia. La dieta de los cantones helvéticos ha nombrado gefe de las tropas de I3 confederación al general Bachmann, y al coronel Gady por segundo gefe. Continúan aqui los preparativos militares: los cantones ponen en pie la segunda parte de su contingente; pero no se presentarán en la frontera has ta nueva orden.</t>
  </si>
  <si>
    <t>GaetnitschefTVy</t>
  </si>
  <si>
    <t>Wolkonsky; el teniente general conde GaetnitschefTVy el coronel general Jomini. ;‘&gt;rr De Inglaterra. El Duque de Wellington, Príncipe de Waterloo; lord Hillj lora Apsley; el general Barnet; el coronel Hervey&gt; y el coronel Hamilton. : &gt; : Ademas de los dichos se hallaron también el Príncipe Cárlos de Bavíera; el…</t>
  </si>
  <si>
    <t>Gaiiiía, Juan</t>
  </si>
  <si>
    <t>Juan Gaiiiía</t>
  </si>
  <si>
    <t>…cido á cenizas el patíbulo en donde dieron su último suspiro en los dias 3 y 27 de Junio de 1899 ^os ^roes barceloneses el Dr. D. Joaquín Pou, cu ra párroco de la cindadela, el P. D. Juan Gaiiiía, clérigo reglar teatino, D. Josef Navarro , sargento del regimiento de infantería de Soria, D. Juan Massana, oficial de la Consolidación de vales Reales, D. Salvador Aulet, co merciante , D. Ramón Mas, carpintero de ribera , D. Julián Portet, espar tero, y D.…</t>
  </si>
  <si>
    <t>Gaiitzin, Alejandro Nicolás</t>
  </si>
  <si>
    <t>Alejandro Nicolás Gaiitzin</t>
  </si>
  <si>
    <t>Núm. 29. [ 5 qoartos. j 24$ GACETA DE MADRID DEL JUEVES 9 DE MARZO DE i8ij. RUSIA. Petersburgo 20 de Enero. El príncipe Alejandro Nicolás Gaiitzin, consejero de Estado, y director general de los negocios eclesiásticos de las confesiones extrangeras, ha sido nombrado por S. M. el Emperador curador general de la sociedad filantró pica imperial. Esta sociedad, formada aqui baxo ios auspicios del Empera dor…</t>
  </si>
  <si>
    <t>Gainmde, Benito Felipe de</t>
  </si>
  <si>
    <t>Benito Felipe de Gainmde</t>
  </si>
  <si>
    <t>…tre los sugetos siguientes: los Sres. Uhagon hermanos, Manzarraga y Usarte, Bayo é hijo y compañía, Jane, Orbegozo y Castañares, D. Josef de Irunciaga, D. Francisco de Lemonauría, D. Benito Felipe de Gainmde, D. Josef Domingo de Aguirre, D, Mariano Perez 4e;Nemn,, D. Pascual Jo^efde Ardanáz, D. Diego Macmahon, Goossens e mjo, D. ManuelMa* Íía de Aldecóa , D. Antonio Juap de Viidosola, D. Cirilo Perez de Necio* D. Francisco de Lemonauría hijo y D. Juan Laurencio.…</t>
  </si>
  <si>
    <t>Gaioete, Josef Aguilar</t>
  </si>
  <si>
    <t>Josef Aguilar Gaioete</t>
  </si>
  <si>
    <t>…: para la de Cañete á D. Manuel Díaz del Castillo: para la de Montoro á D. Josef Vaceda y Gómez: para la de Tolox y Monda á D. Juan Tomas Encina: para la de la Puebla de Cazalla á D. Josef Aguilar Gaioete: para la de Valverde del Camino á D. Francisco de Paula Escudero: para la de OI vera á D. Antonio Manuel de Gamez y Lechuga: para la de Lezuza á D. Alfonso Josef de Soto: para la de Carvajales á D. Juan Villa y Trigueros: para la de Tiedra á D. Juan Padilla:…</t>
  </si>
  <si>
    <t>Gaiso, Bartolomé Rodríguez</t>
  </si>
  <si>
    <t>Bartolomé Rodríguez Gaiso</t>
  </si>
  <si>
    <t>…: una haza, 5 marjales y un pedazo de tierra de seca no en Churriana. Capellanía de Doña Beatriz Herrera. Una haza de 30 marjales al camino de Santa Fe, en Belicena. Capellanía de D. Bartolomé Rodríguez Gaiso. Un molino harinero y dos pedazos de tierra unidos á él, en Nivar. Capellanía de D. Juan S. Martin y Palma. Ochenta marjales en una ha za, lindando con el camino real de Jaén, Arbolete. Capellanía de D. Alonso Salido. Una haza, cinco marjales de tierra, pa go…</t>
  </si>
  <si>
    <t>Gal, Columbano de Poz y</t>
  </si>
  <si>
    <t>Columbano de Poz y Gal</t>
  </si>
  <si>
    <t>…e de D. Pablo Re cio y Tello á D. Bonifacio Tosantos, lectoral cíe la de Sto. Domingo de la Calzada; la capellanía Real que resulta vacante por promoción de D. Ber nardo Alarcon á D. Columbano de Poz y Gal indo, cura de la parroquial de S. Lorenzo de esta corte, y otra capellanía de la espresada Real capilla, vacante por muerte dé D. Antonio Terri, á D. Josef Zorrilla de la Roería. La dignidad de maestrescuela que vacó en la iglesia metropolitana de Granada por…</t>
  </si>
  <si>
    <t>Gal, Josef de Torres</t>
  </si>
  <si>
    <t>Josef de Torres Gal</t>
  </si>
  <si>
    <t>…e-* jpo , D. Juan Higinio Qyiatanilla, D. Juan Yarda, D. Francisco JavierMartinez, D. Josef M^na Blanco y í). Fulgencio Aicaraz; .: . 1 / Ascenso á oficiales quartos ¿ los quintos D. Josef de Torres Gal vez/ D. Clemente Román y Lobo, D. Antonio de Entrena y Mosquera, D. Jo sef Rodríguez, P. Clemente Losada, D. Josef María Pantoga ,‘D. Matías Ova-, lie, D. Juan Martínez Pozuelo y D. Fulgencio Albacete. Ascenso ¿ oficiales quintos i los meritorios D. Josef Vel…</t>
  </si>
  <si>
    <t>Galabardo, Antonio de Rojas y</t>
  </si>
  <si>
    <t>Antonio de Rojas y Galabardo</t>
  </si>
  <si>
    <t>…ádiz por falleci miento de D. Nicolás de la Rosa y Chacón á D. Fernando Alba, cura del Sagrario de la misma iglesia. = La canongía de la catedral de Cuenca, vacan te por muerte de D. Antonio de Rojas y Galabardo, á D. Josef Miguel Al-</t>
  </si>
  <si>
    <t>Galan, Manuel de Zeca y</t>
  </si>
  <si>
    <t>Manuel de Zeca y Galan</t>
  </si>
  <si>
    <t>…ales Reales de 600 pesos que dono en su testamento.__ La villa y tierra íde Tábara 713464 rs. y 19 mrs., importe de los suministros que ha hecho al egército en la pasada guerra.__ D. Manuel de Zeca y Galan, capitán re tirado del Real cuerpo de arriliería, 16759 rs. y 26 mrs. resto de un crédi to contra la- Real hacienda. _D. Juan Josef Gutiérrez de Rueda 17237 rs. vn. que íe debe la Real hacienda. —£1 cuerpo y particulares del cabildo eclesiástico de la iglesia…</t>
  </si>
  <si>
    <t>Galeas, Juan</t>
  </si>
  <si>
    <t>Juan Galeas</t>
  </si>
  <si>
    <t>…te González , D. Fabian de Saave4xa, D. Casimiro Vinuesa, y D. Santiago Gómez, del tercer Batallón de ídem; á D. Francisco Topete y D. Juan de Acuña , Ayudantes de dicha plaza ; á D. Juan Galeas , agre gado al Estado Mayor de la misma', y á D. Josef Bérmudez, del Batallón de Urbanos : al grado de Teniente á los Subtenientes D. Josef Ramírez y D. Gaspar Reyna, del Real Cuerpo de Artir!ería ; D. Agustín Vicente y D. Ramón de Alcalá, auxiliares dei mism…</t>
  </si>
  <si>
    <t>Galiano, Félix</t>
  </si>
  <si>
    <t>Félix Galiano</t>
  </si>
  <si>
    <t>…cinrihñaeion deteste;«los «seminaristas Don juán GMcóté aréúgó'de nuevo á Si M..én VéiréO íátinO?y castellano. D.r Júán MáríarGaÍÍáiio pirbOynció- ?ün breVe discurso «eii francés. D. Félix Galiano otro en inglés •» y 0. Dionisio y ‘0, DármasOfGal¡anÓ v el primeró de siete ' años * y et segundo de cinco de edadentrambos caballeros guardias de &lt;■Cocps ^^éciron unos' versés '-casteila ütié euWóór• de S; M. En se gtadiépreséñtafón "4 S. M : .y- A A. un lib…</t>
  </si>
  <si>
    <t>Galiano, Josef Aicaíá</t>
  </si>
  <si>
    <t>Josef Aicaíá Galiano</t>
  </si>
  <si>
    <t>…samente el día _2 de M¡aypfjde, *8p8..- v // • .v.-. ,’&gt;• ;; , . i-a-poqside^a^ipn dq,capitanes,vivos,(o/:..,yH efectivos ;Je infantería: á lpsr alfére ces D. Cárlos de-Sentmanat, D. Josef Aicaíá Galiano, D. Josef Miró , Don Antonio Arménteros, X). Lorenzo Fernandez Somera, D. Miguel Urquia, D. Cárlos Armenteros y D. Juan Jbséf Baríiteli. Grado de capitán de infantería al sargento primero graduado de teniente D. Bernardino Garay: grados de teniente á los de l…</t>
  </si>
  <si>
    <t>Galinsoga, Dionisio Sainz</t>
  </si>
  <si>
    <t>Dionisio Sainz Galinsoga</t>
  </si>
  <si>
    <t>…e enla misma iglesia por muerte de D. Juan Ser rano á D. Gavino Ramón Díaz.=rLa abadía de Castrogeriz, dignidad de la iglesia metropolitana de Burgos, vacante por fallecimiento de D. Dionisio Sainz Galinsoga, á D. Tomas Ugarte , canónigo de la catedral de Teruel, ss La dignidad cíe chantre que ha vacado en la catedral de. Cádiz por falleci miento de D. Nicolás de la Rosa y Chacón á D. Fernando Alba, cura del Sagrario de la misma iglesia. = La canongía de la cated…</t>
  </si>
  <si>
    <t>Galiona, Rafael</t>
  </si>
  <si>
    <t>Rafael Galiona</t>
  </si>
  <si>
    <t>agí y dos años y diez dias de su edad Doña Antonia Carreras, madre del no tario público D. Rafael Galiona, escribano principal de esta provincia ma rítima. Ha dexado tres hijos, el primero de ochenta y dos años de edad, el segundo de ochenta, y el tercero de sesenta, ademas de uu crecido nú mero de nietos y biznietos. Madrid ij de Marzo. ' El día 7 del corriente…</t>
  </si>
  <si>
    <t>Gallard, Salvador</t>
  </si>
  <si>
    <t>Salvador Gallard</t>
  </si>
  <si>
    <t>…ez Vigo, D„ Pedro Masdeuy íDoin Joaquín Goñi, 0. Tomas Murrietay 0. Felipe Agnado , 0. Dionisio Gil, Don Simeón de la Rosa, D. Gabriel'Solano, 0.' Juan Alverico, D. Ramón Narvaez, D. Salvador Gallard, 0. Lorenzo Zarate, D. Josef Odriozola, 0. Pe dro Fuenmayor, p. Juan de Dios Gil de Lara., D. Anastasio Navas, Don Manuel Rodríguez, 0. Fernando López, 0. Juan Sénovilla, 0. Santiago Pereira, D. Sabas Marín, D.1 Manuel dét Castillo * 0 Juiuin Benita,' 0. Jñar…</t>
  </si>
  <si>
    <t>Gallardo, Sebastian</t>
  </si>
  <si>
    <t>Sebastian Gallardo</t>
  </si>
  <si>
    <t>…D. Josef María Pichardo", á D. Francisco María Riesco, inquisidor de corte: para otra canongía de la catedral de Ciudad-Rodrigo, vacante por muerte de D. Manuel Blanco Cedrón , á Don Sebastian Gallardo, racionero de la misma catedral: para esta resulta á D011 Agapito Gallardo: para otra canongía de la catedral de Sigiienza, que re</t>
  </si>
  <si>
    <t>Gállarza, Antonio</t>
  </si>
  <si>
    <t>Antonio Gállarza</t>
  </si>
  <si>
    <t>…io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 Zaballa , D. Juan Ilzalbe, D. Ventura Correjes, D. Agustín Gar cía , D. Pedro Menor, D. Rafael Santi…</t>
  </si>
  <si>
    <t>Gallego, Antonio</t>
  </si>
  <si>
    <t>Antonio Gallego</t>
  </si>
  <si>
    <t>…Avila; á D. Pedro Doz, D. Ignacio Fuerte , D. Josef Gacet, D. Guillermo Dot, y D. José f Villar de Francos, del Provincial de Segovia; á D. Santiago Muriedas, D, Isi doro Moreno, D. Antonio Gallego, D. Juan Calderón, y Di Juan Sierra, del primer Barallon de Voluntarios de Ciudad-Rodrigo; á D. Manuel Ri bero, D. Joaquín Quadrado, D. Francisco Escovar, D. Salvador S. Juan, y D. Josef Renau, del segundo Batallón de idem;á D. Joaquín Rodríguez, 0. Vicente G…</t>
  </si>
  <si>
    <t>Gallego, Estéban Rodríguez</t>
  </si>
  <si>
    <t>Estéban Rodríguez Gallego</t>
  </si>
  <si>
    <t>…onores de oidor de la chinciilería de Vaílaclolid: á D. Dio nisio Catatan, corregidor de Cuenca, los honores y antigüedad de alca Ide del crimen dé la chancillería de Granada; y á D. Estéban Rodríguez Gallego, los de alcalde del crimen de ia audiencia de Galicia. ' Teniendo él Re;y en consideración la sólida literatura del P. M. Fr.Ma* huM'*'Má^tih#z:^'&gt;pt^Ílih'ádÓr' de S." M. / y sus servicios hechos i so Real</t>
  </si>
  <si>
    <t>Gamberg, María del Carmen</t>
  </si>
  <si>
    <t>María del Carmen Gamberg</t>
  </si>
  <si>
    <t>…ones á una dé las huérfanas de los militares ó patriotas que hubieren muerto en defensa de la justa causa de la nación, ha cabido en suerte del primer extracto de la de este dia á Doña María del Carmen Gamberg, hija de D. Pedro, capitán del batallón de la Victoria , muerto en el campo del honor. La extracción siguiente se exécutará el 19 de Junio próximo. ARTICULÓ DE OFICIO. Circular del ministerio universal de Indias, El Rey nuestro Señor se ha servido expedir el…</t>
  </si>
  <si>
    <t>Gandásegui, Juan Manuel de</t>
  </si>
  <si>
    <t>Juan Manuel de Gandásegui</t>
  </si>
  <si>
    <t>…e la Puebla de los Ángeles en Nueva-España, y ha nombrado Í’as dedicador Real' al P. Fr. Cirilo Alameda, del orden de S. Francisco. Honores del Real y suprémo consejo de Indias, á D. Juan Manuel de Gandásegui, director mas antiguo de la Real compañía de Filipinas. / Honores de secretario del Rey á D. Tomás Benito González, oficial ma yor de la escribanía de cámara de dicho consejo de Indias, y escribano ho norario del mismo.</t>
  </si>
  <si>
    <t>Gangoiti, Pedro</t>
  </si>
  <si>
    <t>Pedro Gangoiti</t>
  </si>
  <si>
    <t>…ildo de Zafra, profesor de primera educación, individuo del Real colegio académico de primeras letras, y de la Real junta de exámenes de la villa y corte de Madrid, y grabadas por D. Pedro Gangoiti, uno de los mejores grabadores que se conocen en la letra. Se hallará en la librería de Gila, calle de las Carretas, 7 en el almacén de papel de Bueno, calle del CSrmen, á 8 cuartos cada una 7 á 14 rs. el cuaderno. En ambas partes se vende papel pau tado para…</t>
  </si>
  <si>
    <t>Gar, Agustín</t>
  </si>
  <si>
    <t>Agustín Gar</t>
  </si>
  <si>
    <t>…Serón., I}. Isidoro Lacrbix,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Cayetano Salcedo, Dw An…</t>
  </si>
  <si>
    <t>Gar, Francisco de Paula</t>
  </si>
  <si>
    <t>Francisco de Paula Gar</t>
  </si>
  <si>
    <t>…tando habilitar durante vuestra ausencia para el despacho y firma de los asuntos pertenecientes á ia Secretaría del Despacho de Hacien¡ da de vuestro cargo, he venido en nombrar ¿ D. Francisco de Paula Gar; cía de Luna, mi Secretario con exercicio de decretos, y Oficial mayor de la misma Secretaría, en atención á sus servicios y amor á mi Real Persona. I Y lo tras ado á V. S- de Real órden para su inteligencia, y que lo comúni\ que á quien corresponda para su c…</t>
  </si>
  <si>
    <t>Gar, Josef</t>
  </si>
  <si>
    <t>Josef Gar</t>
  </si>
  <si>
    <t>…íguez , 0« Manuel Ravanera., D. Antonio Ar de rius, D. Juan Molina, D. Manuel Pedtet: de tenientes á los. subtenientes D. Luis Carrillo, D. Matías Blasco, 0. Francisco Villalobos *D. Josef Gar cía Malo, D. Sipnon ie Cárlos, 0, RafaelCisneros., 0. Joaquín Antíllon, D. Josef Oimedllía , 0. Luis.Cortey, 0. Manuel Montero., .0. Manuel Pío Moreno, D. Andrés Carbáileiro, B. Manuel de Mutiasy D. Angel Ruá?^Don</t>
  </si>
  <si>
    <t>…derecho, se des en • ■ tregarán.'- - A instancia del curador ad Iitem de los hijos menores que han quedado por fa llecimiento de D. Rafael Barceló , y en virtud de providencia del Sr. D. Josef Gar cía de la Torre , del cóñséjb de S. M., su alcalde de casa f córte . refrendada de Don C4t1os Rodríguez ;de'Moya, fcseribáno de provincia y‘comisiones, se eirá, llama y emplaza á todos los que se crean ser;aereedbres á ips^briéfté^qüc han quedado por dicho fa…</t>
  </si>
  <si>
    <t>Gar, Pedro</t>
  </si>
  <si>
    <t>Pedro Gar</t>
  </si>
  <si>
    <t>1305</t>
  </si>
  <si>
    <t>............................... 1305 A consulta de la cámara se ha servido el Rey nombrar á D. Pedro Gar rido Espinosa para la regencia de la audiencia de Galicia. Et Rey nuestro Señor, atendiendo á los servidos y mérito del capitán de navio D. Joaquín Blanco Maldonado, se ha dignado concederle el gobierno militar y político de la plaza del Ferrol. S. M. se ha s…</t>
  </si>
  <si>
    <t>Gar, Ramón</t>
  </si>
  <si>
    <t>Ramón Gar</t>
  </si>
  <si>
    <t>En virtud de providencia del Sr. D. Joaquín Almaaan y Giménez del consejo de S. M., teniente de corregidor de esta villa, refrendaba del Srr D. Ramón Gar cía Giménez, secretario de S. M. y escribano del numero de la misma, dada á in?tancia del Dr. D.' Josef Gbnser y Casteller, abogado délosRealesconsejos, y-ve cino de la villa de Cardona, en Cataluña, se cita, llama y emplaza á todos los pa rientes y demas per…</t>
  </si>
  <si>
    <t>Gar, Vicente</t>
  </si>
  <si>
    <t>Vicente Gar</t>
  </si>
  <si>
    <t>…íguez González, alcalde mayor de la eludid del Puerto de Sta. María, y escribanía de! número de D. Rafael Reinoso, penden autos formados sobre la intervención al vínculo que fundó D. Vicente Gar cía Mayor de Londoño en nombre de su muger Doña Josefa Manuela de Reinoso, en los cuales se nombró de oficio defensor judicial al citado vínculo, á cuya ins tancia se libró exhorto á esta corte en 2 1 de Junio de 1814, que fue cumplimenta* do por el juzgado d…</t>
  </si>
  <si>
    <t>Gárate, Antonio de</t>
  </si>
  <si>
    <t>Antonio de Gárate</t>
  </si>
  <si>
    <t>…uncia que á motivo de sus achaques ha hecho D. Vicente Aranceta. Los que quieran hacer oposición dirigirán sus memoria les al ayuntamiento de dicha villa por medio de su escribano D. Antonio de Gárate en todo el presente mes, pues que para el i o de Noviembre de este año debe pro veerse la plaza, cuya dotación consiste en 600 ducados, pagados por meses ó tri mestres en metálico, los 500 de sus propios, y los 100 de los fondos de su hospi tal destinado tan…</t>
  </si>
  <si>
    <t>Garay, Bernardino</t>
  </si>
  <si>
    <t>Bernardino Garay</t>
  </si>
  <si>
    <t>…Antonio Arménteros, X). Lorenzo Fernandez Somera, D. Miguel Urquia, D. Cárlos Armenteros y D. Juan Jbséf Baríiteli. Grado de capitán de infantería al sargento primero graduado de teniente D. Bernardino Garay: grados de teniente á los de lá misma clase graduados de subteniente D. Blas Ñégfo y D.- Rufino de Castro ; y grados de subteriiente á'lps dé la propiaclase D* Peregrino Bau, D. Cárlos González , D. Anto nio .Bárfiiosp/, P* Pedro .Giménez', fí. Francisco Muño…</t>
  </si>
  <si>
    <t>Garces, Gregorio</t>
  </si>
  <si>
    <t>Gregorio Garces</t>
  </si>
  <si>
    <t>208</t>
  </si>
  <si>
    <t>…que dichos vales pertenecen á la indicada señora. Fundamento del vigor y elegancia de la lengua castellana, expuesto, en el pro pio y vario uso de sus partículas por el presbítero D. Gregorio Garces: dos tomos en 4.0 De esta obra, que por su singular mérito mereció que la Real academia es pañola la hiciese imprimir á sus expensas en 1791, se creia concluida ya la impre sión; pero habiéndose encontrado unos pocos exemplares, se anuncia al público que se h…</t>
  </si>
  <si>
    <t>Garcés, Josef</t>
  </si>
  <si>
    <t>Josef Garcés</t>
  </si>
  <si>
    <t>…l ministerio de x Ik Gttíerta: ,&lt;j Caballería^ de línea y ligera. Cf Grados de tenientes á los alféreces D. Pedro Cataneó y Negro, D. Ig nacio Tejeiro y Lastra, D. Josef Quintero, D. Josef Garcés, D. Antonio Ferri, D. Manuel Moreno, D&gt; Josef Funes, D. Ignacio Iturrigaray, D. Fran cisco Martos,: D. Francisco G^rces, ,D. Gonzalo Lobo , D. Josef Araujo, p. Josef Rovirat, D. Antonio Sierra , D, Josef María Lauquer, D. Josef Dá^ viía, ,D&lt;Antonio Alvare^, D…</t>
  </si>
  <si>
    <t>Garcés, Josef Eladio</t>
  </si>
  <si>
    <t>Josef Eladio Garcés</t>
  </si>
  <si>
    <t>…rande: para la de Cien pozuelos á D. Francisco Herrero Blanco: para la de Salva tierra á D. Manuel del Pozo: para la de la Bañeza á D. Bartolomé García Terrón: para la de Nájera á D. Josef Eladio Garcés: para la del Ferrol y la Graña á D. Vicente García Díaz: para la de Sta. Cruz de Múdela á Don Antonio Pimentel y Valenzuela: para la de Huecija á D. Andrés Rodríguez Valenzuela: para la de Villalpando á D. Hipólito Gil Hernández: para la de Jorquera á D. Domi…</t>
  </si>
  <si>
    <t>García, Alonso</t>
  </si>
  <si>
    <t>Alonso García</t>
  </si>
  <si>
    <t>…onio Molina , D. Bawolomé Pombo, D. F rancisco Ortega , D. Miguel Polidoro y D. Josef Trillo, D. Manuel* Diez tarabilla , D. Francisco Estrada, D, Manud Lebony D. AntonioiMangas ,;D. Alonso García, D. Manuel Ro-</t>
  </si>
  <si>
    <t>García, Antonio</t>
  </si>
  <si>
    <t>Antonio García</t>
  </si>
  <si>
    <t>…y D. Vicente Aneses ; subtenientes de cazadores á D. Domingo Miranda y D. Juan Manuel Piedra, y 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Campuzano, gobernador de las aduanas de Cantabria, ha venido S. M.…</t>
  </si>
  <si>
    <t>…haves y D&lt; Fernando Mateos Mettdez : á los de los batalló-»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Eulogio González, D. Manuel Lúeas, D. Cristóbal Martin, D. Joaquín Serrano y D. Amonio Pinalero2.a Entera…</t>
  </si>
  <si>
    <t>…r, D. Ca yetano Vivar , P,; JqseJ de^fcuenca, EX Francisco Caso, D. Felipe Mendicuti, í). Baltasar Gonzajes* *&gt;¿X;FVancisep de Torres, D. Andrés Casainayer, D. Francisco Reguera , D. Antonio García, D. Pedro Pineda , D. Josef Co nejo, D^Ramon Agón', D. Manuel -Gá'stambide , D. Juan Palomero , D. Ra^ mon Oleína, D. Fernando Belarde,;D. Miguel Almagro, D. Manuel Ovan do , Ds. Bartolomé González , D. Antonio María; Mvuñoz , , Dr Miguel María Muñoz V D. Jos…</t>
  </si>
  <si>
    <t>…ro de la Torre, D. Miguel Oliver, D. Pascual Menacho, D. Cárlos Teodoro,Gil, D. Claudio Vinuesa, D. Juan Qüirante, D. Josef María Muñdz*, D. Francisco Ocaña, IX Antonio Gayosrí ,. D. Antonio García, D. Víctor Perez, D. Francisco Laborda, D. Antonio Echavarri, I). Josef Valcárcel 'yRosique, D. Josef Gómez Arteche , D. Joséf Gutiérrez, D. Josef B en i tez Cafrípou ,D. Segundo Ulibarri, D. Miguel Párraga, D- Juan Amonio Pereyra, D. Pablo Ortiga Samaniego,…</t>
  </si>
  <si>
    <t>García, Antonio Josef</t>
  </si>
  <si>
    <t>Antonio Josef García</t>
  </si>
  <si>
    <t>…pesos, creación de Mayo, señalado con el número 443014, se cita, llama y emplaza á to dos los sugetos comprendidos en los endosos del mismo vale, que son: D. Juan Jo* aef/Moreno; D. Antonio Josef García; D. Ricardo del Pilar; D. Josef Caree, h¡jó j compañía ;'D. Pedro Fermín Hernaez; D. Josef Félix Gómez; D* Diego Gas* támbide; D. Jícóbo Gattens, de Sevilla; D. Rafael de Góngora y Delgado; Do* Ignacio Casal ; D. Andrés Marzan; D. Pedro Martínez Lozano; D. Ra…</t>
  </si>
  <si>
    <t>García, Baltasar</t>
  </si>
  <si>
    <t>Baltasar García</t>
  </si>
  <si>
    <t>…ncisco Ánglada; los siempre animosos comandantes de guerrillas teniente coronel D. Mariano Venero, capitán de egército D. Josef Ignacio Iturralde, y su segundo el capitán graduado D. Baltasar García; y en suma nq hay individuo alguno que no se baya hecho acreedor al inestimable re nombre de alustres guerreros del egército del Rey. , ... „En el pn.ebío de Sicuani mandé juzgar y sentenciar en una junta militar a j Insigne caudillo Pumachahua, cuya egecucio…</t>
  </si>
  <si>
    <t>García, Francisco</t>
  </si>
  <si>
    <t>Francisco García</t>
  </si>
  <si>
    <t>…de Teniente Coronel á D. Pedro Verea y D. Josef Cólmelo, del mismo Regimiento Provincial de Santiago; D. Ramón Taboada, del Provincial de Betanzos; O. Antonio García, del de Lugo; D. Francisco García, del de Orense; D. Josef Orus, D. Basilio Rubio, D Antonio Cermeño , D. Alon so Puebla y D. Antonio Alonso Isla, del de Voluntarios de León; D. Ma riano Alonso y D. Francisco Osorio, del Depósito general de Infantería; P. Alexandro Benisia, de la escuela mili…</t>
  </si>
  <si>
    <t>…nzo del Escorial, 1.884293 rs. y 20 mrs. que le adeuda Ja Real hacienda, y ademas 100® rs. en efectivo: D. Juan Recalde 111549 rs. por intereses de 206 vales Reales de 150 pesos : D. Francisco García 4® rs. que se le deben por suministros que ha hecho al egército: D. Jósef Abentosa 3 rs. diarios para mantener un soldado durante la guerra: una persona, que h» pedido se le oculte su nombre, 116722 rs. y 9 mrs. por los réditos de una imposición sobre la rent…</t>
  </si>
  <si>
    <t>García, Gonzalo</t>
  </si>
  <si>
    <t>Gonzalo García</t>
  </si>
  <si>
    <t>…. Josef María Tandero, Don Salvador García, tenientes del segundo batallón de Ciudad Rodrigo, y D. Francisco Picado, segundo ayudante de la plaza de Ciudad- Rodrigó: de teniente á D. Gonzalo García, subteniente entonces del batallón de vo luntarios de Avila, D. Félix Frías, D. Zacarías Ruiz Malo, D. Bernardo Hernández, de los batallones de voluntarios de Ciudad Rodrigo, D. Jo sef Serrano, alférez de caballería, y D. Manuel De pis, subteniente de in váli…</t>
  </si>
  <si>
    <t>García, Gregorio Mariano</t>
  </si>
  <si>
    <t>Gregorio Mariano García</t>
  </si>
  <si>
    <t>…., él año que le toca pagados de los propios. Se podrá tratar en esta córte con Don Ramón Martínez Quadrado, que vive calle de la Cruz, núm. 4, quarto principal, y en Valleeas con D. Gregorio Mariano García, sus dueños, quienes informarán de las demas circunstancias. José María Maza, natural de la ciudad de S. Fernando, y domiciliado en Cá diz, hijo de IX Domingo y de Doña Antonia Ru iz, entró de voluntario en el año ¿z 1808 en el regimiento provincial de Xerez…</t>
  </si>
  <si>
    <t>García, Jacobo Vázquez</t>
  </si>
  <si>
    <t>Jacobo Vázquez García</t>
  </si>
  <si>
    <t>…a la dé Rivadavia á D. Martin Rodríguez Ojea: para la de la Rambla á D. Antonio Hermida , Bascoas: para la de Belmonte á D. Josef Sánchez Cueto: para la de Saníúcar de Barrameda á D. Jacobo Vázquez García: para la primera de Córdo ba á SD. Josef García Leca: para la de Sigüenza á D. Juan Peynador y Pi no: para ia de Iguña á D. Isidoro de Josué y Barreda: para la de Leinus á D. Francisco de Paula Villareal: para la de Mónterey á D. Carlos Angulo: para la de Col…</t>
  </si>
  <si>
    <t>García, Josef</t>
  </si>
  <si>
    <t>Josef García</t>
  </si>
  <si>
    <t>…ncisco La-Reguera y D. Vicente Aneses ; subtenientes de cazadores á D. Domingo Miranda y D. Juan Manuel Piedra, y 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Campuzano, gobernador de las aduanas de Cantabri…</t>
  </si>
  <si>
    <t>García, Josef de Florez y</t>
  </si>
  <si>
    <t>Josef de Florez y García</t>
  </si>
  <si>
    <t>…colegial de S. Ildefonso: para otra ración de la iglesia cole gial de Sancti Spiritus de la ciudad de Santiago * que resultará vacante por promoción de D. Mariano Gil Fernandez, ¿ D. Josef de Florez y García: para otra ración de la jglesia catedral de Avila, vacante por fallecimiento de D. Juan del Rey Negrilla, á D. Benito Gómez de Gayangos, cura propio de Canales, en la diócesis de Sígti^nza: para ©tra racion de la de</t>
  </si>
  <si>
    <t>García, Josef Perez</t>
  </si>
  <si>
    <t>Josef Perez García</t>
  </si>
  <si>
    <t>250</t>
  </si>
  <si>
    <t>…nuel Villaran.” El R ey se ha servido nombrar para la dignidad de prior, que se halla vacante en la iglesia catedral de Oviedo por fallecimiento de D. Ramón de Miranda y Sierra, á D. Josef Perez García, canónigo de la catedral de León, en prueba de no haber incurrido en su Real desagrado siendo vica rio eclesiástico de Madrid en el año de 1798, por el reconocimiento que practicó de la casa ds D. Juan Antonio Rodrigalvarez, por orden del go-</t>
  </si>
  <si>
    <t>…onsejo, para auxiliar a! alcalde de casa y corte D. Pedro Nicolás del Valle; y para la canongía, que resulta vacante en la referida catedral de León por la promoción del expresado D. Josef Perez García, á D. Fernando Hermoso, El Rey se ha dignado nombrar para el corregimiento político de la ciudad y plaza de Almería á D. Ramón Conti, gobernador militar de ella: para el de Alcalá la Real á D. Francisco Gregorio de Vargas Machuca: para el de Xerez de la Front…</t>
  </si>
  <si>
    <t>García, Juan JúSto</t>
  </si>
  <si>
    <t>Juan JúSto García</t>
  </si>
  <si>
    <t>…persona que lo sepa se sirva avisarlo á Dqn Manuel García, que viVé* cal le dé las Hileras, número 8, quárto entresuelo. ” 'Elementos dearitifiética, algebré y geometría: su autor D. Juan JúSto García, presbítero,, del gremio y claustro de la universidad de Salamanca, y uno de sus -'ca tedráticos de matemáticas * quien los ha corregido y añadido, en esta quarta impre siona La utilidad de esta obrita es bien conocida por encerrar en dos solos volúme nes de…</t>
  </si>
  <si>
    <t>García, Juan Justo</t>
  </si>
  <si>
    <t>Juan Justo García</t>
  </si>
  <si>
    <t>…°, y se: hallará en las librerías de Ranz, calle de la Cruz, y en la de Calleja, calle de las Carretas , á 8 rs. en rústica. Elementos de aritmética, álgebra y geometría: su autor D. Juan Justo García, presbítero, del gremio y claustro de la universidad de Salamanca, y uno de sus ca tedráticos de matemáticas, quien los ha corregido y añadido en esta cuarta impre* sion. La utilidad de esta obra es bien conocida por encerrar en dos solos volúmenes de 8.° may…</t>
  </si>
  <si>
    <t>García, León</t>
  </si>
  <si>
    <t>León García</t>
  </si>
  <si>
    <t>…, casa, y.lo que lé produzcan de 20 á 30 niños, con algunos otros emolumentos. Los preten dientes que quieran obtener esta plaza dirigirán sus memoriales al alcalde de dicha villa D. León García hasta el 24 del corriente. Se desea saber el paradero de Doña María Concepción Fernandez de Ja; Cuesta y Gómez, ó alguno de sus parientes, que en el año de 1791 vivía en la calle del Burro, casa nueva de las monjas gerónimas. La persona que tuviere' alguna no…</t>
  </si>
  <si>
    <t>García, Lorenzo</t>
  </si>
  <si>
    <t>Lorenzo García</t>
  </si>
  <si>
    <t>…9 Josef Saavedra , D. Maimel del Barrio, D. Bartblómd Labrador, D. Raimun do Marín, D. Josef Fernandez de los Muros, D. Fernando Plaza, D. Isidro Cifuentes, O. Antonio Montesinos, D. Lorenzo García, D. Miguel1 Blanco* D. Francisco Sancha, D.-AntonioEstevezyD; Ildefonso Mansilla, D. Gre-f gOrio Pieoir, D. Cristóbal Bermejo ,D. Francisco López, D. Francisco Arahuetes i D. Joaquín Escorriguela, D. Francisco Biatela y D. Nicolás Viguri (*.). 1 Asimismo se l…</t>
  </si>
  <si>
    <t>García, Manuel</t>
  </si>
  <si>
    <t>Manuel García</t>
  </si>
  <si>
    <t>…a anti güedad y el méritoque han contraído en la anterior guérra, sosteniendo los sagrados derechos dé 1 trono. Grados de tenientes coroneles de infantería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t>
  </si>
  <si>
    <t>García, María Magdalena</t>
  </si>
  <si>
    <t>María Magdalena García</t>
  </si>
  <si>
    <t>…tos de la inclusa! dei esta corte , en la calle de las Carretas, esquina á la Puerta del Sol, en los ólas 9, ic, 11 y 12 del presente mes de Enero, tocó por suerte dicho tocador á Doña María Magdalena García , que vive cade dejos Preciados?, casanum. 7, quarto principal, de esta misma corte,cuya cédula se halla colocada-akfbüo 1247 del quaderno , y comprende eL^ntímero 3369Ó. Lo que seyhacenotprio para nóticia y satisfacción de las personas que se hallaban intere…</t>
  </si>
  <si>
    <t>García, Martin de Pineda</t>
  </si>
  <si>
    <t>Martin de Pineda García</t>
  </si>
  <si>
    <t>…Después de esto se procedió al repartimiento de los premios ofre*^ cidos en la forma siguiente*. D. Marcial López , abogado de los Realas conse jos, vecino de Daroca en Aragón , y D. Martin de Pineda García deLara, catedrático de física en la universidad literaria de esta ciudad, obtuvieron ambos igualmente el título de socios de merito y medalla de una onza de oro coú el busto de S. M. y la empresa de la sociedad , por haber presentado dos lañes de educación ge…</t>
  </si>
  <si>
    <t>García, Miguel Recuero</t>
  </si>
  <si>
    <t>Miguel Recuero García</t>
  </si>
  <si>
    <t>…os mensualmente, y ademas lo que paguen los niños, á excepción da los pobres de solemnidad. Los maestros que quisieren hacer solicitud la dirigirán al ayuntamiento por medio do su secretario Miguel Recuero García. En la misma villa de Algete se halla vacante el partido de médico , que vale ^00 ducados cobrados por Ja justicia, y pagados en tres tercios, y adémaselo que pa ngue el estado eclesiástico. Los que quieran solicitarlo dirigirán sus memoriales ál ayuntamiento…</t>
  </si>
  <si>
    <t>García, Ramón</t>
  </si>
  <si>
    <t>Ramón García</t>
  </si>
  <si>
    <t>84* D. Ramón García 1400 rs. importe dé un caballo que entrego para el ¿g¿rcito: D. Pedro Bernardo de la Peña 10830 rs. , reditos de vales : D. Silvestre Navarro , D. Simón dé Segoyia y D. Juan Canturry 17352 rs. y 20 mrs. en 69 recibos de suministros á tropas, y de¡ 2 marcos 7…</t>
  </si>
  <si>
    <t>García, Salvador</t>
  </si>
  <si>
    <t>Salvador García</t>
  </si>
  <si>
    <t>…as compañías de Ciudad-Rodrigo : de capitán á D. Juan Henriqoez y D. Antonio Vázquez Aldana, ayudante y tenien te del regimiento de infantería de Mallorca, D. Josef María Tandero, Don Salvador García, tenientes del segundo batallón de Ciudad Rodrigo, y D. Francisco Picado, segundo ayudante de la plaza de Ciudad- Rodrigó: de teniente á D. Gonzalo García, subteniente entonces del batallón de vo luntarios de Avila, D. Félix Frías, D. Zacarías Ruiz Malo, D. B…</t>
  </si>
  <si>
    <t>García, Segun do Cayetano</t>
  </si>
  <si>
    <t>Segun do Cayetano García</t>
  </si>
  <si>
    <t>…ianato de Borriol en la de Tortosa, á D. Francisco Javier de Outon, médio-racionero de la iglesia de Sevilla: otra* canongía vacante en la misma catedral de Jaén por traslación de D. Segun do Cayetano García á otra canongía de Oviedo á D. Juan Antonio Fuero,: arcediano de la iglesia* de Chiapa , en la provincia de Goatemala; y la ración que vacó por fallecimiento de D. Melchor de Cuesta á D. Diego Martin Blan co : el beneficio servidero de la ciudad de Cazorla, q…</t>
  </si>
  <si>
    <t>García, Segundo</t>
  </si>
  <si>
    <t>Segundo García</t>
  </si>
  <si>
    <t>…D. Josef Gines de Zamora, 0. Joaquín. Esoatolero, y D. Rafael Pizarro , Capitanes del Regimiento de Mallorca; á D. Ildefonso Prieta, D. Angel Castellanos, D. Manuel de Ro— xas, y D. Segundo García, Capitanes de Voluntarios de Avila ; á D. Pas cual Coca , D. Cenon López, 0. Bernabé Porián, y D. Josef Diaz, del primer Batallón de Ciudad-Rodrigo; á D. Antonio Echenique, D. Domin go García , D. Hénrique Arias, D. Vicente Xerez , y D. Juan Ferrero, Sargento…</t>
  </si>
  <si>
    <t>García, Segundo Cayetano</t>
  </si>
  <si>
    <t>Segundo Cayetano García</t>
  </si>
  <si>
    <t>…de Oviedo, vacante por fallecimiento de D. Manuel González de la Granda, á D. Francisco Escandon : la canongía que vacó en aquella catedral por fallecimiento de D. Manuel Martin á Don Segundo Cayetano García, canónigo de la iglesia catedral de Jaén: otra ca__ CO Véase la gaceta del martes 6 deb corriente.</t>
  </si>
  <si>
    <t>Garda, Manuel Benito</t>
  </si>
  <si>
    <t>Manuel Benito Garda</t>
  </si>
  <si>
    <t>…jmgía de la iglesia colegial de Santa María deí Campo de ia ciudad de ia Coruua, en ei arzobispado de Santiago, vacante por falfecimién tb de D. Manuel de Saavedra- y Carvajal,, á D. Manuel Benito Garda * cura párroco castrense y del.hospital, militar de Medina Je Riosecó: para ana. media raciqa de la iglesia catedral de Cdrdo -* ba , vacante por promoción de D. Ramón de Pineda y Arellano á una canongía de la de Piasencia, á D. &lt; Fermín del Rio , cura de Ven…</t>
  </si>
  <si>
    <t>Garlos</t>
  </si>
  <si>
    <t>…tares 6 patriotas qué&lt; hubieren muerto,en defensa d^ la justa causa de k nación ,&lt; hacabido en suerte del primer extracto de la dtt éste día á Dona Ciprianajósefa Calafat, hija de D. Garlos, teniente delva** gata de la Real armada, muerto en el campo del honor. ; La extracción siguiente se égecutará el dia 13 de Noviembre. : *“■ L &gt; j i * j t v* v. ! &lt;* ’. j ■ ■: ■ ■ - . . - &gt; * i íí .. I . i t ; t..: .. ?',4 . * ¿ * j ‘. -■* -í * síj&gt; . . - o*r…</t>
  </si>
  <si>
    <t>…stimación y preferencia para cualquiera grabado que; debiera llamar el apre cio y admiración de los profesores, como la causó.en diferentes obras que le encargaron los Sres. Reyes D. Garlos ni y D. Cárlos iv y los Reales cuer pos de Artillería y Marina. El retrato de Carlos v del cuadro de Ticiano, las dos estampas del paso del Jordán, copiadas de los cuadros de Lucas Jor^ dan, la de la Virgen llamada del Pez, de Rafael Urbino, las estampas de l…</t>
  </si>
  <si>
    <t>Garnica, Francisco</t>
  </si>
  <si>
    <t>Francisco Garnica</t>
  </si>
  <si>
    <t>…glesias, D. Salvador de Cárdenas, D..Andrés Maymo, D&lt; Clemente Gutiérrez, D, Vicente Rodríguez, D. Pedro Pilón; D: Luis Polo de Bernabé , D. Josef García Ibarguen, D. Juan Soüoso, D. Francisco Garnica , D. Rafael Legpbien, D. Miguel Roldan , D, Rafael Aristegui y Don Josef Estrada. - Grado de. intendente de marina á los comisarios ordenadores D, Domingo CarruagatovD; Juan Nieto y D. Antonio Ventura Cincúnegui. 1 Gradó; de. comisarios de marina ordenadores…</t>
  </si>
  <si>
    <t>Garnier</t>
  </si>
  <si>
    <t>…rón de Vitrolles; eí conde Bartheíemy, par de Francia; el mariscal Macdonald, duque de Tarento , par de Francia ; Mr. de la Luxerne, antiguo obispo de Langres, par de Francia-; el conde Garnier,~ par de Francia; el duque de Levy, par de Francia ; el conde Barbé-Marbois, par de Francia; el conde Fontanes, par de Francia; el conde de ChóiseulGouffier, par de Francia; el conde de Lally-Tollendal, par de Francia; el vizconde de Chateaubriant, par de Fra…</t>
  </si>
  <si>
    <t>Garnier, Francisco Paula</t>
  </si>
  <si>
    <t>Francisco Paula Garnier</t>
  </si>
  <si>
    <t>…8 en pasta y 6 en rústica en las librerías de Hurtado» calle de las Carretas» y de Villa , plazuela de Sto. Domingo. / MÓreau en su despedida de la América: drama en un acto, por D. Francisco Paula Garnier. Se vende en la librería de Hurtado, calle de las Carretas, donde también sé hallará el drama dé‘los Ar api les, del mismo autor. ' Manualdc'curiosos , y almanack para señoritas con varias curiosidades, y en ca da mesuntviñeta. Sehallará i ó rs. en !á librerí…</t>
  </si>
  <si>
    <t>Garramiola, Domingo</t>
  </si>
  <si>
    <t>Domingo Garramiola</t>
  </si>
  <si>
    <t>…Don Domingo María del Rio Murga, con retención de la ración que obtiene en la misma iglesia de Toledo v para la canongía vacante en la iglesia colegial de Vitoria por promoción de D. Domingo Garramiola á una canongía de la catedral de Calahorra á D. Pedro Díaz de Holarte; para el arciprestazgo de Fontidueña, el beneficio servidero de la parroquial de Santa.María, ti tulada del Cordero, en la misma villa, y el préstamo de S. Miguel de Ber^ mui, vacantes en e…</t>
  </si>
  <si>
    <t>Garrasquedo, Agustín García</t>
  </si>
  <si>
    <t>Agustín García Garrasquedo</t>
  </si>
  <si>
    <t>…sus buenos servicios y circunstancias. El Rey se ha servido promover á mariscal de; campo subinspector de. artillería en el departamento de Barcelona al brigadier gefe de escuela Don Agustín García Garrasquedo. Por el presente se cita, Usina y emplaza á las personas que se contemplen cont derechoerecho. . á losf bienes1 -T7 quedados* *_____ ___________________por el fallecimiento_______ -----------------------------------------------______abintestato _____de ______…</t>
  </si>
  <si>
    <t>Garrido, Antonio</t>
  </si>
  <si>
    <t>Antonio Garrido</t>
  </si>
  <si>
    <t>…rique Arias, D. Vicente Xerez , y D. Juan Ferrero, Sargento mayor y Capitanes del segundo Batallón de Ciudad- Rodrigo; á 0. Patricio Iñiguez, D. Blas Carrasco, D. Josef Robledo, y D. Antonio Garrido, Capitanes dél tercer Batallón de la misma denominación, y á Don Francisco Huerta, Ayudante de la Plaza de Ciudad Rodrigo: al grado de Capitán á los Tenientes D. Pablo Baza, del Real Cuerpo de Artillería, 0. Tomas Yarto, D. Santiago Otero, D. Andrés Floren, D…</t>
  </si>
  <si>
    <t>Garrido, Bernabé Antonio</t>
  </si>
  <si>
    <t>Bernabé Antonio Garrido</t>
  </si>
  <si>
    <t>…del monasterio de S. Andrés del Arroyo, en la provincia de Palercia, de 2500 rs. vn., única cantidad que há podido rescatar de la rapacidad de las tropas francesas ; el presbítero Don Bernabé Antonio Garrido, de Fucnmayor de Rio, de los granos correspon dientes á quatro años, regulados en 1® rs. vn. cada uno, por el beneficia simple que goza en la villa de S. Miguel; y D. Roque Jover y Vidala ve cino de Medina del Campode 1830 rs. vn. en un recibo de intereses de…</t>
  </si>
  <si>
    <t>Garrido, Josef Nuñez</t>
  </si>
  <si>
    <t>Josef Nuñez Garrido</t>
  </si>
  <si>
    <t>…de este año; se ha servido nombrarles Alcaldes de su Real casa y corte; y por las resultas en aquella audiencia para la de Oidor á D. Jacobo Antonio Teigeiro: para la de Alcalde á D. Josef Nuñez Garrido; y para la plaza de Oidor de la chan ciliería de Valladolid que resulta vacante á D. Eladio Valdenebro. Para el corregimiento de Illescas ha nombrado S. M. á D. Ramón Añtuñano: para el de Atienza á D. Manuel Gordo Vidal: para el de Coronil á D. Pedro García C…</t>
  </si>
  <si>
    <t>Garrido, Juan</t>
  </si>
  <si>
    <t>Juan Garrido</t>
  </si>
  <si>
    <t>…To mas Moyano, secretario interino dé Estado y del despacho de Gracia y Jus ticia , el Real decreto siguiente: En atención á los repetidos y- singulares servicios que me ha hecho Don Juan Garrido, y á la grande adhesión que siempre ha tenido á mi Real Per uana, le hicé la gracia de nombrarle mi Secretario conexerciciode decretos en 2o de Setiembre último, cuya gracia me reservé don objeto á llenar mis justas intenciones ; y habiendo continuado dándome…</t>
  </si>
  <si>
    <t>…por el presente á todas las. personas, que sean acreedores á dicha casa , para que comparezcan por sí ó persona que diputen: con suficiente poder por la escribanía de provincia de D. Juan Garrido,; en inteligencia de que á los que</t>
  </si>
  <si>
    <t>Gartés, Antonio Pálaciosy</t>
  </si>
  <si>
    <t>Antonio Pálaciosy Gartés</t>
  </si>
  <si>
    <t>…de cámara dé &amp; [M. con Cxercicio, Don Fernando Gov.antes, comisario ordenador de Marina, Di rt Josef y D. Juan de Dios Govatites, cadetes del Re; 1 cuerpo de Guardia^ deOórps?, y D. Antonio Pálaciosy Gartés, abogado dé los Reales consejosf dé los quales el primero dixo: ; o ^ ,00 t v ,,’Se ñor: la villa de Osuna tiene el honor de pre entárse ante la augusta .Persona de V. M., y tributarle dé nuevo él debido homenage aomo k su Rey y Señor. El referir á V. M. los…</t>
  </si>
  <si>
    <t>Garvizo, Pedro Ignacio-</t>
  </si>
  <si>
    <t>Pedro Ignacio- Garvizo</t>
  </si>
  <si>
    <t>…Perez, beneficiado de preste de la parroquial de Prádanos. = El beneficio de la iglesia de Sta. María ae la ciudad de Tafalla ^diócesis de Pamplona/que Ira vacado por promoción de D. Pedro Ignacio- Garvizo al arcedianato- dé Sta.! Gema, á IX Manuel Galduros. =r La canongía vacante en la iglesia catedral dé'Or ihúe* la ,por muerte de D. Matías Perez á I&gt;. Antonio Mana Queypode Llñno, ca nónigo de la de Oviedo ; y la que ha vacado en fct misma catedral por muer t…</t>
  </si>
  <si>
    <t>Gas, Antonio</t>
  </si>
  <si>
    <t>Antonio Gas</t>
  </si>
  <si>
    <t>…nceses ; especialmente de la .academia fráncéüa : por D: Matías de Rueda y León. ÁñádenVe dos diálogos,*uno dé1 Fonténelle, y otro de Feftélón , y el análisis de las gramáticas de D. Antonio Gas mace y de D. Pedro NicolásChantreau. Se ha llará en Madrid en la librería de Villárcal, calle de las Carretas, y en Santiago en la de Roy y Romero. En las mismas 1 i brema se hallará la gramática española para uso de los francéses, del mismo autór: és también…</t>
  </si>
  <si>
    <t>Gasanuova</t>
  </si>
  <si>
    <t>…las tropas roseanas, y fueron recibidas .por él péeblo coni repetidas&gt;aclamaciones de viva Fernando ni. ■ • i o .0 : &gt;» -jo ; ; Desembarcadas todas las tropas de íd espedfcron, su comandante Gasanuova envió un parlamentario á Portoferray o , y en seguida salió otro5 de está plaza dirigido al mismo comandante.: Después de algunas contesta ciones se hizo un convenio, en virtud del cual las tropas tosca ñas tomaron posesión de ¿oda: Ja isla, escepto de Portof…</t>
  </si>
  <si>
    <t>Gascón, Santiago López</t>
  </si>
  <si>
    <t>Santiago López Gascón</t>
  </si>
  <si>
    <t>…úell, D. Joaquín González', IX Juan García-, '0; Ramón de Coba, D. Josef Mon tano,,? D. Ignacio Foja, rD. Antonio Marco , D. Ginés 'Rubio, D. Josef Ga vilanes , D Joaquín Aguijar, D. Santiago López Gascón, D. Ambrosio Mar tínez, ÉX C^ayemnp Ojezalde,; D.-Antonio Delgado, D. Gaspar Jover, Don NJarciso,Felipe, IX Josef Vilíavieencio, D. Cristóbal del Aguila, D. Berna-? Fe Chinchilla,, D. Manye! Carrasco, D. Tomas López, D. Miguel Bueno, JX Juliani Lop£z dq Ansó…</t>
  </si>
  <si>
    <t>Gaseo, Joaquín Tercero</t>
  </si>
  <si>
    <t>Joaquín Tercero Gaseo</t>
  </si>
  <si>
    <t>…D. Francisco Anaya y Villazan: para la de alcalde mayor segundo de Córdoba á D. Carlos Guerrero: para el de Miranda de Ebro á D. Josef Victoriano de Olaeta; para la de Antequera á D. Joaquín Tercero Gaseo i y para la de Sepulveda á D. Manuel FrutosPara ef corregimiento político* de la ciudad de Granada ¿ D. Juan de Campos y Molina: para el de Hellin á D. Josef Angulo: para el de Plasencia á D. Francisco»Xaviét ViLlanueva:para el de la isla de la Gran Cana ria…</t>
  </si>
  <si>
    <t>Gaspar</t>
  </si>
  <si>
    <t>…on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Cayetano Salcedo, Dw Andrés Nieto.-, B; Manuel Nifo, D. Juan Ltiis&gt; Astraudi yB* Martin dé lbs¡filenos ,D¿ Gabriel: fescolar, D; Ma teo Fe…</t>
  </si>
  <si>
    <t>Gassendi</t>
  </si>
  <si>
    <t>…chen, el conde Cornudet, el conde de Aboville, el mariscal duque de Dantzick ( Lefevre), el conde de Croix, el conde Dedelei-de-Agier, el conde Dejean, el conde Fabre del Aude, el conde Gassendi, el conde Lacepede, el conde Látour-Maugbourg, el duque de Praslin, el duque de Plasencia, el mariscal duque de Elchingen (Ney ),.el mariscal Suchet, el mariscal duque de Conegliano (Moncey), el mariscal duque de Treviso ('M^rtier), el conde de Barral, arzobi…</t>
  </si>
  <si>
    <t>Gassp, Antonio</t>
  </si>
  <si>
    <t>Antonio Gassp</t>
  </si>
  <si>
    <t>…de francisco Compte, portero de la Real casa lonja, y agente en la reunión de ía noche dé 10 de Mayb. dé 1809 para facilitar la entrada de las tropas españo las en la ciudad: por D. Antonio Gassp. Se hallará en la librería de Dávila, calle ■ \ dé las Carretas. . . :;;‘V V- '-V.- ~; ffiáta. En ía gaceta dél jueves ñltiitid i.°, del corriente, pág. 594 &gt; lín. 24; donde dice 2X Diego Migtál Bravo ¡Xéiiz. D. Pedro Josef Bravo y Alú Ástmismcj en la gaceta…</t>
  </si>
  <si>
    <t>Gastañaga, Martin de</t>
  </si>
  <si>
    <t>Martin de Gastañaga</t>
  </si>
  <si>
    <t>…rado las pasará á este Ministerio de la Guerra para la expedición del diploma correspondiente. Dios guarde á V, muchos años. Madrid 14 de Mayo de 1815. . Habiendo nombrado S. M. á D. Martin de Gastañaga» alcalde del crimen de la audiencia de Valencia, por asesor del general ministro de lá Seguridad pública, se ha servido concederle plaza efectiva de alcalde-dé casa y corte; y otra plaza efectiva de alcalde de casa y corte á D. Ma nuel A rbizu, alcalde del cr…</t>
  </si>
  <si>
    <t>Gasteaburu, Joaquín</t>
  </si>
  <si>
    <t>Joaquín Gasteaburu</t>
  </si>
  <si>
    <t>…ian López Pecero: para el empleo de ayudante en las compañías sueltas de caballería de Santa al teniente D. Ma riano Mateus: para tenencias en las mismas compañías á los alféreces Don Joaquín Gasteaburu y D. Pablo García Rivas; para una subtenencia de lás mismas al soldado distinguido D. Angel González del Riego: para dos ayu^&gt; dantías en el regimiento de caballería de Truxsilo á los tenientes D. Martín Josef Ostolaza y D. Josef Cíemente Merino; para otra en el de infantería de Cax…</t>
  </si>
  <si>
    <t>Gastlereagh</t>
  </si>
  <si>
    <t>…h los embaxadores dó Rusia, de Prusia, de Austria, de España, de Por tugal y de muchos príncipes soberanos de Alemania, y permanecieron en* junta mas de dos horas. Ayer entregó el lord Gastlereagh al Príncipe Regente varios pliegos que había recibido del embaxador ingles en París, y en su virtud se mandó que estuviese dispuesto á marchar un correo de gabinete. Idem 14. Se anuncia con mucho placer la noticia de que el gobierno ha recibido ayer el tratad…</t>
  </si>
  <si>
    <t>Gastón, Antonio</t>
  </si>
  <si>
    <t>Antonio Gastón</t>
  </si>
  <si>
    <t>…oz, D.: Juan Echenique, *6/ Vicente Varela, D. Agustín Blondo, D. Agustwt Wautersy D. Ramón Allendey-D» BenitoOirtiz, D/ Manuel Soli$y D. Nieblas Meñaca, D¿ 'Ignacio ValleMarimon; Don Antonio Gastón, D. Vicente’ Bauzáy&lt;D¿ Pedro dePalacio,D. Joaquín de Senroa y D. Nicolás Mayorga. __ •' ¡ :n Ascenso á tenientes de navio á los de fragata D.Francisco Fernandez Mi randa, D. Santiago'Echaparret, D. DiecoVenegas, D. RamonTruHol, Don -Vicente jde "Lago y D; Jos…</t>
  </si>
  <si>
    <t>Gastovecino, Pedro Fernandez</t>
  </si>
  <si>
    <t>Pedro Fernandez Gastovecino</t>
  </si>
  <si>
    <t>IT42 lacion tenia pendiente en el mismo supremo tribunal y escribanía de cámara de Don Manuel de Carranza, con los herederos de D. Pedro Fernandez Gastovecino de la villa de Daganzo de arriba, sobre que á dicho Puyó se le reintegrase de io© y .mas rs. por indemnización de los daños y perjuicios que se le causaron con la deten ción de unos carros que envió á dicha villa para conducir granos; con apercibimien to de q…</t>
  </si>
  <si>
    <t>Gattens, Jícóbo</t>
  </si>
  <si>
    <t>Jícóbo Gattens</t>
  </si>
  <si>
    <t>…son: D. Juan Jo* aef/Moreno; D. Antonio Josef García; D. Ricardo del Pilar; D. Josef Caree, h¡jó j compañía ;'D. Pedro Fermín Hernaez; D. Josef Félix Gómez; D* Diego Gas* támbide; D. Jícóbo Gattens, de Sevilla; D. Rafael de Góngora y Delgado; Do* Ignacio Casal ; D. Andrés Marzan; D. Pedro Martínez Lozano; D. Rafael Ignacio Fañtohfip D/"Joaquín dé la Barrera y Cuadra, y D. Fernando Márquez de la Plata, i fin de que los qué*$e’contemplen con algún derecho…</t>
  </si>
  <si>
    <t>Gaviedes, Manuel Gutiérrez</t>
  </si>
  <si>
    <t>Manuel Gutiérrez Gaviedes</t>
  </si>
  <si>
    <t>…sta, D. Gabriel Olivar, D. Miguel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t>
  </si>
  <si>
    <t>Gavilanes, Eusebio</t>
  </si>
  <si>
    <t>Eusebio Gavilanes</t>
  </si>
  <si>
    <t>…l Calabaza Casimiro Quesada^D.** Josef Arcos, Don Fermín Moza, DPAnjgel Villa, JL Florentino García., D. Rafael Alcalde, D, Ambrosio Doz, D. Vicente Guisber, D. Mariano Rodríguez, D. Eusebio Gavilanes, D. Juan Polo, D. Josef Baeza, D; Josef Dávila , D. Francis co Frades., D* Josef Urbiña, D. Antoiiio Valdivieso, D. Juan Sánchez , Don Manuel Laso, D. Domingo Cepeda, D. Mariano Mayor&gt; D*5Juan Bastos,</t>
  </si>
  <si>
    <t>Gáy, Luis</t>
  </si>
  <si>
    <t>Luis Gáy</t>
  </si>
  <si>
    <t>…a Ha va na alcapitandegranaderos IXPedroGastilla ¿grado de capi tán á D. Francisco Rodríguez Lambarri, teniente delrégimierttó infámerm do ’ la Luisiatia ícodipañfía de milicias á D. Luis Gáy ámyteniéhtedfel regimiento de la Lüjsiana t grado dé 'coronel á‘ DlTOgüet PálatínO^ comandante^,del iM cér batiilon dél fisto5 de Puerto-Rico i gh do deienifeiite' coronel alcapitán dd granaderos del mismo cuerpo D. Marcelo Por rasa. Asimismo ha conferido' o.…</t>
  </si>
  <si>
    <t>Gayangos, Benito Gómez de</t>
  </si>
  <si>
    <t>Benito Gómez de Gayangos</t>
  </si>
  <si>
    <t>…or promoción de D. Mariano Gil Fernandez, ¿ D. Josef de Florez y García: para otra ración de la jglesia catedral de Avila, vacante por fallecimiento de D. Juan del Rey Negrilla, á D. Benito Gómez de Gayangos, cura propio de Canales, en la diócesis de Sígti^nza: para ©tra racion de la de</t>
  </si>
  <si>
    <t>Gayncs</t>
  </si>
  <si>
    <t>…n con el general Jakson, y se han declarado en guerra abierta, empezando sus operaciones con la destrucción de varios fuertes importantes. A conse cuencia de este procedímientp el general Gayncs, á nombre del gobierno de los Estados-Unidos, ha requerido al gobernador de Georgia para que Junté 2© milicianos, y dicho gobernador há expedido ya las órdenes conducentes al efecto. :En la frontera occidental varias tribus enemigas han rehusado entrar en neg…</t>
  </si>
  <si>
    <t>Gayoso, Josef María</t>
  </si>
  <si>
    <t>Josef María Gayoso</t>
  </si>
  <si>
    <t>…¿¿.¿¿i"i-jDá Benita de la Piedrav £n Canarias........ D. Francisco.*María Herrera. -En Malaga........ D¿ Francisco Escovar. En Orense.... . D. Fernando Rey. zEn Lugo.............. D. Josef María Gayoso. r£n Santiago.i...... D. Manuel de la Riva Moreno. En la Coruñaí...... D. Felipe Elorz. En Valladolid..... D. Luis Francisco de Luis. rEn Pamplona...... D. Miguel Echarri. En Barcelona...... D. Ramón Llordella. En Zaragoza....... D. Francisco Perpiñan, barón…</t>
  </si>
  <si>
    <t>jEn Canarias........ D. Francisco María Herrera. Malaga......... D. Francisco Escovar. En Orense........ D. Fernando Rey. En Lugo............... D. Josef María Gayoso. En Santiago........ D. Manuel de la Riva Moreno. En la Coruña...... D. Felipe Elorz. En Valladolid..... D. Luis Francisco de Luís. 1 í‘„• En Pamplona...... ’D¿Miguel-Echarrí.o-.i'^:- •. r. á,, En Barcelona... D. Ramón;Llordeíla. i - iv nii Jí» Taragoza......…</t>
  </si>
  <si>
    <t>….. ....... D.. Benito de la Piedra. Mn Canarias D, Francisco María/Herrara. Mn Málaga.......... D. Francisco Escorar* v Mn Orense.i.^."... Di. Fernando Reyv. Mn Lugo."............ D. Josef María Gayoso. Mn Santiago......... D. Manuel de, la Riva Moreno* Mn la Coruña....i. D. Felipe Elorz. En Valiadolrd.,.l... TJ: Luis Francisco de Luis.. JEn Pámptond. D., Miguel Echarri.. Mn Barcelona...... D* Ramo» LlordeJla. Mn Taragoza___ D. Francisco Perpiñan* barón dé…</t>
  </si>
  <si>
    <t>GcdoyL, Manuel</t>
  </si>
  <si>
    <t>Manuel GcdoyL</t>
  </si>
  <si>
    <t>…siguientes , ;hienes y arbitrios. : . ró í •: 14. Los productos de los Lie nes secuestrados * y I a venta de -los Iconffiscados y que se. confiscaren á traidores, inclusos los de, D. Manuel GcdoyL 3= Los Maestrazgos de las cuatro Ordenes Militares en venta y renta.rr Los pro ductos en renta y venta de; las Encomiendas vacantes y que vacaren de las cuatro Ordenes Militares, y de la de S. Juan de Jerasalen.= La mitad, pot ahora , de los baldíos y realeng…</t>
  </si>
  <si>
    <t>Gdngora, Cristóbal de</t>
  </si>
  <si>
    <t>Cristóbal de Gdngora</t>
  </si>
  <si>
    <t>…nian ei E$cmo.f$r.&gt;marques dé Viiladariasjryde Id Vera, mariscal de campado ios Reales egércitos ;■ y capitán süpernumefaripde la guardia de &lt; la .Real Persono de S. M., el Escmo. Sr. D. Cristóbal de Gdngora, consegero: de Estado, y el Dr. D. Josef López d¿ la Torre Ailloncanónigo de aquella santa iglesia, metropolitana, y gobernador sede vaoánte de su&gt;-arzobispado, dos xyales dea* pues éz haber tenido-lii honra de besar la mano &lt;£ 5. M:, te cumpHmentáron por su…</t>
  </si>
  <si>
    <t>Ge</t>
  </si>
  <si>
    <t>…es y plenipotenciarios al congreso deViena que hasta aho ra* se* sabe que acompañan á Francfort á los Soberanos; aliados son los de Austria, España, Inglaterra, Prusia y Rusia. El caballero Ge&amp;£.acompañaría »i pEÍndpe Áletternichi " ^ ! . - ; c GRAN BRETAÑA. Londres 3J de Mayó. '' ' Él paquebot francés que ha traído los últimos periódicos se hizo á la veía inmediatamente jtemTieñdoqué no estuviesenya cerrados los puertos de Francia. El duque: de! O…</t>
  </si>
  <si>
    <t>Gelétasdéseába</t>
  </si>
  <si>
    <t>…es ingleses, hicimos uñ convenio militar.-_.Por parte de Ñapóles se hicieron proposicio nes totalmente inadmisibles; por la nuestra se exigió la abdicación del maris cal Murat. El general Gelétasdéseába asegura rapara; Murat la libre retirada á Francia; pero viendo que ^ esto era totalícente ^imposible, y declarando que no tenia autoridad el general Murat" piara "tratar' con respecto á su persona, se acordó el tratadó^qüé infCiüyo.l-iMe es imposible concluir…</t>
  </si>
  <si>
    <t>Gemelb, Gregorio</t>
  </si>
  <si>
    <t>Gregorio Gemelb</t>
  </si>
  <si>
    <t>…s cálculos solo ascienden á unos 8® francos. ESPAÑA. Madrid 2 y de Setiembre. - Et dia 17 rdé éste' ínés1 sé consá grarón én la iglesia de S. Frahciscb el Grande' los limos. Srés.1D. Gregorio Gemelb, obispo dé Oviedo; y Don Fr. Miguel Fernandez j del órdéñ dé S. Fraficiscoi , obispo in partibus dé Marcópolis, auxiliar y coadministradór de Quito. Flie consagrante él lima. Sr. D. Blas -Jacobo Beltrán i obispo de Ibizaj y electo de Coria: asistentes los lim…</t>
  </si>
  <si>
    <t>General</t>
  </si>
  <si>
    <t>1022</t>
  </si>
  <si>
    <t>…s no quieran ra dicarse en el partido en que se les haga la adjudicación de dichas tierxas1, pueden venderlas ó disponer de ellas á su. arbitrio: comuniqúese esta próvfT dencia al Sr. General D. Juan Ramírez para que la haga saber á ios indivi duos del egército de su mando, y me envíe una relación circunstanciada dé los que por ser naturales de otras provincias, 6 particulares motivos quetengan, quieran disfrutar en otros partidos la gracia que se les concede, á…</t>
  </si>
  <si>
    <t>’o t ~ m mos creído, señor General, que nuestro propio estímulo , y el bien general de 1$ sociedad, que tanto se interesa en recompensar las acciones nobles, exi ge que enviemos á V. E. una diputación para ofrecerle la espresion de los sentimientos que nos inspira, igualmente que el egé:cito d…</t>
  </si>
  <si>
    <t>Generes, Josef Antonio</t>
  </si>
  <si>
    <t>Josef Antonio Generes</t>
  </si>
  <si>
    <t>…de S. M. = Dado en mi Palacio de Madrid á 28 ‘de Julio de 1815. = A D. Luis María de Salazar. ‘El Rey se ha servido nombrar para la vara de alcalde mayor de la ciu dad di Huesca á D. Josef Antonio Generes: para la de la de Manresa á D. Antonio Charaochin: para la de Puigcerdá á D. Nicolás Lnendia: para</t>
  </si>
  <si>
    <t>Gennotte, Guillermo Fernando de</t>
  </si>
  <si>
    <t>Guillermo Fernando de Gennotte</t>
  </si>
  <si>
    <t>.728 ceta'de la corte de Madrid .deteste día, 4 petición de oficio del Señor Don Guillermo Fernando de Gennotte, encargado de negocios de S. M. el Empe rador de Austria y A-postéÍicó'4é¿LIttngríb. ^ - i il'I 13lé ‘fC’í‘t¿Q ODoVíiüfUJ.íoí&gt;:il&lt;’¡ií!Ui.u'Vl;iíi -Ai i:i¿LTjJiiLífiíTíIy.,ii íS J u t.'üUl I ,. .. ", ; &gt;&gt;:, .&gt;!IA"T!T'”'fft!1W'”" 'tZTH-T"1,T Por.prpKÍílencia d…</t>
  </si>
  <si>
    <t>Geppert</t>
  </si>
  <si>
    <t>*54 AUSTRIA. Viena i i de Febrero. Habiéndose concluido los asuntos de Saxonia, ha sido enviado á Berlín el teniente coronel Geppert para convidar á S. M. el rey de Saxonia á que se traslade á Viena; pero se cree que se detenga en Brunn, á diez postas de aquí» en donde quiere pasar algunos dias, y adonde ha mandado que vayan sus ministros. S. M. el emperador de Austria se dispone para ir á…</t>
  </si>
  <si>
    <t>…¡ libre por capitulá*cion. EnAquila se encontraron muchos: efectos militares.,.j30® cartuchos d$ -fusil y 10 cañones con las municiones respectivas. n n$ j &gt; : ¡ í ¿ ■ i v 3 v El general Geppert bloquea. í Ancona, eú dónde el enemigo tiene una guarnición de 3® hombres. y ■ - &gt; : : : GRAN BRÍtAÑA, ^ ^ - &gt; ■) i • &gt;■ o! n .s pj Léndre* ts de Mfy&amp;ú * i i *:b................■ ¡t i-T í: -?'•.,-1: ¿T,-. K 'A - En la gaceta ministérial de *7 del corriente se…</t>
  </si>
  <si>
    <t>Gerard</t>
  </si>
  <si>
    <t>…o sucede en Douai. ' ■ ■ : h vr El enemigo, en numero de 2 ó 3® hombres, ha pasado el Sarre; y se apodero el dia 13 de Sarguemines. El 25 se hallaba en Chateau-Salins. El teniente general Gerard ha ido sobre Toul, de donde podrá tener .cor* lespondencia con él general Beliarcl. ' Los austríacos y los badeses han pasado por Basilea el 26. El general Lecourbe se há adelantado hácia Altkirck, y creía que le atacasen al dia si guiente. Si el enemigo reci…</t>
  </si>
  <si>
    <t>Gerard'lVrzd</t>
  </si>
  <si>
    <t>…a la posición del enemigo; pero este ocupaba todavía Coft todas sus fuerzas las a luirás- del, molino de Bussy. ■ " El Emperador .se dirigió con su guardia al lugar de Ligny, y el general Gerard'lVrzd desíil ár ál géiierá 1 Pechenx Con* casi toda la reserva que le quedaba, póVqtie^la máybV parte délas- tropas dé su mando estaban empleadas en el ata qué dé éste pueblo. Ocho batallones de íá guardiá desfilaron á la bayoneta , y detras de ellos los cuatro esc…</t>
  </si>
  <si>
    <t>Germán, Pedro</t>
  </si>
  <si>
    <t>Pedro Germán</t>
  </si>
  <si>
    <t>…Carreño, D Manuel. Ümendia, D. Julio Ponce de León, D. Josef Marco y.Espejo, D.^joaguin Vargas Machuca, D. Josef de la Sendéja, D. Andrés Tacón, P. Joaquín Ro dríguez de Ribera , D. Pedro Germán D. Josef de Torre Llobregat, D. An tonio Villavicencio , D. Mauricio Albert, D. Manuel Villavicencio, D. Fran cisco Fernandez dejos Senderos , D. Josef Saravia ,* D. Manuel Vigo, Don Gaspar Pineda, D. Josef Mozo, D. Juan de* la Cueva, D. Juan Delgado,: D. josef Febrer , D; Mariano Henar…</t>
  </si>
  <si>
    <t>Geró</t>
  </si>
  <si>
    <t>…renovar la subscripción de socios con expresión de sus títulos, destinos y.residencia, para formar y publicar su lista .general por orden alfabético. A este fin el socio tesorero D. Geró nimo Martínez Mazpule (que vive Puerta del Sol, casa de Ja. Inclusa , es quina á la de Preciados) tendrá franco un libro de caxa» donde los residen tes enMadrid podrán subscribirsequando gusten. En los demas pueblos de la península, como también.en las Améric…</t>
  </si>
  <si>
    <t>…muchas apelaciones ea los varios pueblos situados á una legua de distancia, á los que le es permitido, ne pernoctando, el asistirlos. Los pretendientes dirigirán sus memoriales á D. Geró nimo García Trigo, procurador síndico general, antes del dia 7 de Mayo en que debe proveerse. Se halla vacante la plaza de maestro de primeras letras de la villa de Carabaña, del partido de Alcalá de Henares, en la provincia de Madrid: su dotación soa %6oo rs…</t>
  </si>
  <si>
    <t>Geró, Francisco</t>
  </si>
  <si>
    <t>Francisco Geró</t>
  </si>
  <si>
    <t>…da, subdelegado general de bienes mos trencos, vacantes y abintestatos, y asesor general de correos, se ha mandado se ci te y emplace á Doña Manuela Rosalía de Mosteirin, viuda de D. Francisco Geró nimo de Arríaza, como madre tutora y curadora'de sus hijos menores , ó á quien l,e represente si hubiese fallecido, á fin de que dentro de 30 dias, contados desde la fecha de este periód co, acuda al juzgado de la subdelegacion gener.I de Iqs referi dos biene…</t>
  </si>
  <si>
    <t>Gerónimo</t>
  </si>
  <si>
    <t>…Ig nacio 'de Ayeitaráu, Secretario!del Rey nuestro Señorito hice escribir por Sii mándado. ¿s El Dú^ue del InfántadO.!= D. Sebastian de Torres. = D. Mi?guel ‘Alfonso Villagomez. =±D. Gerónimo* Antonio Diez; == D. Tadeo Go*mez. = Registrada, Aquilino Escudero. = Teniente de Canciller mayor¿ Aqui lino Escudero. / ¡7 El Rey, se ha servido nombrar para úna ración , vacante en la iglesia me. t ropel i tana de Sevilla por haber sido promovido sa, canong…</t>
  </si>
  <si>
    <t>…, D. Juan Bengoechea, D. Ra fael Aleson, D. Santiago Mateos, D. Gregorio Mateo , D. Felipe Crespo, JuanAntonioRui?, 1^. ídigiiel Ibañez, D. Lorenzo López, D. Francis co Cardeñes , D. Gerónimo ¿aborda , D,. Josef Rodríguez, IX Plácido Gúell, D. Joaquín González', IX Juan García-, '0; Ramón de Coba, D. Josef Mon tano,,? D. Ignacio Foja, rD. Antonio Marco , D. Ginés 'Rubio, D. Josef Ga vilanes , D Joaquín Aguijar, D. Santiago López Gascón, D. Ambrosi…</t>
  </si>
  <si>
    <t>755</t>
  </si>
  <si>
    <t>…ainente se empeñó un cañoneo, y el enemigo sostuvo con. 30 0^110^ nes las tropas que haDÍa enviado para defender el bosque. Por nuestra parte había también artillería. A la una el príncipe Gerónimo era dueño de todq,él .bosque, y todo el egército ingles se replegó. Entonces el,conde dé(Erlop¿atacó «i luga^ áe; MdatrSaintr Jean ^haciendo qu? 8q capone? sostuviesen siijftaqp*</t>
  </si>
  <si>
    <t>…uando llega á desordenarse. El Emperador pasó el día 19 a las cinco de la mañana el Samhra por Charferoi. Se han señalado por punto de reunión Phiítppeville y Avesnes, en donde el príncipe Gerónimo».el general Morand y los otros generales han reunido ya una parte del egército. El mariscal Grouchy con el cuerpo de la derecha marcha por el AJ &gt;'^</t>
  </si>
  <si>
    <t>Gerónimo, Manuel</t>
  </si>
  <si>
    <t>Manuel Gerónimo</t>
  </si>
  <si>
    <t>…icamente que pagar D. Antonio Perez, D. Pedro Delgado, D. Antonio1 Blascuaga, D. Vicente Domínguez , Denvórat hermanos, D. Antonio Bringas,D. Sebastian de Aldama, Di Domingo Nava, Don Manuel Gerónimo dé Bringas con los cinCo gremios mayores, Enrior y Corrier, Bretón, Landay Viguri, y D. Bartolomé Cornejo, á quienes por no haberse pre sentado no se les ha satisfecho su haber respectivo ¿ que ascenderá de 9 á ioQrs.vn.; y para verificarse la conclusión de e…</t>
  </si>
  <si>
    <t>Geruti, Nicolás María</t>
  </si>
  <si>
    <t>Nicolás María Geruti</t>
  </si>
  <si>
    <t>…en él buques para atravesarlo. „Se ignora el paradero de su general Monagas, pues su caballo ensillada cayó en poder de unos soldados de Gorrín. „Se;elogian en el parte oficial de D. Nicolás María Geruti á la compañía de negros de Esquibo, al capitán D. Juan Malveche, á los tenientes D. Ma nuel Maya y D. Antonio Suarez, y al subteniente D. Antonio Rosada, del regimiento de Barbastro, al sargento mayor de milicias D. Josef Olasarra, al comandante accidental de…</t>
  </si>
  <si>
    <t>Gevallos, Pedro</t>
  </si>
  <si>
    <t>Pedro Gevallos</t>
  </si>
  <si>
    <t>…obras; ha determinado S. M. auxiliar* las por todos los medios que permitan las circunstancias actuales, y espera del infatigable celo de su primer secretario de Estado el Escmo. Sr. D. Pedro Gevallos , á cuya atribución pertenecen estos' útiles establecimientos, que na-* da omitirá para que se realicen'las benéficas intenciones de S. M. ■' ■ ■, ■ - ■■ ■ . i ■ ' • ■ . ■ • •. ■ ■ El Rey se ha servido nombrar para una canongía de la iglesia cafédraí dé Mondó…</t>
  </si>
  <si>
    <t>*,Dios guarde á V. E. muchos año?.. Barcelona 29 de Junio de iS i=± Escmo. Sr.=El marques de Campo Sagrados Escmo. Sr. D. Pedro Gevallos* Copias citadas en él oficio anterior, 7 ; .o*í Num. de Puigberdá. = „ Escmo.,$r. =±dJna Cátrta fide 1Corregimiento digna que acahi dé/fecibir el señor Duvivier^ fecha en Tolosa, dice 4o si guiente: Boftaparte ha caldo en el lazo que le habían preparado lord'…</t>
  </si>
  <si>
    <t>…rmarse detenidamente!de-la* naturaleza yesterision de-tan útiles serriciós ^io^qué4le-í vádoá su superior conocimiento por medio de4 su primer* secretario deEstado ;ei Escmo. *Sr¿ D. Pedro Gevallos* sirvió » Si M¿ del1 mayor agradó y cómpla^-' cénela el recóñócerí éh et é&gt;pediente itóru^n con lpy máíi verídicosiriformes Jbs e más páténtes tésrimónios “defíaéfq^ áctivid^ ^ ¿^érnsa bizárría con qde ten beneméritas señoras se dedica ibñ á-p'oiiér Léü' prác…</t>
  </si>
  <si>
    <t>Ghamoohln, Dámaso</t>
  </si>
  <si>
    <t>Dámaso Ghamoohln</t>
  </si>
  <si>
    <t>…osef Ponce de León i á tenientes vivos y efectivos de caballería ; eo¿ sueldo y antigüedad de tales, á los guardias D. Diego Vallejo, D. Gabriel VallejoDi Pedro Lüengó Alderéte^ y D. Dámaso Ghamoohln: á alféreces vivos y efectivos de caballería, Cón süéldó de talesjy grado de tenientes, á los guardias D. Jiian Soto , D/Vicente Hore , D. Estéban Sarrie, D. Siiñpií Bañuelos , D. Juan de la Cruz González , D. Antonio Gárcía Prado, D/ Ju lián Villacampa y D.…</t>
  </si>
  <si>
    <t>Ghartorinsky</t>
  </si>
  <si>
    <t>…com-* ponen el imperio. Los asuntos de Polonia están ya del todo ajustados, y se ha convenido en que Cracovia y el terreno que se la señale quedarán ciudad y territorio, líbre. El príncipe Ghartorinsky debe marchar, inmediatamente á Varsqvia, en donde publicará el tratado, del quedos polacos.no tienen todavía noticia exacta. . ; • » SS. MM. el Emperador y su augusta esposa deben salir de aqui para e^ .egército el dia 27. FRANCIA* . , Strasbnrgo 26de Mayo,,…</t>
  </si>
  <si>
    <t>Ghequier</t>
  </si>
  <si>
    <t>: Noticia, de ¿ficto del cuartel general de Cegrano el rj de Mayo. „E1 teniente {coronel Ghequier entró en Terracina el io del corriente* haciendo ocupar i Eondi por su vanguardia. „El mayor Palagi con dos compañías del primer regimiento toscano, que hacia parte de este cuerpo, se había adelantado, y avanzó el dia ir sobre el fuerte de S. Andrés, que esta…</t>
  </si>
  <si>
    <t>Gibcrt, Lorénza</t>
  </si>
  <si>
    <t>Lorénza Gibcrt</t>
  </si>
  <si>
    <t>…D-. Mateo Casado y Romero. Mn Jaén.............. D„ Francisco López Zavala. Mn Segovia...Señores viuda de Kamiro y Mesa. Mn Cuenca.......^* n. Josef EscolaryNoriega.. V,almA dex. D. Lorénza Gibcrt. Mn Palenda........ D. Marcelino de la Torre. Mn Burgos....i....... D. Román Martínez Montaos. Mn Cádiz..... ....... D.. Benito de la Piedra. Mn Canarias D, Francisco María/Herrara. Mn Málaga.......... D. Francisco Escorar* v Mn Orense.i.^."... Di. Fernando R…</t>
  </si>
  <si>
    <t>Gid, Josef Ramírez</t>
  </si>
  <si>
    <t>Josef Ramírez Gid</t>
  </si>
  <si>
    <t>…a la Real Hacienda que ha hecho á S. M. un cura párroco del obispado de Salamanca, cuya modestia no le ha permitido ma nifestar su nombre. En virtud de exhorto librado por-el Sr. ,D. Josef Ramírez Gid, corregidor ca pitán á guerra por S. M. de la ciudad de Patencia, refrendado del escribano de ella D. Vicente ;Mate, fecha á 21 de Febrero próximo pasado, y cumplimentado en 8 del corriente por el Sr. D. León de la Cámara Cano, del consejo de S. M., primer te…</t>
  </si>
  <si>
    <t>Giezar, Nicolás</t>
  </si>
  <si>
    <t>Nicolás Giezar</t>
  </si>
  <si>
    <t>…n^ &amp; Geróriimq»dé G.éus, IX Josef Carrasco , Don josef Rae^a f ,D. Miguel Sánchez,,¡ D. Litis Vidarte, D. Tiburcio Martínez, IX Rufino; Andinql IX Antonio la Rosa i D. Pedro Albo, D. Nicolás Giezar, DvJuanVicente , D. Eduardo Paules , ,D. Francisco Sánchez, D. Josef de Castro, D. Venancio, Garnez , D. Nicolás Laborda, D. Manuel 1 aborda*, D. Nicolao Ribera, D. Gregorio Dalmao ; D. Francisco Navas., D. Filiberto Malus, D.;/Josef •¡Blanco*L). Mariano Córd…</t>
  </si>
  <si>
    <t>Giivilles, Francisco</t>
  </si>
  <si>
    <t>Francisco Giivilles</t>
  </si>
  <si>
    <t>…ifa &gt;A Jil il» Zamora........... D. Manuel de Humara.* ¡hdA vb JET»* Salamanca..... D. Francisco de fZúñiga y ¿Barbosa** En Santander • M*** Señores Vial é hijo. En Cartagena..... D. Francisco Giivilles menor. E¡n Z+enta............. D. Carlos de Aguirre. r, i dar él debido cumplimiento á las Reales órdenes de $.. M. acerca ¡de la Iqtéiríá de ^ales, ha tohiádo la‘dirección genera! de las Reales loterías, que está á nuestro cargo , las disposiciones necesaria…</t>
  </si>
  <si>
    <t>Gijon, Manuel de Larrea y</t>
  </si>
  <si>
    <t>Manuel de Larrea y Gijon</t>
  </si>
  <si>
    <t>…os. Madrid 30 de Noviembre de 1815. ■—..... Por Real decreto de 25 de Abril de este año se sirvió S. M. conceder tí tulo de Castilla, con la denominación de Marques de S. Josef, á D. Manuel de Larrea y Gijon, vecino de la ciudad de Quito , libre de lanzas y media anata, en atención á sus servicios, para sí, sus hijos, herederos y sucesores. En atención á los servicios y méritos del brigadier de los Reales egércitos D. Francisco Xavier Cornel, ha venido el Rey nue…</t>
  </si>
  <si>
    <t>Gil, Andrés</t>
  </si>
  <si>
    <t>Andrés Gil</t>
  </si>
  <si>
    <t>…o por la feliz restauración del Sr. D. Fernando vil, que Dios guarde , en el trono de las Españas. Celebraron una solemne misa cantada, en la qual pronunció un elo cuente discurso D. Andrés Gil, cura de la Moraleja; y habiendo cantado el Te D&lt;rum, y reservado el Señor, concluyeron con unas preces de difun tos, en que pidieron ¿ Dios determinadamente el eterno descanso -de los héroes españoles, que Ies han comprado esta felicidad con el precio de sus…</t>
  </si>
  <si>
    <t>Gil, Fernando</t>
  </si>
  <si>
    <t>Fernando Gil</t>
  </si>
  <si>
    <t>…untarios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 Francisco Espiñe…</t>
  </si>
  <si>
    <t>Gil, Jacobo</t>
  </si>
  <si>
    <t>Jacobo Gil</t>
  </si>
  <si>
    <t>…ido,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t>
  </si>
  <si>
    <t>Gil, Josef Gil y</t>
  </si>
  <si>
    <t>Josef Gil y Gil</t>
  </si>
  <si>
    <t>…erre de D. Eusebio María Urroz, á D. Antonio Carretero; y para otro beneficio servidero de Hontoria del Pinar, en el obis pado de Osma, vacante por muerte de D. Josef Domínguez, á D. Josef Gil y Gil. Enterado el Rey del distinguido servicio que con notable riesgo de sus vidas practicaron en 1809 el teniente de fragata D Benito de la Rifada, los alféreces de navio D. Antonio Vargas Machuca y D. Juan de Villar, fugándose de'de la Coruña á Vigo con el místi…</t>
  </si>
  <si>
    <t>Gil, María Manuela</t>
  </si>
  <si>
    <t>María Manuela Gil</t>
  </si>
  <si>
    <t>…a acción de Ocaña, le causó una pasión de ánimo, de cuyas resultas, retirado del trato de las gentes, y agravado el accidente de gota que padecía, le ocasionó la muerte. Su viuda ~Doña María Manuela Gil, animada de los mismos sentimientos de patriotismo y adhesión á su legitimo Soberano, conservó estas obras sin publicarlas, no obstante las continuas instigaciones con que diferentes personas amantes de las artes y. de las obras de sú marido la instaban á que…</t>
  </si>
  <si>
    <t>Gil, Ramón</t>
  </si>
  <si>
    <t>Ramón Gil</t>
  </si>
  <si>
    <t>…iadia del 6 Salieron él barco apíésado y todás las ¿mbarcacióhes menorésá' incendiad él barado, si no se pudiese sacar, de cuya’árdua y arriesgada empresa ert« cargué á mi segundo D. Ramón Gil, ¿ las órdénes delHcomandahté 4Jé tfo-¿’ das las fuerzas el teniente de fragata D: Jdáquin Vial , -y llenaron tan á’ mí satisfacción su importante cómisión, qüe ño-éonteritáridosé éoñ ló ya jirác^ ticado, solicitaron mi permiso pláia sallar én 1 tierra j; 1 q…</t>
  </si>
  <si>
    <t>Gillespie</t>
  </si>
  <si>
    <t>…bles para rendirla, lo que espéra el coman dante en gefe que se verifique pronto. No puede menos de manifestar el co mandante el sentimiento que le ha causado la pérdida del mayor general Gillespie, quien manifestó un valor heroico. Tengo el honor &amp;c.= ír. H. Fagan* Cuartel general deLucknowo de Noviembre, de. 1814. „ El coronel Ochterlony con el destacamento de Ludheaneah se reunió con los cuerpos de la división en Rooper el 30 del pasado, y el 31 esta…</t>
  </si>
  <si>
    <t>Gilly</t>
  </si>
  <si>
    <t>…ueda ninguno substraerse de servir en las guardias nacionales, pues de lo contrario recaería mayor fatiga sobre los que voluntariamente se han alistado en ellas. Se asegura que el general Gilly fue arrestado la semana última en Cíermont-Eerrant: se había ocultado en una casa situada en la plaza de los Do minicos. ESPAÑA. Madrid 11 de Diciembre. El sábado último p del corriente , en celebridad del cumpleaños de la Reina Madre, se vistió la corte de g…</t>
  </si>
  <si>
    <t>Gimeiiez, Francisco</t>
  </si>
  <si>
    <t>Francisco Gimeiiez</t>
  </si>
  <si>
    <t>…e esistia en Montevideo. Igualmente ha concedido S. M. hóriióres de intendentes de egército á ios de provincia D. Domingo Torres y D. Josef Gómez Liaño, y de comisario ordenador á D. Francisco Gimeiiez; de Saavedra, ministro contador dé las caReales de la Puebla de los Ángeles en Nueva-España, y ha nombrado Í’as dedicador Real' al P. Fr. Cirilo Alameda, del orden de S. Francisco. Honores del Real y suprémo consejo de Indias, á D. Juan Manuel de Gandásegui,…</t>
  </si>
  <si>
    <t>Giménez, Cristóbal</t>
  </si>
  <si>
    <t>Cristóbal Giménez</t>
  </si>
  <si>
    <t>…i,D. Juan Sentmauat, D.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Enfy, D. Josef Aguilar, D.” Juan de DiosVaidivia,D. Lázaro Caballero ,D. Antonio Floran, D.'Manuel García SegóVia,D. AntonioCar…</t>
  </si>
  <si>
    <t>Giménez, Francisco</t>
  </si>
  <si>
    <t>Francisco Giménez</t>
  </si>
  <si>
    <t>7°8 D. Domingo Vallejo, vecinos de dicha villa, hasta el día a fie Julio próximo, en que se hará la provisión. * Se desea saber el paradero de D. Francisco Giménez, natural de Gete en el rei no de Granada, subteniente retirado del regimiento de infantería de Sevilla: en is de Octubre de 1812 salió de la villa de Sequeros en la provincia de Salamanca em pleado en el destino de capataz de una de las brigadas de caballería…</t>
  </si>
  <si>
    <t>Giménez, García</t>
  </si>
  <si>
    <t>García Giménez</t>
  </si>
  <si>
    <t>…T 11 — ■' '■■■■---J' —'■ - — : Por providencia dél Sr. D. Joaquín -Almazan y Gimeno, del consejo de S. M., y teniente de corregidor de esta heroica villa de Madrid, refrendada del Sr. Don García Giménez, secretario de S. M. y escribano del número de la misma,</t>
  </si>
  <si>
    <t>Giménez, Joaquín Almaaan y</t>
  </si>
  <si>
    <t>Joaquín Almaaan y Giménez</t>
  </si>
  <si>
    <t>En virtud de providencia del Sr. D. Joaquín Almaaan y Giménez del consejo de S. M., teniente de corregidor de esta villa, refrendaba del Srr D. Ramón Gar cía Giménez, secretario de S. M. y escribano del numero de la misma, dada á in?tancia del Dr. D.' Josef Gbnser y Casteller, abogado délosRealesconsejos, y-ve cino de l…</t>
  </si>
  <si>
    <t>Gimeno, Joaquín Almazan</t>
  </si>
  <si>
    <t>Joaquín Almazan Gimeno</t>
  </si>
  <si>
    <t>…odos los miércoles del año; lo»cual se avisa al público para_que pueda disfrutar de este beneficio. i A voluntad y conformidad de sus dueños, j en virtud de providencia del Se ñor D. Joaquín Almazan Gimeno, del consejo de S. M., teniente corregidor de es ta heroica villa, y por la escribanía del número de D. Pascual Seco, se ha manda do sacar á púbiica,subasta por término de 30 dias, contados desde hoy, la Real fa brica de curtidos, sita en la villa de Aravaca,…</t>
  </si>
  <si>
    <t>…ra el remate de la Real fábrica de curtidos de la villa de Aravaca y demas efectos y existencias á ella pertenecientes y á su almacén de esta corte , que se ha de celebrar ante el Sr. D. Joaquín Almazan Gimeno, dél consejo de S. M., tenien te corregidor de esta heroica villa, y escribano del número de ella D. Pascual Se co , se ha señalado el día p del próximo mes de Octubre á las 12 de la mañana el» la audiencia de S. S. En virtud de facultad Real se vende una cas…</t>
  </si>
  <si>
    <t>Ginés</t>
  </si>
  <si>
    <t>…, D. Gerónimo ¿aborda , D,. Josef Rodríguez, IX Plácido Gúell, D. Joaquín González', IX Juan García-, '0; Ramón de Coba, D. Josef Mon tano,,? D. Ignacio Foja, rD. Antonio Marco , D. Ginés 'Rubio, D. Josef Ga vilanes , D Joaquín Aguijar, D. Santiago López Gascón, D. Ambrosio Mar tínez, ÉX C^ayemnp Ojezalde,; D.-Antonio Delgado, D. Gaspar Jover, Don NJarciso,Felipe, IX Josef Vilíavieencio, D. Cristóbal del Aguila, D. Berna-? Fe Chinchilla,, D. M…</t>
  </si>
  <si>
    <t>Gio</t>
  </si>
  <si>
    <t>…tonio de Vargas, ministro de S. M. Católica cerca de la Santa Sede: el caballero de Lebzeltern, enviado extraordinario de S. M. el emperador de Austria cerca de la Santa Sede : el arzobispo Gio; Marcheti; el conde De-la-Tourdupin, embaxador extraordinario en el con greso de Viena: el conde Cários Marescaíchi, gentilhombre del emperador de Austria, con su esposa y con la duquesa Daberg: los señores conde Manfredi, secretario de embaxada de S. M. cerc…</t>
  </si>
  <si>
    <t>Gira, María</t>
  </si>
  <si>
    <t>María Gira</t>
  </si>
  <si>
    <t>…isiones en este dia de la fecha, a instancia de losSres. Mar queses de Sta. Colonia se cita, llama i y. emplaza, por segundó términoáD.Bal tasar déla Iglesia, D. Joaquín Martínez, Doña María Gira! y D. Francisco Forvides, sus herederos ó sucesores, para que en el preciso término de 15 días, último y perentório, contado desde 14 del presente, comparezcan con poder bástante y por medio dé procurador en la audiencia de S. S. por la presénte escribanía, á…</t>
  </si>
  <si>
    <t>Gira, Marta</t>
  </si>
  <si>
    <t>Marta Gira</t>
  </si>
  <si>
    <t>…ópez de Castro, escribano de provincia y comisiones, i instancia de los, señores Marqueses de Sta. Coloma se cita, llama y emplaza á D. Baltasar de la Igle sia , Joaquín Martinez, Doña Marta Gira! y D. Francisco Forvjdes, sus herede ros ó sucesores, para que en el preciso término de 20 dias, contados desdé el en' que se anuncie én los periódicos, comparezcan en el juzgado de su secretaria y es cribanía citada de provincia á deducir las acciones que le…</t>
  </si>
  <si>
    <t>Giraldo, Vicente</t>
  </si>
  <si>
    <t>Vicente Giraldo</t>
  </si>
  <si>
    <t>…dad, á D. Eusebio González Pinto, con dimi sión del beneficio servidero que obtiene en la parroquia de la.ciudad de Chin-: chilla , diócesis de Cartagena ; y para este beneficio á D. Vicente Giraldo, en premio de sus distinguidos méritos y servicios en la invasión deja península por las tropas del tirano de la Francia, pero con la misma calidad de haber de hacer dimióon dd beneficio simplé servidero del lugar del Casar, en el obis pado de Cotia , que tuv…</t>
  </si>
  <si>
    <t>Girard</t>
  </si>
  <si>
    <t>…vió este pueblo por la derecha, y se batió con su valor acostumbra do. Las respectivas fuerzas estaban sostenidas por una y otra parte con unos vu canuiJ».y— A4S Por la derecha el general Girard se empeñó con el cuarto cuerpo en el lugar de Ligny , del que por distintas veces se apoderó y fue arrojado. El mariscal Grouchy á la estremidad de la derecha, y el general Pajol combatieron el lugar de Sombré defendido por 8o á 90© hombres y un nú mero consi…</t>
  </si>
  <si>
    <t>Girón, Antonio García</t>
  </si>
  <si>
    <t>Antonio García Girón</t>
  </si>
  <si>
    <t>…nura de Grenelle, había concurrido á aquel parage. &gt; &lt; . . ESPAÑA. Mota del Cuervo $o de Noviembre. El día 12 de Agosto último el maestro de primeras letras titular de esta villa D. Antonio García Girón celebró exámenes públicos de doctrina cristiana y derhas enseñanzá análoga'á sú instituto. A este efecto, convocado bajo la pre-* sidencia de D. Tiburcio Asiain, abogado de los Reales consejos, alcalde mayor y capitán á guerra de esta villa, y en presencia de…</t>
  </si>
  <si>
    <t>Girón, Dionisio Soria y</t>
  </si>
  <si>
    <t>Dionisio Soria y Girón</t>
  </si>
  <si>
    <t>…eriencia, ó sean consideraciones de varios sabios y hombres grandes de los verdaderos siglos de oro, cuales fueron el xvi y principios del xvir, escritas por el científico español D. Dionisio Soria y Girón, secretario del Excmo. Sr. D. Pedro Fernandez de Castro, conde de Lemos y Andrada, mar ques de Sarria y Villalba, comendador de la Zarza, de la cámara del Sr. D. Feli pe iii, Rey de Castilla y Aragón. Véndese en la librería de Calleja, calle de las Carretas.…</t>
  </si>
  <si>
    <t>Girón, Francisco</t>
  </si>
  <si>
    <t>Francisco Girón</t>
  </si>
  <si>
    <t>…rincipales batallas ganadas por los egércitos ingleses bajo el mando del Duque de Wellington. ESPAÑA. Arcos de la Frontera 27 de Octubre^, El dia 8 de Setiembre anterior, deseando D. Francisco Girón, maestro de primeras letras de esta ciudad ¿ dar un público testimonio del adelantarmiento de sus discípulos, los presentó en las casas consistoriales, don fe en virtud de convite se hallaban el estado eclesiástico secular, prelados de la&amp; religiones, las per…</t>
  </si>
  <si>
    <t>…Vidal, á D. Manuel Manzorea, á D. Manuel Silva y á D. Manuel Bernal, ampliándose después á todos hss restantes; El ayuntamiento de dicha ciudad, satisfecho del zelo y traba jos‘de D. Francisco Girón en los re sultados de dichos exámenes, y á fin de estimular al adelantamiento, acordó que se. entregase .un estuche matemático , fos globos terráqueo y celeste , y una colección de los mejores autores de esta, materia. Madrid 6 de Noviembre. El viernes último…</t>
  </si>
  <si>
    <t>Girón, Juan Josef Granero y Bartolomé</t>
  </si>
  <si>
    <t>Juan Josef Granero y Bartolomé Girón</t>
  </si>
  <si>
    <t>…de elogiar el infatigable zelo y laboriosidad del profesor, y la aplicación de los discípu^ los, entre ios cuales merecieron los dos mas sobresalientes, que fueron los expresados D. Juan Josef Granero y Bartolomé Girón, que una* señora los premiase con dos medallas,? las cuales previo el permiso del presidente se Iesdieron en presencia del numeroso concurso. Madrid 22 de Diciembre. ARTICULO DE OFICIO. Circular del Consejo Real. Con fecha 23 de Marzo de 1808 comunicó al Cons…</t>
  </si>
  <si>
    <t>Glflrd</t>
  </si>
  <si>
    <t>…ue durante toda la tarde el teatro de diferentes reencuentros, en los que se empeñó todo el cuerpo del general Vandamme y un número muy considerable de fuerzas enemigas. ... p„ El general Glflrd, estaba de inerva del'cuerpo del5 gene ral Vandam me , envolvió este pueblo por la derecha, y se batió con su valor acostumbra do. Las respectivas fuerzas estaban sostenidas por una y otra parte con unos vu canuiJ».y— A4S Por la derecha el general Girard se e…</t>
  </si>
  <si>
    <t>Gneisenau</t>
  </si>
  <si>
    <t>836</t>
  </si>
  <si>
    <t>…ar por encima un escuadrón cuando le rescató uno dé tos regimientos de huíanos. El mismo oficial escribe que han muerto tres generales prusianos, entre ellos uno de artillería. El general Gneisenau se apoderó del coche de Napoleón, en que se ha lló una porción considerable de dinero, una bagilla de plata, un vestido de gala, varios libros, mapas, papeles y una porción considerable de procla mas, que se suponían escritas por Napoleón en el palacio de Lac…</t>
  </si>
  <si>
    <t>…o prusia no, elcual se acantonará este invierno, en una línea que se extenderá desde la frontera de Francia hasta Erfurt. Este egército de observación será man dado por el bizarro general Gneisenau, que se distinguió tanto en la batalla de Waterloo. El general Ziethen mandará el cuerpo que-debe permanecer en Francia. AUSTRIA. Vierta 22 de Octubre. De algunos días á esta parte llegan aqui continuamente oficiales del cuar tel general del Príncipe de Schwa…</t>
  </si>
  <si>
    <t>Gneiseneau</t>
  </si>
  <si>
    <t>…hijos de los sol dados muertos en campaña, ó de resultas de sus heridas, gozarán también del mismo beneficio. S. M. ha regalado al feld-mariscal Príncipe Blucher 50® escudos, y al general Gneiseneau 25®. ITALIA. Milán 24 de Octubre. $. A. R. la Princesa de Gáles ha hecho adornar con mucha magnificencia la casa de campo que ocupa á orillas del la^o de Comino, y ha mandado cons truir á sus expensas un camino que va desde su casa al mismo pueblo. Pa rece qu…</t>
  </si>
  <si>
    <t>Gneizenau</t>
  </si>
  <si>
    <t>…son: por el Austria, el teniente general barón Fri«* mont; por la Rusia, el teniente general conde WoronzOw; por.la Inglater ra, el duque de Wellington, y por la,Prusia,el general conde Gneizenau. El primer cuerpo de egército mandado por el general Ziethen, y el sexto cuerpo por el general Tauentzien , conde de Wittemberg, formarán el con tingente prusiano.__^Díc^se que todos éstos cuerpos, estarán ai mando del «Juque de Wellington ,y&gt; que para fines;…</t>
  </si>
  <si>
    <t>Gnimii, Faustino</t>
  </si>
  <si>
    <t>Faustino Gnimii</t>
  </si>
  <si>
    <t>…, D. Diego Bu trón, D. Francisco Ciscar, D. Josef Mollinedo, D. Fermín Esterripa y D. Francisco de Paula Osorio. -Ascenso á capitanes de navio áTos de fragata D. Francisco Man¡on, Don Faustino Gnimii,: D. Rafael• Lobo, D. Pedro Acevedo, D. Juan de Vargas Lana, D. Jacinto Rotnarate,: ¡ DJ Eduardo Briant, D. Ramón Ortiz Otañez, Dv Miguel Palacios Ruiz, D^ Ramón Aguí lar, D. • Josef del:Camino y Cami no, D. Felipe Perez Acevedo, D. Ramón de la Sierra , D. Al…</t>
  </si>
  <si>
    <t>Gntierréz, Eugenio Maríá</t>
  </si>
  <si>
    <t>Eugenio Maríá Gntierréz</t>
  </si>
  <si>
    <t>…o. ¡ r k ; El día 12 de Setiembre ’ último tuvo ‘el honor de cumplimentar á S. M. y* AAc y besar su Real mano, como comisionado de la Real universidad de Si^uérizá, el coróne! Drí D. Eugenio Maríá Gntierréz, comandante militar fie lg misma ciudad .su distrito, quien pronunció el discúrso siguiente: " ,y'S¿ñoí: hoy totbpleñ^ttél meses 'én que’á? hombre Tdé vuestro cplegio grande de S. AntóniÓ Pórtácell; dé la ciudad dé Sigiienzá 'tuve. el honor de felicitar y cum…</t>
  </si>
  <si>
    <t>Gó, Cártos</t>
  </si>
  <si>
    <t>Cártos Gó</t>
  </si>
  <si>
    <t>…^os escribientes de numero D. Bernardo Quintana, D. Josef Ladrón de GuevarayiX Juan Gauche y D. Juan Maury ; y por úl timo se ha servido promover á¿omisarios éfectivos de guerra á-D. Cártos Gó mez de Soanorostrp y á D. ‘Alejandró "Vicente de Ezpeieta, comisarios de ‘artillería honorarios ae giiérra. J , v ; En el Real cuerpo de Ingenieros. 1 Grado de coronel al teniente coronel D. Manuel Otermin: grados de te nientes coroneles á Jos. sargentos mayo…</t>
  </si>
  <si>
    <t>Go, Tadeo</t>
  </si>
  <si>
    <t>Tadeo Go</t>
  </si>
  <si>
    <t>…ario!del Rey nuestro Señorito hice escribir por Sii mándado. ¿s El Dú^ue del InfántadO.!= D. Sebastian de Torres. = D. Mi?guel ‘Alfonso Villagomez. =±D. Gerónimo* Antonio Diez; == D. Tadeo Go*mez. = Registrada, Aquilino Escudero. = Teniente de Canciller mayor¿ Aqui lino Escudero. / ¡7 El Rey, se ha servido nombrar para úna ración , vacante en la iglesia me. t ropel i tana de Sevilla por haber sido promovido sa, canongía de la misma Don Cristóbal R…</t>
  </si>
  <si>
    <t>Gober</t>
  </si>
  <si>
    <t>…: la Real orden de 14 de Enero de 1801, en que se encargó á la junta que se había creado en el año de 1799 la direc ción de todos los teatros del reino, y se declaró privativo del señor Gober nador del Consejo el juzgado de los negocios contenciosos de ellos y sus ac tores, con facultad de subdelegar para Madrid en el Juez que eligiese, y eh las provincias al Corregidor precisamente, ó persona que presidiese los Ayun tamientos, en cuyo encargo con…</t>
  </si>
  <si>
    <t>…o se tenga entendido en él y disponga su cumpli miento en la parte que íe roca. Dios guarde á V. E, muchos años. San Lo-: renzo 19 de Noviembre de 1799.=Josef Antonio Caballero. = Señor Gober nador del Consejo." Esta Real orden se comunicó á las Chancillerías y Audiencias del reino, y para formar la instrucción que se previene se les pidió diferentes informes, que egecutaron; y con vista de ellos y de lo propuesto por los tres señores Fiscales , h…</t>
  </si>
  <si>
    <t>Gocho, Fernando</t>
  </si>
  <si>
    <t>Fernando Gocho</t>
  </si>
  <si>
    <t>…e coronel D. Manuel Matm&gt; de Guinea: de tenientes coroneles á los&gt; sargentos mayores 0.* Juan Ramírez Piéarro i, D. Cristóbal dé Reina, D. Vicente González Moro, D. &gt; Jman Loriga, D. Fernando Gocho, D. Mateo Hernández, 0. Pedro del Barco ; Jrá los capitanes D. Luis Abneig^ D. Josef Luna, D. Antonio Loriga, D. RamónCucalón., D.RamonTavaiy D, Pedro Argaiz, D:¡ Pabío Venéwies .y jDi jFramasco Sara víaDv Antonio Es parza , D. Andrés ArtiatyD. Josef Dalpy D.…</t>
  </si>
  <si>
    <t>Godinot</t>
  </si>
  <si>
    <t>…e la necesidad de no dejarle un momento para la reunión y organización de su egército, determinó al instante atacarle y destruirle, com binando para ello la operación al cargo del general Godinot con tres divi siones mandadas, la de la derecha por el general Semelé, la del centro por el mismo Godinot, y la de la izqu erda por el general Regnaud, componién dose todas estas fuerzas de 14© infantes, 700 caballos y ocho piezas de ar tillería; y el total d…</t>
  </si>
  <si>
    <t>Godoy, Juan</t>
  </si>
  <si>
    <t>Juan Godoy</t>
  </si>
  <si>
    <t>…Bonifacio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t>
  </si>
  <si>
    <t>Godoy, Vicente Cáceres y</t>
  </si>
  <si>
    <t>Vicente Cáceres y Godoy</t>
  </si>
  <si>
    <t>…f Moure, prior claustral de la colegial de Junquera de Ambia en aquella diócesis: para el arcedianato titular y canongía de la iglesia catedral de Salamanca, vacante por muerte de D. Vicente Cáceres y Godoy, á D. Vicente Ruiz de Albiilos, juez auditor de la Rota de la Nun ciatura en esta corte, con dimisión de la canongía doctoral que obtiene -en la de Ciudad-Rodrigo: para una canongía cardenalicia , que resultará va cante por promoción del citadb D. Josef Uraga…</t>
  </si>
  <si>
    <t>Goékburn</t>
  </si>
  <si>
    <t>…nducirse mientras Bonaparte estuviese á su cargo. „Cuando el general Bonaparte salga del Belerofonte para pasar á bordo del Northumberlandt será el tiempo mas oportuno para que el almirante Goékburn haga reconocer los efectos que aquél haya traido. ,,E1 almirante permitirá que se lleve á bordo del Jsorthumberland el equipage , vino y comestibles. En el equipagé se entenderá inclusa su bagilla, con tal que no sea tan considerable, que mas parezca artículo…</t>
  </si>
  <si>
    <t>Gofliale, Francisco</t>
  </si>
  <si>
    <t>Francisco Gofliale</t>
  </si>
  <si>
    <t>…su madre Doña María Caba?, callé de lá Encomienda,.núm. 8, cuarto principal, frente de la imprenta, ó en Málaga á Don Juan Olmedo, boticario de S. M. Se desea saber el paradero de D. Francisco Gofliale?, caplttn de la segundé compañía del primer batallón, infantería ligera de Jos voluntarios de Aragón, qué iiie ascendido á este empleo por el Excmo, Sr. D. Josef Paiafox en iq de Octubre de 1808 en la ciudad de Zaragoza, y que en 18 del mismo salió á incorpor…</t>
  </si>
  <si>
    <t>Goitia, Santiago de</t>
  </si>
  <si>
    <t>Santiago de Goitia</t>
  </si>
  <si>
    <t>…é las Reales cajas de Valladolid de Mechoacan, y á D. Félix Eourman, ministro contador de las espresadas cajas de Valládolid. ' Empleo de contador de las Reales cajas de Pachuca á D. Santiago de Goitia, oficial mayor de guias y confrontaciones de la Real aduana de *Mégico. - ',■■■*' • / • Tratamiento de Escelencia al ayuntamiento en cuerpo de la ciudad de S. Juan Bautista de Puerto-Rico. Honores de oidor de la K.eal, audiencia de Cuba á D. Francisco Marcos…</t>
  </si>
  <si>
    <t>Gómez, Andrés Estéban</t>
  </si>
  <si>
    <t>Andrés Estéban Gómez</t>
  </si>
  <si>
    <t>…rioso titular y doctor angélico San to Tomas de Aquino. Celebró de pontifical el Excmo. Sr. D. Pedro Gravina, nuncio de S. S. en estos reynos. Predicó el limo. Sr. obispo de Ceuta D. Andrés Estéban Gómez. Asistió á misa y sermón el Rey nuestro Señor (que Dios guarde) con los Sermos. Sres. Infantes D. Cárlos y D. Antonio. Concluida la función, al salir S. M. admitió á los cursantes seculares dé teología y filos o fia de aquellos estudios á besar so Real mano;…</t>
  </si>
  <si>
    <t>Gómez, Andrés Esteban</t>
  </si>
  <si>
    <t>Andrés Esteban Gómez</t>
  </si>
  <si>
    <t>…o de la misma, á D. Pedro Esteban Gómez, cura párroco de la villa de Almaluez en la misma diócesis: para otra canongía de la misma catedral, que resultará vacante por promoción de D. Andrés Esteban Gómez al obispado de Ceuta, á D. Juan Luis Barbajosa: para otra de la catedral de León, va cante por muerte de D. Manuel Anselmo Enderica, á D. Francisco Sainz de Escalona, con dimisión del arcedianato de Medinaceli que obtiene en la de Sigüenza ; y para esta resul…</t>
  </si>
  <si>
    <t>Gómez, Antonio</t>
  </si>
  <si>
    <t>Antonio Gómez</t>
  </si>
  <si>
    <t>73^* . ... . D. Antonio Gómez, D* Antonio Alense, D.' Salvador liemos, D. Ramtm Puch , D. Josef Velada, D. Norberto González, D. Francisco Fornier, Don Josef María Taeggí, D. Mateo Villa, D. Rafael Martínez , D. Juan Padilla,5 I). Agustín Solera v D. Juan Manuel Pro i D: Nieblas LlondeÜá…</t>
  </si>
  <si>
    <t>Gómez, Antonio Rico y</t>
  </si>
  <si>
    <t>Antonio Rico y Gómez</t>
  </si>
  <si>
    <t>…á D. Miguel Elias Sicardo: paraTa de Pego Ú D. Pedro Antonio Portillo y Clemente: pajra la de Planes y pueblos de su Baronía á D. Mateo-Miranda; y para la de fa villa de Albaida á D. Antonio Rico y Gómez. Igualmente ha nombrado S. M. para la vara de alcalde mayor de la ciu dad de Palma, en Mallorca, á D. Juan Manuel Lubet. ' Los habitates de la ciudad de Ronda, deseosos de dar nuevas pruebas del acendrado amor que profesan al Rey, y de coadyuvar al alivio de…</t>
  </si>
  <si>
    <t>Gómez, Casimiro Antonio</t>
  </si>
  <si>
    <t>Casimiro Antonio Gómez</t>
  </si>
  <si>
    <t>…que pasados procederá en los autos como hallare por conveniente. Por providincia del Sr. D. León de la Cámara Cano, del consejo de S. M., te niente corregidor de esta villa, ante D. Casimiro Antonio Gómez, escribano de su número, se ha señalado el día 9 de Abril próximo á las 10 de la mañana en las salas consistoriales del Excmo. Sr. ayuntamiento de esta heroyea villa, para cele brar junta general de todos los interesadosá la compañía de lonjistas de ella; lo…</t>
  </si>
  <si>
    <t>1430</t>
  </si>
  <si>
    <t>…asada eñ 28050 rs. Quien quisiere hacer postura acuda ante el. Sr. p Joaquín de Ahnazan, del consejo de S. M., teniente corregidor de esta villa,por; la' escribanía del número. de D. Casimiro Antonio Gómez, dentro del tér"itftmó dé go dias contadós defcde'éi1^ del corriente* &lt; :,l\ Se ábre subscripcron á l'aéólecciori de seis estampas , que representarán los prin cipales pasos que precedieron'y acompañaron la gloriosa muerte de los ocho héroes sácrííicadós por…</t>
  </si>
  <si>
    <t>Gómez, Francisco Ruy</t>
  </si>
  <si>
    <t>Francisco Ruy Gómez</t>
  </si>
  <si>
    <t>…de ia justa causa y dé sus ReaJes derechos , ha tenidb á bien -S. M. promover al empleo dé Márisdal de Campo de sus Exércitos á D. Ramón .Blanco, Teniente de Rey-de dicha plaza , D. Francisco Ruy Gómez, Comandante de Artillería de ella , y Don ■, Juan ; Be 1 está , Director ,de Ingenieros-v al de Brigadier á D. Josef Cabeza ¡de Vaca, agregado aiCuérpode Artillería , y D.* Francisco Xavier Mendiri, Tenijéñ te; Coroneh del Rbgimiento Provincial de Segqvia: al…</t>
  </si>
  <si>
    <t>Gómez, Jadeo</t>
  </si>
  <si>
    <t>Jadeo Gómez</t>
  </si>
  <si>
    <t>…cio de Ay estarán;, Secretario del¿ B.Ey nuestro Señor , ía | hice escribir p9* su mandado» == El Duque del Infant3do. =D. Domingo Fer.nandez de¡ Campománes.=r D. Francisco Marín. D. Jadeo Gómez, ar D.¡Manuel 1 de Torres; se Registrada ,' Aquilino Escudero. .s= Teniente de Canciller mayor, Aquilino Escudero. ' k : i , ■ - .1; No habiéndose pres,en|ad^ cÚ. l^iDífeccion/g¿neíál de Rentas al remate</t>
  </si>
  <si>
    <t>Gómez, Joaquín Severiano</t>
  </si>
  <si>
    <t>Joaquín Severiano Gómez</t>
  </si>
  <si>
    <t>…V. para su inte ligencia y efectos correspondientes. Dios guarde á V* mochos años. Ma drid 27 de Abril de 1815. En prueba del aprecio qne S. M. ha hecho de lo mocho,qoe contribuyó D. Joaquín Severiano Gómez en el tiempo en que fue encargado de liego* cios de Portugal, para qoe dorante la aosencia de S. M. fuese nombrada re genta del rey no so augusta Hermana la Sra. Pritícesa del Brasil, le ha con cedido la gracia de cruz supernumeraria de la Real y distinguida…</t>
  </si>
  <si>
    <t>Gómez, Josef Codina y</t>
  </si>
  <si>
    <t>Josef Codina y Gómez</t>
  </si>
  <si>
    <t>…la de Aguilar de Córdoba á D. Blas Josef de Martos: para la de Moron á D. Manuel Sotillos Montijo: para la de Medinasidonia á D. Leo nardo Talens de la Riva: para la de Berlanga á D. Josef Codina y Gómez: para la de Cuellar á D. Gaspar Antero Rochel: para la de Luque á D. Jo sef Carrillo; y para el corregimiento de la Puebla de Alcocer á D. Rafael Mogollon y Negrillo. El Rey ha tenido á bien prorogar hasta el dia 8 de Abril próximo la apertura del concurso 'p…</t>
  </si>
  <si>
    <t>Gómez, Josef Félix</t>
  </si>
  <si>
    <t>Josef Félix Gómez</t>
  </si>
  <si>
    <t>…prendidos en los endosos del mismo vale, que son: D. Juan Jo* aef/Moreno; D. Antonio Josef García; D. Ricardo del Pilar; D. Josef Caree, h¡jó j compañía ;'D. Pedro Fermín Hernaez; D. Josef Félix Gómez; D* Diego Gas* támbide; D. Jícóbo Gattens, de Sevilla; D. Rafael de Góngora y Delgado; Do* Ignacio Casal ; D. Andrés Marzan; D. Pedro Martínez Lozano; D. Rafael Ignacio Fañtohfip D/"Joaquín dé la Barrera y Cuadra, y D. Fernando Márquez de la Plata, i fin de q…</t>
  </si>
  <si>
    <t>Gómez, Josef Vaceda y</t>
  </si>
  <si>
    <t>Josef Vaceda y Gómez</t>
  </si>
  <si>
    <t>…es Muñoz Paíao: para la de Revi lla á Juan Bautista Loperraez: para la de Ardales á D. Miguel Plácido Cañete: para la de Cañete á D. Manuel Díaz del Castillo: para la de Montoro á D. Josef Vaceda y Gómez: para la de Tolox y Monda á D. Juan Tomas Encina: para la de la Puebla de Cazalla á D. Josef Aguilar Gaioete: para la de Valverde del Camino á D. Francisco de Paula Escudero: para la de OI vera á D. Antonio Manuel de Gamez y Lechuga: para la de Lezuza á D. Al…</t>
  </si>
  <si>
    <t>Gómez, Juan</t>
  </si>
  <si>
    <t>Juan Gómez</t>
  </si>
  <si>
    <t>…ración que vacó por fallecimiento de D. Melchor de Cuesta á D. Diego Martin Blan co : el beneficio servidero de la ciudad de Cazorla, que vacó por muerte de D. Alejandro Ufano, á D. Juan Gómez de la Torre: otro beneficio servide ro vacante en la parroquia de S. Pablo de Ubeda por muerte de D. Manuel Aguayo á D. Gaspar Montejano.=El beneficio simple servidero de S. Pedro de la villa de Moya, diócesis de Cuenca, vacante por promoción de D. An selmo A…</t>
  </si>
  <si>
    <t>…:, teniente director de escultura de la misma academia, se je premió con una medalla de las referidas por haber presentado un retrato del Re* •nuestro Señor perfectamente:acabado. D. Juan Gómez, fabricante' de (armas, recibió:32a rs. por premió de una escopeta trabajada con el mas delicado gusto. A Josef Tomas, oficial de armero; á Luis Muñoz, maestro de latone ro, y á Agustín Caro , fabricante de guitarras , se les dio 200 rs. á cada uno de los pri…</t>
  </si>
  <si>
    <t>Gómez, Mariano</t>
  </si>
  <si>
    <t>Mariano Gómez</t>
  </si>
  <si>
    <t>…, D. Josef Casulla, D. Juan Fernandez ,D.Gil Garande, D. Josef Castro, Don Josef Morales, D. Joaquín Soravilla , D. Francisco,Mora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 los sargentos prim…</t>
  </si>
  <si>
    <t>Gómez, Miguel</t>
  </si>
  <si>
    <t>Miguel Gómez</t>
  </si>
  <si>
    <t>…para destruir huéspedes tan perniciosos, fruto dé la di latada práctica y obsérvaciop del sabio Mr. Chabert, director de W Real escuela d’ Álfbrt &amp;c. &amp;c.: traducido al español por D. Miguel Gómez, álbéytár y ayuda de herrador de la Real caballeriza de S. M. Esta obrita es enteramente nueva en Espa ña, y hamerecido ei aplauso de todas las naciones cultas: útilísima á ios señores dé cabañas; piariegos, dueños de ganados, aficionados á perros, mayorales,…</t>
  </si>
  <si>
    <t>Gómez, Pedro Esteban</t>
  </si>
  <si>
    <t>Pedro Esteban Gómez</t>
  </si>
  <si>
    <t>sutura vacante por promoción de D. Josef López Santa María al dea nato de la misma, á D. Pedro Esteban Gómez, cura párroco de la villa de Almaluez en la misma diócesis: para otra canongía de la misma catedral, que resultará vacante por promoción de D. Andrés Esteban Gómez al obispado de Ceuta, á D. Juan Luis Barbajosa: para otra de la catedral de León, va cante por…</t>
  </si>
  <si>
    <t>Gómez, Santiago</t>
  </si>
  <si>
    <t>Santiago Gómez</t>
  </si>
  <si>
    <t>…Francisco Escovar, D. Salvador S. Juan, y D. Josef Renau, del segundo Batallón de idem;á D. Joaquín Rodríguez, 0. Vicente González , D. Fabian de Saave4xa, D. Casimiro Vinuesa, y D. Santiago Gómez, del tercer Batallón de ídem; á D. Francisco Topete y D. Juan de Acuña , Ayudantes de dicha plaza ; á D. Juan Galeas , agre gado al Estado Mayor de la misma', y á D. Josef Bérmudez, del Batallón de Urbanos : al grado de Teniente á los Subtenientes D. Josef Ra…</t>
  </si>
  <si>
    <t>Gómez, Tadeo</t>
  </si>
  <si>
    <t>Tadeo Gómez</t>
  </si>
  <si>
    <t>…ario del Rey nuestro Señor, lo hice escribir por su mandado. = El Duque dei Infantado. = D. Miguel Al fonso Vilagómez. = D. Manuel de Torre$.= D Juan Antonio González Car rillo. = D. Tadeo Gómez. =r Registrada, Aquilino Escudero. =s Teniente de Canciller mayor, Aquilino Escudero. El Rey nuestro Señor se ha servido expedir con fecha de 25 del cor riente el decreto que sigue : ,, Habiendo visto con desagrado mió el menoscabo del prudente uso que debe h…</t>
  </si>
  <si>
    <t>…n Palacio á 7 de Diciembre de t8i). = YO EL REY. = Yo Don Juan Ignacio de Ayestarán, Secretario del Rey nuestro Señor, la hice escri bir por su mandado.=rEl Duque del Infantado. = D. Tadeo Gómez. = Don Francisco Marín. =±D. Manuel de Torres. = D. Ramón López P¿legrin. = Re gistradas Aquilino Escudero.—Teniente de Canciller mayor, Aquilino Es cudero. En virtud de providencia del Sr. D. León de la Cámara Cano, dei consejo de S. "M., teniente primero de…</t>
  </si>
  <si>
    <t>Gómez, Tadeo Segundo</t>
  </si>
  <si>
    <t>Tadeo Segundo Gómez</t>
  </si>
  <si>
    <t>…es. A consulta de la cámara se ha servido S. M. nombrar para la plaza del consejo Real, vacante por traslación de D, Francisco Arjona á la dignidad de maestreescuela de Sevilla, á D. Tadeo Segundo Gómez. El Rey nuestro Señor se ha servido admitir de un oficial, que Ha que rido ocultar su nombre, el donativo que ha hecho de todos ios sueldos que se le adeudan desde Noviembre de 1808 hasta Enero de 1812; é igualmen te se ha servido mandar que en su Real nombre…</t>
  </si>
  <si>
    <t>…co Quintano, intendente electo del egército y reino de Mallorca, ha tenido á bien nombrarle para la pinza de ministro togado del supremo consejo de Hacienda, vacante por salida de D. Tadeo Segundo Gómez al de Castilla. Eí Rey nuestro Señor en atención á los méritos y servicios de D. Pedro: Alcántara Aceituno, caballero de la Real distinguida orden española de Car los ni, regidor decano de Talavera de la Reina, ha venido en concederle cruz pensionada en la mi…</t>
  </si>
  <si>
    <t>Gómez, Vicente</t>
  </si>
  <si>
    <t>Vicente Gómez</t>
  </si>
  <si>
    <t>…s't^2 ; la villa de Ledesma *í 565 , la vilia-de Fermór sellé 2 í6o, la villa dé Béjar -y'Varios pueblos de* su jurísdiceíóil 4226','Agust' tinos dé Salamanca ico, y el presbítero D. Vicente Gómez de1 Alba-1 oo¡. Total 11863. * . - í ■ .. . . . o-; S. M. ha oído con agrado estas generosas demostraciones de patriotismo y de amor á su Real Persona j y ha mandado se publiqúen en la g&amp;cetá- para satisfacción dedos interesados. • ••-•mi aj •. En.virtud de p…</t>
  </si>
  <si>
    <t>Gómouih</t>
  </si>
  <si>
    <t>4oo El contra-almirante sir Israel Pellew y el lord Gómouih tienen orden de salir para la esquadra del Mediterráneo. En breve deben salir del primero de estos puertos los siguientes buques,, que se hallan ya en franquía: el M,ontagne, de 74 cañones, espitan Heywcod; el Ajax, de 74, capitán Manday ; el Orates r de 36,…</t>
  </si>
  <si>
    <t>Gon</t>
  </si>
  <si>
    <t>…s que puedan legitimar di cha representación podrán acudir en ella á D. Miguel de Náxera, agente de los del número de Indias, calle del Arenal, núm. 21, y en Sevilla al presbítero D. Gon zalo Angioiety. D. Salvador Somoza, presbítero, vecino de la ciudad de Santiago, tiene noti cias interesantes que comunicar á D. Josef Villa, cirujano que fue del regimiento de Zamora; i D. Josef Campo, natural de Andalucía, capitán que fue de dicho regimient…</t>
  </si>
  <si>
    <t>Gon, Josef</t>
  </si>
  <si>
    <t>Josef Gon</t>
  </si>
  <si>
    <t>…sobre espolies y vacantes en Reales órde nes de 23 de Marzo, y f iS5¡ de Mayo próximos pasados * á. imitación de la. quq se concedió á Dona Catalina Cuadrado, madre del benemérito D. Josef Gon zález , compañero de Palacios en jos servicios y sacrificio de la vida; y habienáo posteriormente recurrido D. Juan Palacios Malaber, hermano del 0. Ber-' nardo, á nombre de~su madre para que ya que no se la iguale en asignación. Con la Doña Catalina, se decl…</t>
  </si>
  <si>
    <t>Gon, Mariano</t>
  </si>
  <si>
    <t>Mariano Gon</t>
  </si>
  <si>
    <t>…Navarra y Guipúzcoa déla izquierda, yelde Aragón del centro. Lo que de orden de S. M. aviso &amp;c. Palacio 12 de Julio de i8i$„ En consideración a los dilatados y buenos servicios de D. Mariano Gon zález de Merchante, oficial mayor primero dé la secretaría de Estado y del despacho universal de la Guerra, se na dignado el Rey concederle, por Real decreto de 27 del corriente mes de JulioV plaza de ministro supernumerario de capa y espada con antigüedad en…</t>
  </si>
  <si>
    <t>Gonsabri</t>
  </si>
  <si>
    <t>irTtr. Lá Francia apoya fuertemente a! cardenal Gonsabri en la reclamación ¿que tiene pendiente la Santa Sede sobre las tres legaciones. Los ministros de esta potencia pretenden que su restitución seria un acto de generosidad y de justicia., queriendo que se observase el tratado de Tolfentino. Los saxones qne sé ha…</t>
  </si>
  <si>
    <t>Gonsalví</t>
  </si>
  <si>
    <t>…O DE rtt}. •. &lt; &gt; - ■: ■1 ' ( &lt;. - «-V . ► (r ITALIA. •-* ; &lt; tn: &gt;5» * ¿ Diciembre de ‘ . . i8id.,d* " r • O ,Ttil *~VRotfih 11 de n Se ha-recibido la- noticia de que S. Erna, él cardenal Gonsalví, secretaría ;de Estado , y ministro plenipotenciario de S. S. en el congreso-, ha llegado á Milán caminando de Viena á esta capital. Se ignora el objetp de su venida; pero se dice que el Austria persiste en querer disponer.dejas Marcas y de .las tres legacion…</t>
  </si>
  <si>
    <t>Gonzá, Angel</t>
  </si>
  <si>
    <t>Angel Gonzá</t>
  </si>
  <si>
    <t>…de.S. Carlos, y quisiesen obtener dichas plazas, para que acudan en el término de 15 días , contados desdé esta fecha, á la secretaría de la junta general de Caridad del cargo de D. Angel Gonzá lez Ba rreiro, establecida en las casas consistoriales, en donde se admitirán sus memoriales, acompañando sus respectivos títulos.: Se hallan vacantes en la villa deTorrelavega, montañas de Santander, las plazas de médico y cirujano: la primera dotada en 83 r…</t>
  </si>
  <si>
    <t>Gonza, Josef</t>
  </si>
  <si>
    <t>Josef Gonza</t>
  </si>
  <si>
    <t>…ro. ,uque, cura párroco deaIa vi{I&amp; de ^guita^ étt áqóéilá ' Xa canongíavafcartte etv lá éélegi^a,deiiS.(X5^1^ j i ar*!G;í&gt;isptído de Bur-fc' por ipíomocion -de &lt;&amp; Burgos Jilos ,á D. Josef Gonza4ez y Martínez^ • drigüezí (Se cóntlnUam. f ctéjfriirifátértede(£i^r&amp;.' :,r‘v.Circuí^ En el despacho de áyeríiehéclio pieseftte ah Retí nuestro Señor- fe que „ Señor: los Soberados y naciones estrarigeras- recordarán mañana con placer-, en el plausible dia de…</t>
  </si>
  <si>
    <t>Gonzá, Pedro</t>
  </si>
  <si>
    <t>Pedro Gonzá</t>
  </si>
  <si>
    <t>…vales,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 Francisco Espiñeyra , del de Lu go; D. Pedro Tineo, D. Juan Puente, D. Josef Antun…</t>
  </si>
  <si>
    <t>Gonzalc-z, Manuel</t>
  </si>
  <si>
    <t>Manuel Gonzalc-z</t>
  </si>
  <si>
    <t>…él uir tes timonio de su lealtad , y á este efecto el dia 5 del corriente los individuos de él D. Juan Rodríguez "Valcárcei, D. Lorenzo Josef Barbacho, D. Leandro Josef Gutiérrez, D. Manuel Gonzalc-z, D. Esteban Iglesias, D. Dionisio Melendez y D. Rafael Santiso firmaron un escrito; en eicual, al mismo tiimpO' que felicitan á S. M. por so restitución al trono, esponen los servidos de un donativo, entre otros, de 4® pe^os que hicieron para auxiliar los ejé…</t>
  </si>
  <si>
    <t>González', Joaquín</t>
  </si>
  <si>
    <t>Joaquín González'</t>
  </si>
  <si>
    <t>…D. Gregorio Mateo , D. Felipe Crespo, JuanAntonioRui?, 1^. ídigiiel Ibañez, D. Lorenzo López, D. Francis co Cardeñes , D. Gerónimo ¿aborda , D,. Josef Rodríguez, IX Plácido Gúell, D. Joaquín González', IX Juan García-, '0; Ramón de Coba, D. Josef Mon tano,,? D. Ignacio Foja, rD. Antonio Marco , D. Ginés 'Rubio, D. Josef Ga vilanes , D Joaquín Aguijar, D. Santiago López Gascón, D. Ambrosio Mar tínez, ÉX C^ayemnp Ojezalde,; D.-Antonio Delgado, D. Gaspar Jove…</t>
  </si>
  <si>
    <t>González, Alejo</t>
  </si>
  <si>
    <t>Alejo González</t>
  </si>
  <si>
    <t>…Vaíén?uela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 Sisto Fajardo, D. Ma-„ miel Fernandez Rey na, D. F raneisco Bonet, D. Josef María de Novoa, Don Miguel Mir, D. Antonio Cidron , D. Santos Cremona, D. Jo…</t>
  </si>
  <si>
    <t>González, Andrés</t>
  </si>
  <si>
    <t>Andrés González</t>
  </si>
  <si>
    <t>…Gil, D. Fernando Gil, D. Pedro Beyro, D. Juan Cuicheyro, D. Pedro Lado, D. Pedro Gonzá lez, D. Blas Iglesias, D. Domingo Boullon y D. Josef Villaverde, del Provincial de Santiago; D. Andrés González, D. Josef Valcárcel, D. Ber nardo Amado, D. Manuel Martínez y D. Francisco Espiñeyra , del de Lu go; D. Pedro Tineo, D. Juan Puente, D. Josef Antunio Rodríguez, Don Simón Fernandez, D. Teodoro Arce, D. Juan Guasa, D. Juan Malagon, E&gt;. Cosme Arias, D. Francisc…</t>
  </si>
  <si>
    <t>González, Antonio</t>
  </si>
  <si>
    <t>Antonio González</t>
  </si>
  <si>
    <t>…reación de Set'etnbre de á 150 pesos números 147086, 170986 endosados en 8 del mismo mes de Setiembre de 1808 á D. Diego Antonio Arias; y en 10 de Junio y 3 de Diciembre de 1812 á D. Antonio González, vecino y del comercio de Luarca. Habiéndose libra do el correspondiente despacho para citar y emplazar en la forma ordinaria á los interesados á favor de quienes están endosados los citados vales, solo ha podido tener efecto la citación de D. Antonio Gonzále…</t>
  </si>
  <si>
    <t>…ira, D. Sabas Marín, D.1 Manuel dét Castillo * 0 Juiuin Benita,' 0. Jñari González deL Castfllo, D. Francisco Jouy D- Juan Alaminos#, D* Pedro Gar cía ,JX Juan" Sánchez Illescas-, D. Antonio González.* 0.' ManueL de las Ríos, D. Juan López , 0. Luis Rodríguez , 0« Manuel Ravanera., D. Antonio Ar de rius, D. Juan Molina, D. Manuel Pedtet: de tenientes á los. subtenientes D. Luis Carrillo, D. Matías Blasco, 0. Francisco Villalobos *D. Josef Gar cía Malo, D.…</t>
  </si>
  <si>
    <t>…omisario orde nador P, Andrés Gallegos : los nde combario ordeñador al comisario de guerra P, Francisco Oleadlos de comisario de artillería honorario de guerra á D. To mas Valls y D. Antonio González, guarda, almacenes ordinarios: para estos honores á D. Josef Basavey D. Santos Aparicio, guarda almacenes estraor dtnarlos v y -para estos 4 ^os escribientes de numero D. Bernardo Quintana, D. Josef Ladrón de GuevarayiX Juan Gauche y D. Juan Maury ; y por úl…</t>
  </si>
  <si>
    <t>González, Cárlos</t>
  </si>
  <si>
    <t>Cárlos González</t>
  </si>
  <si>
    <t>…aray: grados de teniente á los de lá misma clase graduados de subteniente D. Blas Ñégfo y D.- Rufino de Castro ; y grados de subteriiente á'lps dé la propiaclase D* Peregrino Bau, D. Cárlos González , D. Anto nio .Bárfiiosp/, P* Pedro .Giménez', fí. Francisco Muñoz y fí. Alejandro Barrios-. .: -f ' • i. En el regimiento de sus Reales guardias de infantería Walona grado de teniente coronel á los segundos tenientes D. Joaquín Morales y D. Manuel de Cortaba…</t>
  </si>
  <si>
    <t>González, Dionisio Rodríguez</t>
  </si>
  <si>
    <t>Dionisio Rodríguez González</t>
  </si>
  <si>
    <t>8j4 cabildo de la sama iglesia metropolitana de aquella ciudad: el arzobispo obis po de Cádiz ; el obispo de Ceuta y el de Ibiza. En el juzgado del Sr. D. Dionisio Rodríguez González, alcalde mayor de la eludid del Puerto de Sta. María, y escribanía de! número de D. Rafael Reinoso, penden autos formados sobre la intervención al vínculo que fundó D. Vicente Gar cía Mayor de Londoño en nombre de su muger Doña Josefa Manuela de Reinoso, en l…</t>
  </si>
  <si>
    <t>González, Domingo Alvarez y Beatriz</t>
  </si>
  <si>
    <t>Domingo Alvarez y Beatriz González</t>
  </si>
  <si>
    <t>…nca, 40 tahulias olivar , y una casa con 18 tenajás para aceite, de cabida cada tenaía de 80 arribas en las eras ’ de la villa de LibrillaT '/ ■ _ ;*V;;'Vr ' MADRID. Capellanía de D. Domingo Alvarez y Beatriz González. Una pasa calle de las Velas á la de Toledo » núm. i£ y 16, manz. 93. VALLADOLIU. Capellanía dé D. Maque! Joaquín ¿ubiaurre y su muger. Una casa calle de ¿úpiga , num. jr. .. , ~ Fincas de la Corona.;Una huertaextrainurps de esta ciudad, titulada del Rey , si…</t>
  </si>
  <si>
    <t>González, Eugenio García</t>
  </si>
  <si>
    <t>Eugenio García González</t>
  </si>
  <si>
    <t>…de Ubeda, diócesis de Jaén, por promoción de D. Cristóbal Perez V íala á la iglesia y obispado de Jaca, á D. Antonio ReveHar. En atención á los distinguidos méritos y servicios de D. Eugenio García González , arcediano titular de la iglesia de Cartagena , se ha servido el Rey nuestro Señor concederle honores de auditor del tribunal de la Rota de la Nunciatura apostólica. El ayuntamiento de la villa de Gaucin ha hecho al Rey nuestro Señor Ja oferta de 878672 rs.…</t>
  </si>
  <si>
    <t>González, Eulogio</t>
  </si>
  <si>
    <t>Eulogio González</t>
  </si>
  <si>
    <t>…n Orejas , D. Antonio García, D Josef Noguera, D. Josef Zoyíó Calvo, D. Manuel García y D Vicen* te Salvador; y á los del Cuerpo de urbanos de la ntisaia plaza de Ciudad-* Rodrigo D. Eulogio González, D. Manuel Lúeas, D. Cristóbal Martin, D. Joaquín Serrano y D. Amonio Pinalero2.a Enterado el Rey nuestro Señor del mérito que contraxo la División expedicionaria del mandó del Mariscal de Campo D. Juan de la Cruz Mourgeon en la reconquista dé Sevilla , verif…</t>
  </si>
  <si>
    <t>González, Felipe</t>
  </si>
  <si>
    <t>Felipe González</t>
  </si>
  <si>
    <t>corresponda* Señalado .de'la * Real mano* En Paladori jo de, Marzo de 1815. = A D. Felipe González \fajlejq.”: &lt;.ri _ Circular de la Tesorería general. El Sr. Secretario del Despacho de Hacienda me dice en fecha de 18 de Febrero ú timo lo que sigue: ,, Habiendo dado cuenta á S. M. del expediente relativo al Noveno y Excusado, se ha servido tomar ep su sobe…</t>
  </si>
  <si>
    <t>González, Hilarión</t>
  </si>
  <si>
    <t>Hilarión González</t>
  </si>
  <si>
    <t>…o de acreedores de 0. Pablo Antonio Tarsis, se ha mandado sacar á pú blica subasta un oficio de receptor del número de los Reales consejos, juntas y tri bunales, correspondiente á D. Hilarión González, que se halla tasado en 19 del pasado en r0.500 rs. de vn., y se vende judicialmente para pago de cierto crédito.. Quien quisiere hacer postura á él acuda al juzgado de $. S. y escribanía de provincia citada en el término de 20 dias por que se ha mandado preg…</t>
  </si>
  <si>
    <t>González, Isabel</t>
  </si>
  <si>
    <t>Isabel González</t>
  </si>
  <si>
    <t>…ucesivos hasta que realicen la liquidación. \ Quien quisiere comprar con equidad, 6 tomar en arrendamiento un oficio dé Vecéptor de los del húmero délos Reales consejos, Acudirá á Doña Isabel González, "cálle de la AlcahtdriUa, detrás de S. Andrés., casa de familia del Excmo. Sr., Du que del Infantado, níim. i.®,'cuarto p'rincrpal. / . ; Se halla vacarí te tel1ma)gisterip "dé primeras letras de-la villa de Móstoles, distan te tresle'guáS dé Madrfd, cuyadot…</t>
  </si>
  <si>
    <t>González, Joaquín</t>
  </si>
  <si>
    <t>Joaquín González</t>
  </si>
  <si>
    <t>…e dentro del término preciso de 15 días se presenten ante el Sr. D, Joaquín’Almazan, del consejo de S. M. y teniente de corregidor de esta villa, y por la escribanía del número de D. Joaquín González •de Castro; en la inteligencia de que de no hacerlo les parará el perjuicio que haya lugar. Se desea saber de Ja existencia ó muerte de D. Francisco Melendez Cerezo, abo gado de los Reales consejos-, natural de la viila de la Mota del Marques, provincia de la…</t>
  </si>
  <si>
    <t>González, Joaquín Hidalgo</t>
  </si>
  <si>
    <t>Joaquín Hidalgo González</t>
  </si>
  <si>
    <t>…ue cumpla los seis años; y en la de Alinonte-á D. Ruper* to de Orozco hasta cumpfir seis años. El Rey nuestro Señor se ha servido conceder los honores de su secretarlo ’ orden dei D. Joaquín Hidalgo González., caballero dé la Real y distinguida Carlos ni, y oficial mayor de la secretaría de comercio, moneda y minas^ en atención á su mérito y servicios. Habiendo manifestado al Rey nuestro Señor D, Gabriel García Martínez, cura beneficiado en el barrio de Triana, q…</t>
  </si>
  <si>
    <t>González, Josef</t>
  </si>
  <si>
    <t>Josef González</t>
  </si>
  <si>
    <t>I&gt;. Miguel Pavat, y D. Francisco Qnadrado , dei segando Batallón de ídem; D. Braulio Crespo, D. Juan Zaragoza, D. Josef González, D. Pedro Iribarren, D. Joaquín Rodríguez, y JX Francisco Manso, del tercer Batallo.n de ídem; D. Francisco Picado, Ayudante de U plaza dé. Ciudad-?Ro drigo, y D. Josef Borgara y D. Jqaa Fermín Castillejo., del Batallen de Urbanos de la misma: al de Subtenien…</t>
  </si>
  <si>
    <t>González, Juan Josef Perez</t>
  </si>
  <si>
    <t>Juan Josef Perez González</t>
  </si>
  <si>
    <t>…Luis Perez Minayo , beneficiado de la villa de Uraeña en el obispado, de Paleada; ! ¡ y -j La canongía vacante en la catedral de Canarias por fallecimiento de Don Miguel Camacho á D. Juan Josef Perez González , cura párroco de la villa de Sta. Cruz de Tenerife, y la ración que ha vacado en la misma iglesia por muerte de D. Bernarda Reyes á D. Fernando FaLcon y Alvarez. La canongía de la catedral; de Orihuela vacante por fallecimiento de Don Andres;Bayon á D. Berna…</t>
  </si>
  <si>
    <t>González, Manuel</t>
  </si>
  <si>
    <t>Manuel González</t>
  </si>
  <si>
    <t>…te de D, Josef Gómez , á Don Armengol Berga. = La dignidad de abad, primera silla de la colegiata de nues tra Señora de Covadonga, diócesis de Oviedo, vacante por fallecimiento de D. Manuel González de la Granda, á D. Francisco Escandon : la canongía que vacó en aquella catedral por fallecimiento de D. Manuel Martin á Don Segundo Cayetano García, canónigo de la iglesia catedral de Jaén: otra ca__ CO Véase la gaceta del martes 6 deb corriente.</t>
  </si>
  <si>
    <t>González, Manuel María</t>
  </si>
  <si>
    <t>Manuel María González</t>
  </si>
  <si>
    <t>…que concluyorexhortanda á los socios al desempeño de tan nobles encargos.; - óv-• ** brú : En seguida se presentaron al exámen de matemáticas ciiico jóvenCs Juan Antonio Maestre, D. Manuel María González, *D. Joaquin? Pérez Seoane y D. Ricardo Perez Nogueyra de primer año, y D. Francisco Ma-? ría Urierte de segundo, quienes fueron interrogados respectivamente á dis creción de los&gt;frcunstantes, los quatro primeros en los ramos de aritmética, álgebra, geometría…</t>
  </si>
  <si>
    <t>González, Matías</t>
  </si>
  <si>
    <t>Matías González</t>
  </si>
  <si>
    <t>…enero: para otra ca-‘ nongía de la iglesia catedral de Orense, que resultará vacante por promo ción de D. Pedro Andrés Pourret á otra de la iglesia metropolitana de San-; tiago, á D. Matías González» cura ecónomo de la parroquia de Santiago y S. Juan de esta corte: para el arciprestazgo y canongía , que resultará va cante en la iglesia colegial de Ubeda, diócesis de Jaén, por promoción de D. Cristóbal Perez V íala á la iglesia y obispado de Jaca, á D. An…</t>
  </si>
  <si>
    <t>…D. Juan García Beltran, cura párroco de la iglesia de S. Esteban de aquella ciudad: otra canongía de la propia iglesia catedral, vacante por muerte de D. Antonio García Maroto, á D. Matías González, teniente cura de palacio, nombrado anteriormente para una canongía de Orense; y la me dia-ración vacante en la misma iglesia por fallecimiento de D. Estéban Duran á D. Estéban Cayuela, con retención del beneficio de Beceite que obtiene en el arzobispado de Z…</t>
  </si>
  <si>
    <t>…e Tuy por promoción de D. Juan Cárlos Vales Baamonde á la metropolitana de Santiago á D. Joa quín de Arévalo.= La canongía que ha vacado en la catedral de Orense por traslación de D. Matías González á la de Ségovia á D. Domingo Rodríguez. = El medio préstamo de Marchámalo, en la diócesis de Toledo, vacante por promoción de D. Vicente de Vega y Castillo á canongía de aquella iglesia</t>
  </si>
  <si>
    <t>González, Miguel</t>
  </si>
  <si>
    <t>Miguel González</t>
  </si>
  <si>
    <t>…Regimiento de Mallorca; D. Ignacio Llánderas , D. Miguel Moretid, D. Gregorio del Pozo, D. Fabian de Lastra, 0. Ricardo Rey roso, Don Víctor Cabeza de Vaca, D. Casimiro Salcedo, y D. Miguel González, del de Voluntarios de Avila; D. Francisco Herranz ,'D. Angel Díaz, y Don Vicente Tomes, del Provincial de Segovia; D. Pedro NuñeZ;, D. Manuel Calderón, D. Matías Frade, D.Francisco Antonio Ledesmá, y LF. Andrés .Muñoz, del primer Batallón de Ciudad-Rodrigo;…</t>
  </si>
  <si>
    <t>•í • 957 «la._D. Josef:Benito Martina*, albacea de D. Miguel González, cuatro Vales Reales de 600 pesos que dono en su testamento.__ La villa y tierra íde Tábara 713464 rs. y 19 mrs., importe de los suministros que ha hecho al egército en la pasada guerra.__ D. Manuel de Zeca y Galan, capitán re tirado del Real cuerpo de arrili…</t>
  </si>
  <si>
    <t>González, Norberto</t>
  </si>
  <si>
    <t>Norberto González</t>
  </si>
  <si>
    <t>73^* . ... . D. Antonio Gómez,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'Aquiíinb Otolá ,(D&gt;í Josef Sálas-, ©. Antonio…</t>
  </si>
  <si>
    <t>González, Patricio</t>
  </si>
  <si>
    <t>Patricio González</t>
  </si>
  <si>
    <t>…cisco' Castañeda, D. Juan Liebres, D. Pedro'-Góíñéz-, Di. Fráñcls^o de Paula Rámlréz¿ DI Cecilio Mó¿ lina, D. Josef Martínez Coronado, D.. Gerdriimo Gallardo, D. Francisco Calero, D. Patricio González y D. Juan Josef Constantini (*). ,0 i 1 i ? ví 0..r-C . T A . , En el Real cuerpo de Guardias de su Real Persona. Grados de tenientes coroneles, a los subrtgadieres D.Luls Fernandez Li nares , D.'Miguel Santiago, D. Benito Vallejo, D. Bernardo Cantero', Don Fernando Orozco, D. Julián Ca…</t>
  </si>
  <si>
    <t>González, Pedro</t>
  </si>
  <si>
    <t>Pedro González</t>
  </si>
  <si>
    <t>…á D. Benito Aznar y Peón, calle de Jacometrezo, entre los números 8 y 9, quarto principa!. . Se desea saber qué persona en el año de 1810 giró una letra de 169 rs. vn. i favor de D. Pedro González, que fue muerto en el camino de Pamplicga á Bur gos , y si está pagada, y á quién. Se suplica á las personas que esto sepan , ó que tengan en su poder dinero del dicho González, lo avisen en Madrid á D. Basilio Rodríguez, que vive Postigo de S. Martin, número…</t>
  </si>
  <si>
    <t>1404</t>
  </si>
  <si>
    <t>…arto principal, hasta el 16 del corriente de diez á una, i fin de recoger la esquela de entrada, sin cuyo requisito no lo podrán veri ficar. El dia 17 de Mayo de este año falleció D. Pedro González deSepúlveda, grabador de cámara de S. M., grabador general de las Reales casas de mo neda de España é Indias, director del grabado en hueco de la Real acade mia de S. Fernando y de la Real escuela de este grabado y máquina esta blecida en esta corte: pérdida…</t>
  </si>
  <si>
    <t>…e la Real calcogra fía D. Juan Lazaro, en la imprenta Real, qme le enterará de cuanto le conviene. Se desea saber el paradero de Doña Juana de Escarza, ama que fue de go bierno de D. Pedro González, comandante del résguardo en Vitoria en el año de *1808. La persóna &lt;jue lo supiese se servirá avisarlo á?D. Francisco Vázquez Arma da, que vive Calle de^"Costanilla de los Desamparados, núm. i.°, cuarto segundo. - El ^espíritu de S. Francisco de Sales, obisp…</t>
  </si>
  <si>
    <t>González, Salvador</t>
  </si>
  <si>
    <t>Salvador González</t>
  </si>
  <si>
    <t>…* dama, D. Pablo Estogui, D. Policarpo Aldama, D. Josef Guerrero , D. Jo^.ef Torrubiai, Di Gabriel del Rio, D. Juan Gutiérrez, D. Tornas de Codes, Di Josef Navarro; D. Juan Ruiz &gt; D. Salvador González, D. Rafael Solano, Di Josef; Majríaí Prieto , Q¿ Fráncisco Cervera &gt; D. Francisco , Cascos, D. Juan Tejadár, DvBasilioBayoni, D.Joaquin Dolz, D. Salvador Arnardo, D. An tonio Marcoletá, D, Josef Gáliano, D. Manuel Ayolo, D. Ignacio Cambil, D. Vicente. Dolz ,…</t>
  </si>
  <si>
    <t>González, Santos Diez</t>
  </si>
  <si>
    <t>Santos Diez González</t>
  </si>
  <si>
    <t>…en los últimos 25 años. Conversaciones de Lauriso Tragiensé , pastót árcade, sobre los vicios y defectos del teatro moderno , y el modo de corregirlos: traducidas del italiano por D. Santos Diez González y D. Manuel de Valbuena, catedráticos de poética y retórica en los Reales estudios de esta corte. Esta obra abraza cuanfb se puede desear para instruirse en las reglas del teatro y del drama desde sus principios hasta nuestro tiempo, de los actores, de la opinión en que han estado e…</t>
  </si>
  <si>
    <t>González, Tomas</t>
  </si>
  <si>
    <t>Tomas González</t>
  </si>
  <si>
    <t>…dos y estraviados. A este efecto., después de haber mandado librar con larga mano por la renta 4e Correos lo que se necesitase para la reparación del edificio, se sirvió nombrar á D. Tomas González., canónigo de la santa iglesia de Plasencia, persona inteligente , quien con su continuado rzelo y la boriosidad tiene ya formado el registro general que desde ei tiempo ae los Reyes Católicos comprende hasta el reinado de Carlos 11, arreglados los do cumento…</t>
  </si>
  <si>
    <t>González, Tomás Benito</t>
  </si>
  <si>
    <t>Tomás Benito González</t>
  </si>
  <si>
    <t>…. Francisco. Honores del Real y suprémo consejo de Indias, á D. Juan Manuel de Gandásegui, director mas antiguo de la Real compañía de Filipinas. / Honores de secretario del Rey á D. Tomás Benito González, oficial ma yor de la escribanía de cámara de dicho consejo de Indias, y escribano ho norario del mismo.</t>
  </si>
  <si>
    <t>González, Vicente</t>
  </si>
  <si>
    <t>Vicente González</t>
  </si>
  <si>
    <t>"s . coronel D. Vicente González, que manda aquellas fuerzas, les dio un golpe el 18 d¿l pasado en las alturas de Ricamachaiy en que les mató é hirió como joq con muy poca pérdida por nuestra parte.” h.-.Kl capitán general del Nuevo-Reino de Granada D. Francisco Montalvo, con fecha de 22 de…</t>
  </si>
  <si>
    <t>GonzálezTrigüéros, Cristóbal</t>
  </si>
  <si>
    <t>Cristóbal GonzálezTrigüéros</t>
  </si>
  <si>
    <t>…de Serón á D. Josef a Ganancias : - para 4a :de Grdtavá á l&gt;. Ma^tih ’Varop Oiiváí para la de Puebla de; Santa María de Guadalupe £ D*; Dionisio Apellanizi para la de BurguIIios á D. Cristóbal GonzálezTrigüéros: parala de Sepúfe veda á D. Isidro Preciado: para la de Brihuega á Di Manuel González Gá- ' voso: para la de Valdeorras á D. Josef Joaquín de Isla: para la de Gcon á b. Vicente García Olalla; y para la «de Bailen á D. Félix Alonso y Calzas; y; ha confirmado 5…</t>
  </si>
  <si>
    <t>Gonzalo</t>
  </si>
  <si>
    <t>…: para la de Aguilar de Campoo i D. Juan Pedro Talasac: para la de Muía á D. Ignacio Fran-; cisco A yuso: para la de Baños dé Jaén á D. Antonio Llata Palacios; y pará la de Puente D. Gonzalo á D. Bérnardino de Peralta. &gt; ' , También se ha dignado S. M. nombrar para juez civil de la ciudad de , Cádiz á D. Teotiímo Escuderó, oidor de la audiencia de Sevilla. . ^ Asimismo en atención á los méritos ,y servicios con que ha acreditad^ -mil</t>
  </si>
  <si>
    <t>Gonzalo, Miguel</t>
  </si>
  <si>
    <t>Miguel Gonzalo</t>
  </si>
  <si>
    <t>…e se hace saber á dichos acreedores para que concurran por sf ó persona en su nombre con suficiente poder, según se ha executado en las anteriores, por la-escribanía del número de Don Miguel Gonzalo} con apercibimiento que al que no comparezca de parará el per juicio que haya lugar. , &gt; , , f Se halla vacante la escuela de primeras letras de la villa de, Qnacos, en, la .Vera de Plaseneia: su dotación; son 20,0 ducados anuales , cobrados y pagado? fpprjsl…</t>
  </si>
  <si>
    <t>…e esta, en junta general de los mismos, ce lebrada en 24 del presente ante elSr. D. León de la Cámara Cano, teniente corre* gidor de esta heroyca villa, y escribanía del número de D. Miguel Gonzalo, se ser virán acudir á cobrar lo que á cada uno les corresponde desde este dia de la fecha de doce á dos de la mañana y de quatro á cinco de la tarde en casa de D. Josef de Santibañes, corredor del número de esta Real aduana , calle de la Zarza, núm. 9, quart…</t>
  </si>
  <si>
    <t>Góózalez, Josef</t>
  </si>
  <si>
    <t>Josef Góózalez</t>
  </si>
  <si>
    <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Josef Marín, D. Josef Alcázar, Dr Josef de Castro, D. Pascual,Atiza , Dv Víctor Conegero, D. Cristóbal Dávtk:, D. Ladislao Luco , D. Juan Enébuisen,…</t>
  </si>
  <si>
    <t>Gorbineau</t>
  </si>
  <si>
    <t>…ver háfc&amp;Cbñdéy las plazas inmediatas; que otros se han presentado delante de .Cambrai, y que algunos han entrado en Chateau-Cambresis. ' * 5 Después de estos avhos una carta del general Gorbineau .del: mismo 2f dice que el egército se reorganiza ai: lado de Soissons , y ^ue nuestra situación se mejora de dia en dia, ! i t* , rr, k »..• ’ - nr&gt;f«;I .ki' El mariscal Grouchy se ha reunido y*. Este mariscal estaba en Rbetél el 24. • EGERCITO DEL" MOSELÁ.…</t>
  </si>
  <si>
    <t>Gordon</t>
  </si>
  <si>
    <t>…eron que le habían robado de lá sepultura, sindudaaJgun facultativo ó algún curioso para depositarlo en algún gabinete. v. Calais 22 de Diciembre. , . ,'•» i«El general Inglis, el coronel Gordon, el capitán Hermann, ayudante del general Arberg, y Mr. Baxson, consejero del "rey de Suecia, llegaron aquí ayer viniendo,de Londres; y marcharon inmediatamente á sus destinos. Los bergantines ingleses Aurora y Goulston, que salieron de esté püer-i toelr»i6 d…</t>
  </si>
  <si>
    <t>Gordon, Francisco</t>
  </si>
  <si>
    <t>Francisco Gordon</t>
  </si>
  <si>
    <t>…a división de Mina, y antes de la última guerra fue platero en Cartes, en las montañas de Santander: habiendo quedado por su muerte cierta cantidad de dinero en Madrid en poder de D. Francisco Gordon t que vive calle del Prado, núm. nf quarto 2.0 interior, se avisa á sus herederos para que acudan á recogerla, acredi tando antes debidamente que lo son. En la acción de Alba de Torines del 28 de Noviembre de 1809 se dió por pri sionero de guerra al capitán D…</t>
  </si>
  <si>
    <t>Gordon, Jorge Miguel de</t>
  </si>
  <si>
    <t>Jorge Miguel de Gordon</t>
  </si>
  <si>
    <t>…te por di misión de D. Francisco Fernandez, í D. Isidoro Salazar, con retención del de Adamuz en la diócesis de.Córdoba; y para el arciprestazgo de Madrid, vacante por dimisión de D. Jorge Miguel de Gordon, al referido D. Fran cisco Antonio Fernandez. Igualmente se ha servido nombrar S. M. para un beneficio simple de Santa María del Campo, diócesis de Cuenca, vacante por muerte de Don Lucas Munguía, á D. Josef Antonio García Poyatos: para la prestamera de Villa…</t>
  </si>
  <si>
    <t>Gorgáud</t>
  </si>
  <si>
    <t>…, El teniente general conde Bértrand, mayordomo mayor de palacio, su muger y tres hijos ; él teniente general duque de Róvigó el teniente génetal Lallemand ; el mariscal, de campo barón Gorgáud , édeéání de Napoleón ; reí mariscal de campó Montholon-5emQnviíl¿;, idea», y .sit mugér y tmhijo; fél conde dé Las-Cases, consejero de Estadpr, &gt;y su hijo.; Mr. de Ré^igny , co mandante de escuadrón; Mr. Plañat, Idem; Mr. Autric , teniente capirah; Mr. Schul…</t>
  </si>
  <si>
    <t>Gorrichátegui, Luis</t>
  </si>
  <si>
    <t>Luis Gorrichátegui</t>
  </si>
  <si>
    <t>…joyD. Antonio Rute, D. Manuel Santander, D. Josef Domínguez , D. Josef!Montero y D. Pedro .Trasierra , D. Frandsco Olmo:,* Don Fermí n Meneos^ «Dv VénturaiRiesco ,D. Josef Muñoz § D. Luis Gorrichátegui, B; Joaquín Arbizu, D. Francisco Bravo, D. Josef Ausejo, B. Ramón Espona, D. Fráncisco Victoríno, D. Pedro Lechuga, D. Manuel Aramburu, D. Ramón Vinader, D. Antonio Fons ,D. Lorenzo Alambra, D. Pedro Albornoz, D. Juan Ibañez, D. Pedro Colche ro % D. Baltasar…</t>
  </si>
  <si>
    <t>Gorrín, Dú Salvador</t>
  </si>
  <si>
    <t>Dú Salvador Gorrín</t>
  </si>
  <si>
    <t>…pueblos de la comprensión de aquella, resultando dé ello también la quimérica idea de sitiar á su capital, executándolo en los pri meros dias del mes próximopasado. ¿ „Ei teniente coronel Dú Salvador Gorrín, que los. seguía ton su división,. pasó también el Orinoco, y hácia el 20 la mayor parte de esta división ya se hallaba en aquella ciudad, que llena de fidelidad y entusiasmo por el mas amado , mejor y mas digno de todos los Reyes, obraba conforme á sus leale…</t>
  </si>
  <si>
    <t>Gorris, Francisca</t>
  </si>
  <si>
    <t>Francisca Gorris</t>
  </si>
  <si>
    <t>…nero en Uldecona á fines del año de 181 o ó principios’ del siguiente5, yse ha llaba enfermo en el hospital de Tarba en Francia. Quien tuviere noticia de él se ser virá avisarlo á Doña Francisca Gorris, Plaza de Mosen Sorell, núm. 8, en Valencia. ^ La* subscripción de la obra intitulada historia. de la primera caída de Nappleon Roftaparfé fe. Estará abierta hástá el día i 5 del itíes dé Agostó píójt!imd É ». ca?&lt;íréjéiáj&gt;lir, ‘jf ‘ bástr el* áiá'fa 0; dél .…</t>
  </si>
  <si>
    <t>…Santiago de Queretaroi-y de “quien no se tiene noticia hace mas de seis años, y teniendo que comunicarle asuntos, interesántes, se suplica á quien sepa de él que se lo.comunique á Doña Francisca Gorris, su hermana, en Valen?cia, plaza de Mosen Soreli, núm. 8. • Los subscriptores á las memorias y campañas de Bernadotte pueden acudir,á la librería deGila, calle de las Carretas, á recoger el segundo cuaderno, cuya publica ción se ha retrasado por incidentes im…</t>
  </si>
  <si>
    <t>…lón, fue hecho prisionero en Valencia ■f conducido á Francia. Deseando su familia saber de su paradero, suplica á quien tenga noticia de él lo comunique en la ciudad de Valencia á Doña Francisca Gorris, plaza de Mosén Sorell, núin. 8. ^ Tratado histórico sobre el origen y progresos de la comedia y del histripnistno en España, con las censuras teológicas, Reales resoluciones y providencias del consejo supremo sobré comedias, y con la noticia dé algunos céleb…</t>
  </si>
  <si>
    <t>Gortázar, Fernando</t>
  </si>
  <si>
    <t>Fernando Gortázar</t>
  </si>
  <si>
    <t>…as, piquete de Zamora dí cargo deí teniente D. Josef Miguel, compañías del regimiento i.° Ameri ca noal de t ¿o capitán D. Josef Car na 20, provincial de Fernando vií de Pueclafce D. Fernando Gortázar, 50 artilleros volantes y 30 catallós^d^Qbe^érflróicbn dbs piezas dé aítillería qíie mandaba el capitán Don Gaspar de Reina; todo á las Órdenes del"teniente coronel D. Pedro Zarzosa y dé sO •‘seguhdo el sargento mayor D. Josef María Travesí. jfReunrda toda la…</t>
  </si>
  <si>
    <t>GÓsyjeMÓkkfri, Josef Manuel de</t>
  </si>
  <si>
    <t>Josef Manuel de GÓsyjeMÓkkfri</t>
  </si>
  <si>
    <t>…camino real del Arrecife, y por el robo que egecutárfon én dimismo camino é inmediato á la Venta nuéva en 14 cajones del eqúír yage' deí Mariscal 'de Campo de los Reales Egércitos D. Josef Manuel de GÓsyjeMÓkkfri quecoaducia Josef Fastrana, vecino de Manzanares, desde Cádiz á ;• v íf; ■ ''"A .^</t>
  </si>
  <si>
    <t>Gouvion-Saint-Cyr</t>
  </si>
  <si>
    <t>…rio de Hacienda; al Duque de Otranto (Foúché) ministro secretario de Estado de la policía general; al Barón Pasquier ministro secretario de Estado de justicia y guarda-sellos;: al mariscal Gouvion-Saint-Cyr , pár de Francia,!ministro secretario de Es tado de la Guerra ; al Condé de Jaucour, par de Francia, ministro secreta-' rio de Estado de Marina; al Duque de Rechelieu, pax de Francia, ministro</t>
  </si>
  <si>
    <t>GouvionSaínt-Cir</t>
  </si>
  <si>
    <t>…&amp;c. A todos los que las presentes vieren, salud. Quedan nombrados individuos de nuestro consejo privado los ministros de Estado siguientes: el príncipe de Talleirand, el mariscal conde GouvionSaínt-Cir , el conde de Jaucourt, el barón Pasquier y el barón Luis. Dado en París á 5 de Octubre de 1815 , el 22 de nuestro reinado. = £««. =: Por mandado de S. M., el ministro de estado de los Negocios excrangeros, presi dente del consejo de los ministros, Rickelieu.…</t>
  </si>
  <si>
    <t>Gov.antes, Fernando</t>
  </si>
  <si>
    <t>Fernando Gov.antes</t>
  </si>
  <si>
    <t>…de presentarse á S. M. los representante! de la villa de* Osuna, el Bxcmoí Sr. duque de e^te títuío, el señor marques de Sotomayor, gentilhombre de cámara dé &amp; [M. con Cxercicio, Don Fernando Gov.antes, comisario ordenador de Marina, Di rt Josef y D. Juan de Dios Govatites, cadetes del Re; 1 cuerpo de Guardia^ deOórps?, y D. Antonio Pálaciosy Gartés, abogado dé los Reales consejosf dé los quales el primero dixo: ; o ^ ,00 t v ,,’Se ñor: la villa de Osuna ti…</t>
  </si>
  <si>
    <t>Govantes, Angel Casimiro</t>
  </si>
  <si>
    <t>Angel Casimiro Govantes</t>
  </si>
  <si>
    <t>…l despacho de libros y ce*» medias que estaba antes en la Puerta del;Sol, frente al correo, y que' se ha trasla dado ahora á la c^lle Mayor, portal de manguiteros. Poesías del Dr. D. Angel Casimiro Govantes, divididas en dos partes: la pri mera contiene varias odas sobre acontecimientos de Ja última guerra, y la segunda de cuentos satíricos y fabulosos &amp;c. : un tpmito en 4p°Se bállafá 44 r$. en las libre rías de Quirós, calle de Atocha, y en Ja ,4c Qreá, call.e…</t>
  </si>
  <si>
    <t>Govantes, Manuel</t>
  </si>
  <si>
    <t>Manuel Govantes</t>
  </si>
  <si>
    <t>…enor, D. Rafael Santiago; D. Ramón Franc, D. Juan de la Cruz de Tena, D. Vicente Torres* D. Gaspar .Fernandez Bobadilla, D. Pe dro Ramos , D. Pedro del Castillo, 0. Anafes García, D. Manuel Govantes, D. Juan Esdovar, D. Cayetano Salcedo, Dw Andrés Nieto.-, B; Manuel Nifo, D. Juan Ltiis&gt; Astraudi yB* Martin dé lbs¡filenos ,D¿ Gabriel: fescolar, D; Ma teo Fernandez, &lt;Dí Adrián Jaco me, D. Manuel. Puch:, Di Juan Delgado, Don -Antonio Megias i:B. Francisco P…</t>
  </si>
  <si>
    <t>Govatites, Juan de Dios</t>
  </si>
  <si>
    <t>Juan de Dios Govatites</t>
  </si>
  <si>
    <t>…Bxcmoí Sr. duque de e^te títuío, el señor marques de Sotomayor, gentilhombre de cámara dé &amp; [M. con Cxercicio, Don Fernando Gov.antes, comisario ordenador de Marina, Di rt Josef y D. Juan de Dios Govatites, cadetes del Re; 1 cuerpo de Guardia^ deOórps?, y D. Antonio Pálaciosy Gartés, abogado dé los Reales consejosf dé los quales el primero dixo: ; o ^ ,00 t v ,,’Se ñor: la villa de Osuna tiene el honor de pre entárse ante la augusta .Persona de V. M., y tributa…</t>
  </si>
  <si>
    <t>Goy, Josef Manuel de</t>
  </si>
  <si>
    <t>Josef Manuel de Goy</t>
  </si>
  <si>
    <t>…en pasta en la librería de Bayio, calle de las Carretas. Nota. En la gaceta anterior del martes 4 del corriente, pág. 354, lí nea 2 5 » donde dice Z). Juan Manuel Goyeneche, tóase D. Josef Manuel de Goy eneche. EN LA IMPRENTA REAL.</t>
  </si>
  <si>
    <t>Goyeneche, Josef María</t>
  </si>
  <si>
    <t>Josef María Goyeneche</t>
  </si>
  <si>
    <t>…mbró .tina dipúta1cionr de sus individuos, compuesta del limo. Sr. arzobispo obispo de Cádiz, del limo. Sr. D. Josef Pablo Valiente/; dep concejo y camara ae Indias , y del Escmo. Sr. D. Josef María Goyeneche, teniente general de la Real ar mada; y |ran. ¿niz'ide larReal orden tAmericana , para que en su nombre diV</t>
  </si>
  <si>
    <t>Goyeneche, Juan Manuel</t>
  </si>
  <si>
    <t>Juan Manuel Goyeneche</t>
  </si>
  <si>
    <t>…ctor' geri^ráJ de las tropas de América : D.,Nemesio Salcedo, mariscal de campo de los Réale.5 éxércitos i y comandante general que fue de las pro vincias íntérnásdeÑiíévá-España: D. Juan Manuel Goyeneche, mariscal de campo de los Reales éxércitos, y general en géfe que fue deí del alto Perú: D. Jósef Vázquez Figúeroa, ministro que fue de Marina: D. Juan María Villavicencioj teniente genéfál de marina , y ministro del consejo del Almirantazgo: D. Joaquín de la…</t>
  </si>
  <si>
    <t>Gracia, Secretario de Estado de</t>
  </si>
  <si>
    <t>Secretario de Estado de Gracia</t>
  </si>
  <si>
    <t>…eal orden quedó enterado el Consejólo ' con fecha 13¿del.corriente, ha comunicadó otra Realvórden, al mismo Supremo Tribunal para su inteligencia y cumpiimientaet espregado Esemo. Sr. Secretario de Estado de Gracia^ y Justicia-con inserción de la que en 12 del mismo le había pasado el Esemo. Sr. Sécretario del despacho de Marina, participándole que el 24 de Mayo último se había instalado el Consejo Su premo del Almirantazgo; pero habiendo ocurrido un incidente por el cu…</t>
  </si>
  <si>
    <t>Graells, Ignacio</t>
  </si>
  <si>
    <t>Ignacio Graells</t>
  </si>
  <si>
    <t>…a dirigido á promover los adelantamientos de U me* dicina y mejorar lá suerte de sus profesores, igualifiente que la de los enfermos, presentado al Real proto-medicato por el Lie. D. Ignacio Graells, médico que ha sido de la villa'de Bañarespy actualmente titular de Carabanchel de abajo. Se halla ra á 6-rs. en Madrid en la librería &gt;de Villareal , calle de las Cárrctas, y de Gonza* •lez,‘cálle dé Ja Luna; en Burgos en4a„dé Revilla; en Valladolid en la d.…</t>
  </si>
  <si>
    <t>Granado, Gregorio Sancho</t>
  </si>
  <si>
    <t>Gregorio Sancho Granado</t>
  </si>
  <si>
    <t>…Jaca á D. Josef Ibarlueea: para la de Lérida á D. Josef Ruiz Manzanopara la de Alcira á D. -Lorenzo Ventura de Dueñas : pira la de Vique á D. Mahuel Frutos: pa ra la de Tárrega á D. Gregorio Sancho Granado r para la de Segorve á Don josef Tomas Aparicio: para la de Villalonga, en el partido de Denia, á Don Agustin Velasco y Calleja: para la de Novelda á D. Miguel Elias Sicardo: paraTa de Pego Ú D. Pedro Antonio Portillo y Clemente: pajra la de Planes y pueblos…</t>
  </si>
  <si>
    <t>Granados, Vicente Ximenez</t>
  </si>
  <si>
    <t>Vicente Ximenez Granados</t>
  </si>
  <si>
    <t>…la naden. ARTICULO DE OFICIO. El Rey se ha servido nombrar para el corregimiento de Ledesma á Don Juan Yarza Marín: para e! de Illéscas á D. Isidro Preciado: para el de Bae-. xa á D. Vicente Ximenez Granados: para él de Orense á D. Vicente Pedio Rebollo: para el de Bilbao z D. Antonio Apellan!?, oidor de la, chan-, ciMéría dé Váíladolid: para el dé Guipúzcoa á D. Ramón Macla de Lieoart: para el de Paradas á D. Francisco Antonio Rodríguez: para el de Alacete á D.…</t>
  </si>
  <si>
    <t>Grandallana, Domingo de</t>
  </si>
  <si>
    <t>Domingo de Grandallana</t>
  </si>
  <si>
    <t>…oma y lo que puede adelantar en frases la lengua española: un tomo en 8.° Se hallará en la librería de Calleja, calle de las Carretas, frente á la imprenta Real. Elogio del Excmo. Sr. D. Domingo de Grandallana: por D. Ramón Tamayo. Véndese en la librería de Escribano, calle de las Carretas. Puede ir en carta. Mapa mundi según la proyección de Arrowsmith, por el geógrafo D. Juan López. Se hallará con otras obras del autor en la calle de Atocha, frente á la pla zuela…</t>
  </si>
  <si>
    <t>Grande, Francisco de Paula</t>
  </si>
  <si>
    <t>Francisco de Paula Grande</t>
  </si>
  <si>
    <t>…an: para la de Carcabuey á D. Juan Carlos Callaba: para la cíe Cartaya á D. Joaquín Fernandez Duran: para la de Mansilla de las Muías á D. Evaristo Linares: para la de Alcañices á D. Francisco de Paula Grande: para la de Cien pozuelos á D. Francisco Herrero Blanco: para la de Salva tierra á D. Manuel del Pozo: para la de la Bañeza á D. Bartolomé García Terrón: para la de Nájera á D. Josef Eladio Garcés: para la del Ferrol y la Graña á D. Vicente García Díaz: para…</t>
  </si>
  <si>
    <t>Grándona, Pablo</t>
  </si>
  <si>
    <t>Pablo Grándona</t>
  </si>
  <si>
    <t>…. debrian de Castrotorafé, vacante por promoción de D. Antonio Entrecanales A la de Villatobas, á D. Ju-an Josef Moro de Elejaveitiá. En consideración á los méritos y servicios de D. Pablo Grándona, abad de Tioira, en Galicia, se ha servido el Rey nombrarle para una canongía vacante en la iglesia catedral de Orense.</t>
  </si>
  <si>
    <t>Granero, Juan Josef</t>
  </si>
  <si>
    <t>Juan Josef Granero</t>
  </si>
  <si>
    <t>…ncipio al acto por la explica ción de la doctrina cristiana, qué hicieron los niños con un desembarazo y perfección, que admiró á todos. En seguida, puestos en medio de la escuela D. Juan Josef Granero, natural de Pedro Muñoz, de edad de seis años y medio, y con uno solo de enseñanza en clase de pupilo en la casa del maes tro, y Bartolomé Girón, natural de este pueblo, de ocho años de edad., y uno y medio de enseñanza, se preguntaron y respondieron recíproc…</t>
  </si>
  <si>
    <t>Granés, Salvador María</t>
  </si>
  <si>
    <t>Salvador María Granés</t>
  </si>
  <si>
    <t>…constante lu cha que ha sostenido la nación española contra el tirano usurpador de sus derechos y de los de su legítimo Soberano el Sr. D. Fernando vil: dividido en dos cantos por D. Salvador María Granés. El Rey nuestro Señor, en vista de los dictámenes de aprobación recibidos en favor de este poema, se ha dignado admitir la dedica toria del mismo, que su autor tuvo la honra de presentar á S. M. en 24 de Diciem bre anterior. Se hallará en el despacho de la im…</t>
  </si>
  <si>
    <t>Gras, Mauro</t>
  </si>
  <si>
    <t>Mauro Gras</t>
  </si>
  <si>
    <t>…le interesan. Los que lo sepan tendrán la bondad de participarlo en Madrid á D. Andrés Olías, sacristán de la parroquia de S. Martin; y en S. Feiiú de Guixols, en Cataluña, al P. D. Mauro Gras, teniente cura de aquella villa. En la catedral de Avila se hallan vacantes tres plazas de contralto, sochantre y salmista. Los que quieran obtenerlas dirigirán memorial al secretario capitular, por cuyo conducto se les instruirá de la renta f obligaciones de…</t>
  </si>
  <si>
    <t>Grau, Jayme</t>
  </si>
  <si>
    <t>Jayme Grau</t>
  </si>
  <si>
    <t>…rpetuo de la ciudad dé Ubeda, maridando! que se le den gracias y publique este acto de generosidad patriótica. &lt; Asimismo se ha dignado S.M. admitir el donativo de los sueldos que Don Jayme Grau, capitán agregado al regimiento de infantería de Fernando vii, ha devengado durante;el tiempo que ha estado prisionero, mandando que sé le den las gracias en su nombre, y se publique en la gaceta. ! ; ■ Ultimamente se ha servido S. M. admitir la oferta que le…</t>
  </si>
  <si>
    <t>Gravina, Pedro</t>
  </si>
  <si>
    <t>Pedro Gravina</t>
  </si>
  <si>
    <t>…es el eterno des canso, como tan dignos de nuestra memoria y reconocimiento. Asistió Ja mú sica de la Real capilla de S. M. al nocturno y misa que celebró de pontifi cal el Excmo. Sr. D. Pedro Gravina, nuncio de S. S. en estos rey nos, y dixo una elocuente oración fúnebre el Dr. D. Luis Castrillo, canónigo de la misma iglesia^ El aparato del templo, adornado con decoro y magestad, el magnífico túmulo que se elevaba en medio de la nave lleno de trofeos mili…</t>
  </si>
  <si>
    <t>…ente celebró el convento de padres dominicos de esta corte solemne fiesta y función á su glorioso titular y doctor angélico San to Tomas de Aquino. Celebró de pontifical el Excmo. Sr. D. Pedro Gravina, nuncio de S. S. en estos reynos. Predicó el limo. Sr. obispo de Ceuta D. Andrés Estéban Gómez. Asistió á misa y sermón el Rey nuestro Señor (que Dios guarde) con los Sermos. Sres. Infantes D. Cárlos y D. Antonio. Concluida la función, al salir S. M. admitió…</t>
  </si>
  <si>
    <t>…itiva sus 'respectivos dugares ,: estando al frente todo el cuerpo de capellanes de honor y predicadores de S. M. en la forma acostumbrada* Celebró la misa de pontifical el Excmo. Sr. D. Pedro Gravina, nuncio de S. S., y haciendo la asistencia á S. M. de prelado el Excmo. Sr^ Patriar ca de las Indias. Colocado el Santísimo en el monumento, y á su debido tiem po se dirigió procesionalmente parte de la Real capilla y la servidumbre que acompañaba á S. M. al…</t>
  </si>
  <si>
    <t>…de Blanco; en Barcelona en la de Garriga y Aguas vivas, y en Cádiz y en San tiago en puestos indeterminados. En las mismas librerías se vende el manifiesto del arzobispo de Nicea D. Pedro Gravina, nuncio de S. S., sobre las ocurrencias de su estrañamíento, añadida á él la carta éterita de Orden de S. M. él Sr. D. Fernán-* do vii, llamándole á sus dominios; y contestación dé monseñor nuncio á S. M.: un tomo en 4.°: su precio 10 rs. Memorias sobre la re…</t>
  </si>
  <si>
    <t>Gre-f</t>
  </si>
  <si>
    <t>…ez de los Muros, D. Fernando Plaza, D. Isidro Cifuentes, O. Antonio Montesinos, D. Lorenzo García, D. Miguel1 Blanco* D. Francisco Sancha, D.-AntonioEstevezyD; Ildefonso Mansilla, D. Gre-f gOrio Pieoir, D. Cristóbal Bermejo ,D. Francisco López, D. Francisco Arahuetes i D. Joaquín Escorriguela, D. Francisco Biatela y D. Nicolás Viguri (*.). 1 Asimismo se lia servido S. M. conceder en el ministerio de Cuenta y Ra zón de-dicho, cuerpo los hoi^qr^…</t>
  </si>
  <si>
    <t>Grego</t>
  </si>
  <si>
    <t>…sagraron en la iglesia de la Merced calzada los limos. Sfcs. D. Antonio Carrillo Mayoral» Obispo de Plasencia,. y D. Feli pe de Montoya, Obispo de Teruel: fue consagrante el Ilmq. Sr. D. Grego rio Cerueío, Obispo de Oviedo; asistentes Jos limos. Sres. D. Blas Jacobo Beltran, Obispo dé Coria, y ’D. Manuel Benito Tabernero , Obispo de Solsona; y padrinos del primero el venerable deán y cabildo de Calahorra, y en su nombre D. Pedro Vengoa y D. Josef I…</t>
  </si>
  <si>
    <t>Gregorio</t>
  </si>
  <si>
    <t>…e comisario de guerra al oficial primero D. Juan del Pico. • „Jiscenso X oficiales primeros á los segundos D. Juan de Sierra, D. Estéban Sánchez Martin, D. Agustín Perez de Lérma, D. Gregorio La Bustay p, Gabriel Azpilcueta , D. Josef Alfonso' Pantoja, D, Félix Ramo, D. Alejo Bada y D. Manuel Gómez. Bo res., r . ' ’ . . Ascenso ,á oficiales segundos á los terceros D. Prudencio María Piohai*do,' Po Joaquín Navarro, &gt; i).«Juan /Francisco, Vivanco, D.'Eugenio…</t>
  </si>
  <si>
    <t>…gobier na y cumplimiento. Dios guarde á V. muchos años, Madrid 8 de Junio de 181 y. 1 » , •» , ' ' V .1 .. « ■ &lt; , - l ’ • ' V "• i - El Rey nuestro Señor se ha servido conceder á D. Gregorio de la Torre* capitán mas antiguo del batallón de artilleros voluntarios estramuros de la plaza de Cádiz, su Real permiso pára poder usar la condecoración de la or den de la flor ‘de Lis qué S. M. Cristianísima él Rey de Francia Luis xvm se ha dignado Conferir…</t>
  </si>
  <si>
    <t>Gregorio, Manuel Hernández de</t>
  </si>
  <si>
    <t>Manuel Hernández de Gregorio</t>
  </si>
  <si>
    <t>…lisis de los precios de la espresada tarifa, y un proyec to para hacer una mas correcta, y que al mismo tiempo sea perpetua y general para todas las provincias del reino: su autor D. Manuel Hernández de Gregorio, boti cario de cámara de S. M. Véndese con el diccionario elemental en la droguería de Trasvina, calie de Postas, á 6 rs. cada cgemplar. \ EN LA IMPRENTA REAL.</t>
  </si>
  <si>
    <t>Grenier</t>
  </si>
  <si>
    <t>…cación que ha hecho Bonaparte en su hijo, menor de edad, se han nombrado para el gobierno egecutivo á cinco personas, que son el conde de Carnot , el duque de Otranto (Fouché), el general Grenier, el duque de Vicenza (Caulaincourt), y Mr. Quinette^—También se han nom^brado cinco personas para que vayan al cuartel general de los Soberanos alia dos á tratar ae paz, qüe son Mrs. SebastiaUi, Argenson, Ponteeoulant, Lafayete y Laforet. f - ' ’ • 1 PORTUGAL…</t>
  </si>
  <si>
    <t>Grenville</t>
  </si>
  <si>
    <t>…en brecha un fuerte que se debía escalar en la misma noche, y cuya to ma debía hacer dueño al almirante ingles de la Nueva- Orleans. Idem 2 i. En la cámara de los pares hizo ayer lord Grenville una mocion relativa i la reunión de Géíiova al rey no ale Cerdeña, y pidió que se presentasen las proclamas de lord Bentinck y del general Dairyrapíe. Pero habiendo hecho observar el lord canciller que esta iriocion hecha en este momento acarrearía una revela…</t>
  </si>
  <si>
    <t>Grey</t>
  </si>
  <si>
    <t>…E MADRID DEL JUEVES 22 DE JUNIO DE 1815. GRAN BRETAÑA. Londres 25 de Mayo. Él 19 del corriente contestó en la cámara de los pares el conde de Liver pool á una pregunta que le hizo lord Grey de que se presentaría en la cáma ra el documento que contenia las propuestas de paz hechas por el gobierno', francés, y que era casi literalmente el mismo que se publicó en los periódicos franceses, con la fórmula de la carta circular dirigida á los diversos…</t>
  </si>
  <si>
    <t>Grimaud, Santiago</t>
  </si>
  <si>
    <t>Santiago Grimaud</t>
  </si>
  <si>
    <t>…s ediciones antes de traducirse al francés y al italiano, y su objeto es el destruir los encantamientos y supersticiones del pueblo. Se hallará en Madrid en el almacén de papel de D. Santiago Grimaud, calle de las Carretas, frente á la im prenta Real, á 40 rs. en pasta. EN LA IMPRENTA REAL.</t>
  </si>
  <si>
    <t>…osa guerra de sucesión: un tomo en 4.a Se hallará á 16 rs. en rústica y 10 en pasta en la librería de Castillo, frente á las gradas de S, Felipe el Real, en el almacén de papel de D. Santiago Grimaud, calle de ia»Carretas, frente á la imprenta Real, y en Barcelona en la im prenta de Grysi. ' % . - v ... Tratado'patológico teórico-practicó de' lós tumores hiimoplés: arreglado para instmeóíon de los alumno* de ios Reales colegios t de cirugía1 por el Lie. D…</t>
  </si>
  <si>
    <t>Grouchy</t>
  </si>
  <si>
    <t>…á Luis Estanislao Xavier;cuando habló al general conde de Erlon , que debía recibirle en Lila; al general Clausel, que iba a Burdeos, donde se hallaba la duquesa de Angulema ; al general Grouchy, que marchaba á apaciguar las turbulencias civiles excitadas por el duque de An gulema ; en todas partes en fin ha dado órdenes S. M. el Emperador para que tus personas fuesen respetadas y puestas ai abrigo de todo ataque, peli gro ó violencia , tanto en su m…</t>
  </si>
  <si>
    <t>…Aumont, bajo las órdenes del conde Lobau, fue destinado á dirigirse por la espalda de nuestra derecha paira hacer frente a un ;cuerpo prasía no , que parece se había librado del . mariscal Grouchy, y tenia -intención de dejarse caer sobre nuestro flanco derecho, intención que habían mps¿ conocido por nuestras relaciones!, y por una carta de un gene £af prusiano .que llevaba una ordenanza » quqhabiaja hecho prisionera nuestra av^zadas^ , Las tropas esta…</t>
  </si>
  <si>
    <t>…riscal duque dé Elchingen, y com^ puesta del primero y del segundo cuerpo de infantesa y d^ s^aova^ ca ballería r ocupaba la posciojn de Frasiie. £1 ala derecha, *naiváad* por «al mariscal Grouchy» y, compuesta de 1^ cuerpos tercero y cuarw» de infamarla y del tercero de caballería -ocupaba lasalruras-gueestaUfdetíasdeEloro* &gt;. El cuartel general del Emperador a® bailaba enCharlerm, ea «•* taba la guardia imperial y el cuerpo sesto. £1 ala izquierda tu…</t>
  </si>
  <si>
    <t>…a parte con unos vu canuiJ».y— A4S Por la derecha el general Girard se empeñó con el cuarto cuerpo en el lugar de Ligny , del que por distintas veces se apoderó y fue arrojado. El mariscal Grouchy á la estremidad de la derecha, y el general Pajol combatieron el lugar de Sombré defendido por 8o á 90© hombres y un nú mero considerable cié cañones. A ’líts tiete^éramos ya1 dueños de todos los lugares situados á la orilla de la rambla que cubria la posició…</t>
  </si>
  <si>
    <t>…posiciones que «4 empezarte la «¿don Ocupaba el enemigo ? pero ha^Ilándosetift mal empleada nuestra caballería, nos era infO$d)ie ya conse guir una acción decisiva. Entre tanto d mariscal Grouchy 9 habiendo sabida ttI movimientodel cuerpo prusiano, marchabadetrasdeá»loeüal nos sse*«guraba un é%ito glorioso para el dia siguiente? y despnts de oeho toras de Juego y de cargas de Ib árifentería y de la caballería todo el Cgérciro veia. coh -satisfacción c…</t>
  </si>
  <si>
    <t>…........................................................ pcJeiUi2$ ínespiignables, y-nos fue preciso atacarlo con un egército infe rior en numero. Hay aquí unos 30$ hombres, y el mariscal Grouchy, que ha tomado esta mañana el mando en gefe del egército del Norte, tiene otro tan to .numeró: hay ademas unas 100 piezas de artillería montada, y se esperan muchas mas. ' La guardia imperial está dividida en partidas en el camino de Laon. La comunicación con…</t>
  </si>
  <si>
    <t>…general Gorbineau .del: mismo 2f dice que el egército se reorganiza ai: lado de Soissons , y ^ue nuestra situación se mejora de dia en dia, ! i t* , rr, k »..• ’ - nr&gt;f«;I .ki' El mariscal Grouchy se ha reunido y*. Este mariscal estaba en Rbetél el 24. • EGERCITO DEL" MOSELÁ. .1 t ! : El general Béliard da Cuenta que el enemigo estaba eh Sarrebruck; y que una desús columnas, procedente de Blisberckenyse hallaba también en Rítche. El general ha1 tomado;…</t>
  </si>
  <si>
    <t>…l Jura y de Var, asi comó tampoco de los Alpes y de los Pirineos. Boletín dtl 28 de Junio. Se han recibido noticias desagradables sobre los progresos de los aliados. Un pliego del mariscal Grouchy, escrito en Soissons el 27 de Junio á las 10 de la noche, anuncia que el enemigo tiene muchas fuerzas en Compiégné; y que el conde de Erlon , no podiendo entrar en aquella ciudad, marchó á alojarse en el bosque de Senlis. El enemigo ocupa el puente de S. Maje…</t>
  </si>
  <si>
    <t>Groucny</t>
  </si>
  <si>
    <t>…n con dirección á la Suiza : algunos dias después la ha seguido su marido, que vuelve á stf embajada. , 1 ' Haciendo pesquisas la policía en las inmediaciones de León en busca del general Groucny, descubrió el 22 de este mes al geueral Gilly, á quien ar restó i y le condujo preso á Clermont-Ferrant. , Lá Emperatriz de Rusia , llegó .el 16 á Postdam t al dia siguiente hizo su entrada en Berlín en medio de mil aplausos, salvas dé artillería y repique de…</t>
  </si>
  <si>
    <t>Grouctiy</t>
  </si>
  <si>
    <t>…D'R-á- NOltTE.S ^1.. irJ* En carta del Duque de Dalmacia, escrita el 23, Se dice que el egército empieza á reunirse; En otr«i2 del 324 avisar el -mayor general:'que las tropas del mariscal Grouctiy debían juntarse*el 25. Los puestos avanzados del enemigo estaban en Marleyysedecia^oe^unapaiftede w egército estaba en Vervins. Uno de los partes telegráficos del 25 avisa que varios destacamentos de caballería enemiga se dejan ver háfc&amp;Cbñdéy las plazas inme…</t>
  </si>
  <si>
    <t>Grueso, Josef</t>
  </si>
  <si>
    <t>Josef Grueso</t>
  </si>
  <si>
    <t>…. Silvas y grados de alféreces igualmente de caballería 4;los- distinguMos D, Basilio rCeéda, D. Autopio defMoya p E&gt;. Antonip, Melgarejo, y á los sargentos Pon rancisco Fajardp., D. Josef Grueso y ©. Gil López. .f</t>
  </si>
  <si>
    <t>Grundler</t>
  </si>
  <si>
    <t>…cibieron á S. M R. con las mas espresivas aclamaciones,, á las que contestó el' Príncipe con su gracia y afabilidad características. . Soissons 10 de Agosto'. El mariscal de campo conde Grundler ha sido enviado aquí por el mi nistro de Guerra para poner fin al sitio de esta plaza, y arreglar un convenio con el general ruso encargado de observar nuestra guarnición. Esta novedad nos alienta y libra de los crueles temores que há tanto tiempo- nos aflige…</t>
  </si>
  <si>
    <t>…am al cónsul general de la misma nación Mr. SmirnofT, fue conducido al cuartel general ruso, y el consejo de guerra le condenó el 29 de Agosto á ser arcabuceado. El dia 15 tomó el general Grundler al mariscal Ney una declaración que duró cuatro horas. Se anuncia la formación próxima de un establecimiento que tendrá por título: As ocia don universal para el progreso de las denotas, las artes, la legislación, la jurisprudencia y la industria francesa. El…</t>
  </si>
  <si>
    <t>1330</t>
  </si>
  <si>
    <t>…Cíaparede ; conde Viílate; conde Maison gobernador dé la primera división militar. El comisario or denador barón Joinville desempeña las funciones de fiscal; el mariscal de campo conde Grundler las de relator, y Mr. Boudin las de secretario. Aseguran que habiendo representado uno de los mariscales motivos de re cusación, que examinará él consejo de guerra antes de entrar en sesión y ha nombrado ai mariscal duque de Bellune juez suplente. » El paqueb…</t>
  </si>
  <si>
    <t>Gu, Francisco</t>
  </si>
  <si>
    <t>Francisco Gu</t>
  </si>
  <si>
    <t>…s ; subtenientes de cazadores á D. Domingo Miranda y D. Juan Manuel Piedra, y 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Campuzano, gobernador de las aduanas de Cantabria, ha venido S. M. en conce derle le…</t>
  </si>
  <si>
    <t>Guadarrama, Josefa</t>
  </si>
  <si>
    <t>Josefa Guadarrama</t>
  </si>
  <si>
    <t>…do en ellas el color que ha teñido el pelo, ó £ lo menos el que subsiste en las cejas. Se vende calle dc Sta. Po lonia , barrio del Amor de Dios, núm. p, cuarto principal, casa de Doña Josefa Guadarrama. Diccionario del P. Terreros con las voces de ciencias y artes y sus correspon dientes en las tres lenguas latina, francesa é italiana: consta de cuatro tomos en foliode marquilla, é impresión de I-barra*, los tres primeros, compuestos por el P. Estéban de Te…</t>
  </si>
  <si>
    <t>Guar, Antonio</t>
  </si>
  <si>
    <t>Antonio Guar</t>
  </si>
  <si>
    <t>…Berja y Dalias á D. Ramón Rodríguez Vélaseos para la de Puerto Real á D. Joaquín Pardiñas de Soto: para la de Almería á Don Manuel Perez de los Ríos: para la de la villa de Haro á D. Antonio Guar dilla: para la de Aguilar de Córdoba á D. Blas Josef de Martos: para la de Moron á D. Manuel Sotillos Montijo: para la de Medinasidonia á D. Leo nardo Talens de la Riva: para la de Berlanga á D. Josef Codina y Gómez: para la de Cuellar á D. Gaspar Antero Roch…</t>
  </si>
  <si>
    <t>Guasa, Juan</t>
  </si>
  <si>
    <t>Juan Guasa</t>
  </si>
  <si>
    <t>…, D. Ber nardo Amado, D. Manuel Martínez y D. Francisco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Francisco Sillero, D. Juan Sánchez, D. Alexandro Saez, D. Estéban Rubio y D. Gabriel Yanguas, del de…</t>
  </si>
  <si>
    <t>Guerra, Josefi de</t>
  </si>
  <si>
    <t>Josefi de Guerra</t>
  </si>
  <si>
    <t>…, La obra k ha^i§puesto, y ditigidq,DfJAn[to^o. Agua¿qtf!d*^^tQR gftfleral de la Real academia de S. Fernando, arquitecto mayor"de Madrid. La escultor ra es del teniente director D. Josefi de Guerra, y del profesor D. Francisco Javier Mean a. ,cc). tvro :i&lt;í c .t « r; i v z \ ^ v. Oba^Real jurit^siipefjox gi^rwivftideiMe^ieiflíaii. direeforáíidel'iesiaidio*¡dfe Clínica de esta corte , incurriria en la nota-de .ingrata! »wjeuc*ie'JósbabeT ranos, si no se…</t>
  </si>
  <si>
    <t>Guerra, Juan Alvarez</t>
  </si>
  <si>
    <t>Juan Alvarez Guerra</t>
  </si>
  <si>
    <t>…que ocupan continuamente á la sociedad económica ae Amigos del pais de esta corté , uno de ellos ha sido el examen de un trillo del modelo que la ha presentado su socio de mérito D. Juan Alvarez Guerra,y cón el cual en nueve horas uti hombre y úna, caballería trillan, limpian y dan puestas diariamente en el pa jar y ¿granero 10o fanegas cte trigo y paja, y mayor cantidad si fueren otras, las semillas que con él se trillaren.. . . , . ’ ^</t>
  </si>
  <si>
    <t>Guerrero, Antonio</t>
  </si>
  <si>
    <t>Antonio Guerrero</t>
  </si>
  <si>
    <t>…e Gila, calle de las Carretas. , Retrato de nuestro muy amado Monarca D. Fernando vn, Rey de España y de las Indias, pintado por su pintor de cámara D. Vicente López 5 copiado por D. Antonio Guerrero, y grabado en medio pliego por D. Manuel Albuerne. Se vende en el almacén de estampas, calle Mayor, frente á la casa del conde deOñate, á 8 rs. en negro y á 16 iluminado. EN LA IMPRENTA REAL.</t>
  </si>
  <si>
    <t>…e Capitán á D. Antonio Salazar, D. Antonio Toxo, Don Xavier Pimentel y D. Ramón Osores, del Provincial de Santiago; D. Ber nardo Becerra, del de Betanzos; D. Joaquín López Varela, D. Antonio Guerrero, D. Josef Guerrero, D. Juan de Castro, D. Juan López, Don Pedro Santistéban y D. Josef Novoa, del de Lugo; D. Luis Blanco, Don Pedro Iglesias, D. Pedro Ruiz Peña, D. Pedro Rodríguez, D. Isidro del Rio, D. Antonio Arias, D. Manuel Quiñones, D. Carlos Mota, D.…</t>
  </si>
  <si>
    <t>…rretas, y en la de Villa, plazuela de Ste. Domingo. Retrato dd Ssrmo. Sr. D. Cáríos María, Infante de España, pintado por Don Vicente López, pintor de cámara de S. M., copiado por D. Antonio Guerrero, y grabado por D. Manuel Alrgre, de igual tamaño al del Rey nuestro Señor Don Fernando vrr ya publicado anteriormente. Ambos se venden en el almacén de estampas de la calle Mayor, fíente á la casa del conde de Oñate, á 8 rs. cada uno en negro y á 16 iluminado…</t>
  </si>
  <si>
    <t>…Alcalá, y en Cádiz en el depósito de hidrografía, casa titulada de la Camorra: su precio 2 § rs. vn. Estampa nueva de S. Juan Nepomuceno en cuartilla de marca mayor, dibujada por D. Antonio Guerrero, y grabada por D. Luis Noseret. Se vende con otras mu chas de igyal tamaño de varios santos y santas en el almacén de estampas, calle Ma yor, frente á la casa del conde de Oñate: su precio grs. vn.__En el mismo alma cén se hallará el retrato á caballo del Exc…</t>
  </si>
  <si>
    <t>Guerrero, Carlos</t>
  </si>
  <si>
    <t>Carlos Guerrero</t>
  </si>
  <si>
    <t>…redro Ventades; y confirmar en el de Sabagun á D. Joan Facón: para la vara de alcalde mayor de Ecija á D. Francisco Anaya y Villazan: para la de alcalde mayor segundo de Córdoba á D. Carlos Guerrero: para el de Miranda de Ebro á D. Josef Victoriano de Olaeta; para la de Antequera á D. Joaquín Tercero Gaseo i y para la de Sepulveda á D. Manuel FrutosPara ef corregimiento político* de la ciudad de Granada ¿ D. Juan de Campos y Molina: para el de Hellin á D…</t>
  </si>
  <si>
    <t>Guerrero, Josef</t>
  </si>
  <si>
    <t>Josef Guerrero</t>
  </si>
  <si>
    <t>…o Salazar, D. Antonio Toxo, Don Xavier Pimentel y D. Ramón Osores, del Provincial de Santiago; D. Ber nardo Becerra, del de Betanzos; D. Joaquín López Varela, D. Antonio Guerrero, D. Josef Guerrero, D. Juan de Castro, D. Juan López, Don Pedro Santistéban y D. Josef Novoa, del de Lugo; D. Luis Blanco, Don Pedro Iglesias, D. Pedro Ruiz Peña, D. Pedro Rodríguez, D. Isidro del Rio, D. Antonio Arias, D. Manuel Quiñones, D. Carlos Mota, D. Auto-</t>
  </si>
  <si>
    <t>…stro,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Rafael Solano, Di Josef; Majríaí Prieto , Q¿ Fráncisco Cervera &gt; D. Francisco , Cascos, D. Juan Tejadár, DvBasilioBayon…</t>
  </si>
  <si>
    <t>Guerrero, Pedro</t>
  </si>
  <si>
    <t>Pedro Guerrero</t>
  </si>
  <si>
    <t>…ta mitad azul celeste y la otra mitad blanca. Asimismo se ha dignado S. M. dispensar á varios de los mismos indivi duos las gracias siguientes: Empleo de Brigadier de Infantería á D. Pedro Guerrero, Coronel del Regimiento Provincial de Tuy: grado de Coronel de Infantería á D. Francisco Iraola, Comandante agregado en el de Infan tería de Málaga; D. Félix Alvarez Acevedo, Comandante agregado en el de Tuy; D. Josef Feijoo, en el de Lugo; D. Facundo Ibañez,…</t>
  </si>
  <si>
    <t>Guevara, Angel Ladrón de</t>
  </si>
  <si>
    <t>Angel Ladrón de Guevara</t>
  </si>
  <si>
    <t>…góVia,D.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Josef Marín, D. Josef Alcázar, Dr Josef de Castro, D. Pascual,Atiza , Dv Ví…</t>
  </si>
  <si>
    <t>Guevara, Luis Velez de</t>
  </si>
  <si>
    <t>Luis Velez de Guevara</t>
  </si>
  <si>
    <t>…varias materias pendientes, se necesita allí para 8ü arreglo una persona de legítima representación. El Diablo cojuelo: verdades soñadas y novelas de la otra vida: traducidas por D. Luis Velez de Guevara; añadida con ocho enigmas y dos novelas: la invención de esta obra ha merecido siempre elogio: se vale el autor de diferentes figuras para apartar &amp; los incautos de las falsedades de los hombres: en la novela de los tres her manos y en la del caballero invisi…</t>
  </si>
  <si>
    <t>Guilleminot</t>
  </si>
  <si>
    <t>…io de 18*5 los comisionados nombrados por los coman dantes en gefe de los respectivos egércitos, á saber es: ,,El barón Bignon, encargado del despacho de Negocios estrangeros. J¿1 conde Guilleminot, gefe.del estado mayor general del egército francés.—. Y el conde B.óndij prefecto del departamento del Sena, revestidos todos de los plenos poderes de S; E. el mariscal príncipe de Eckmühl (Daveust), co mandante del egército francés de una parte , y el mayor…</t>
  </si>
  <si>
    <t>Guimbarda, Josef</t>
  </si>
  <si>
    <t>Josef Guimbarda</t>
  </si>
  <si>
    <t>…eva, D. Juan Delgado,: D. josef Febrer , D; Mariano Henarejos, D; Ciríaco Mella , D. Juan Sanjurjo, D. Ignacio Cuadrado,: D. Juan Aleson, D. Honorio Siréra ; D. Pedro Vizcarrondo, D. Josef Guimbarda, D. Juan Sotélo, D¿ Tiburdo Basanta, p. Rodrigo Tavira , D. Manuel de Lis , D/Felipe Herreros , el marques del Moral, D. Sebastian Iglesias, D. Salvador de Cárdenas, D..Andrés Maymo, D&lt; Clemente Gutiérrez, D, Vicente Rodríguez, D. Pedro Pilón; D: Luis Polo de…</t>
  </si>
  <si>
    <t>Güira, Francisco Javier</t>
  </si>
  <si>
    <t>Francisco Javier Güira</t>
  </si>
  <si>
    <t>…todos en general , pero en espe cial el coronel de Estremadura Di Mariano* Rieafbrt, el alférez de la Union D. Ramón Abois, el teniente de navio D. Fernando Lizárza, el de fragata D. Francisco Javier Güira!, el alférez de navio D. Vicente Sánchez, y los de fragata D. Rafael Díaz y D. Angel de Santa María, que falleció, el sar gento primero de la Unión Francisco Giménez f el condestable de navio DonTomas del ara, el guardia marina D. Manuel Salas, y el primer ca…</t>
  </si>
  <si>
    <t>Guiral, Francisco</t>
  </si>
  <si>
    <t>Francisco Guiral</t>
  </si>
  <si>
    <t>…cterística de nuestra profesión, animando todavía á los pocos que que daban sobre el castillo , yo comandante del buque y los oficiales siguientes: el teniente de fragata graduado D. Francisco Guiral, el alférez de navio é ingeniero de la escuadra IX Vicente Sánchez Cerqüero, el teniente de brulot D. Angel Santa María y el guardia marina D. Manuel Salas, y de egér cito el subteniente de la Union lX Ramón Abois, los que Hasta el último mo mento se mantuvie…</t>
  </si>
  <si>
    <t>Guisber, Vicente</t>
  </si>
  <si>
    <t>Vicente Guisber</t>
  </si>
  <si>
    <t>…Andrés Ramos, D. Jo sef Ibardó, H; Gabriel Calabaza Casimiro Quesada^D.** Josef Arcos, Don Fermín Moza, DPAnjgel Villa, JL Florentino García., D. Rafael Alcalde, D, Ambrosio Doz, D. Vicente Guisber, D. Mariano Rodríguez, D. Eusebio Gavilanes, D. Juan Polo, D. Josef Baeza, D; Josef Dávila , D. Francis co Frades., D* Josef Urbiña, D. Antoiiio Valdivieso, D. Juan Sánchez , Don Manuel Laso, D. Domingo Cepeda, D. Mariano Mayor&gt; D*5Juan Bastos,</t>
  </si>
  <si>
    <t>Guitart, Diego</t>
  </si>
  <si>
    <t>Diego Guitart</t>
  </si>
  <si>
    <t>…es, natural de Toledo, que residía en Cartagena en el año de 1808, desde donde escribió la última vez en 27 de Enero de 1810. Quien supiese de ella se servirá avisarlo á su marido D. Diego Guitart en Madrid, calle de D. Pedro, rulen. 2. Entre los papeles derrocados de la escribanía de ayuntamiento de-Ja villa de Torrecillas:, provincia de E$tre madura, partido de Trugillo, del cargo de. D. An tonio García Márquez, ha parecido por una de aquellas casual…</t>
  </si>
  <si>
    <t>Guizaburuaga, Feliciano de</t>
  </si>
  <si>
    <t>Feliciano de Guizaburuaga</t>
  </si>
  <si>
    <t>…7 vales Reales de 300 peses, creación de i.° de Mayo de 1808 , de la que se ha dado traslado á los sugetos á cuyo favor están endosados últimamente ; y hallándo se los 44 en él de D. Feliciano de Guizaburuaga, uno á D. Mariano Espinosa é hi jo, o¡tro á D. Lorenzo Sánchez,y .el último á D. Pedro Menendez, ignorándose la existencia y paradero de estos cuatro sugetos, ha acordado el nominado señor te niente se les haga notoria dicha demanda por medio de este periódic…</t>
  </si>
  <si>
    <t>Gurlly</t>
  </si>
  <si>
    <t>…ó con Otro cualquiera, creado ya ó que se establezca por los rebeldes al Rey \ to da comunicación ñ obediencia á sus órdenes ó á las de sus delegados, señala damente á las del ex-general Gurlly, se considerará corno acto de rebeldía, confórme á las órdenes del Rey. 6.° Todo recaudador general ó particular de caudales públicos, y todo depositario de ellos será desde este Instante responsable de ellos al Rey, pro hibiéndole hacer remesas del referido-…</t>
  </si>
  <si>
    <t>Gurovich, Antonio</t>
  </si>
  <si>
    <t>Antonio Gurovich</t>
  </si>
  <si>
    <t>…de estos foragidosr, que' continúan infestando las aguas dé Turquía, tuvieron la osadía de atacar el 7 de Setiembre en la altura de Negroponto á la goleta austríaca Conde Sanrau, capitán Antonio Gurovich, intentando tomarla al abordage; pero el capítan y su escasa tripulación se defendieron con tal intrepidez y bizarría, que uno de los buques de los piratas se fue á fondo1, y los otros dós^tuvieron que huir obligados de un fuego perfectamente dirigido. El cap…</t>
  </si>
  <si>
    <t>Guruceta, Roque</t>
  </si>
  <si>
    <t>Roque Guruceta</t>
  </si>
  <si>
    <t>…de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Doh Andrés Fernandez Caballero y D. Diego Prieto. - ; Ascenso á capitanes de fragata á los tenientes de navio D. Ramón de Eulate , D. Tom…</t>
  </si>
  <si>
    <t>Gutierre, Francisco</t>
  </si>
  <si>
    <t>Francisco Gutierre</t>
  </si>
  <si>
    <t>…dra de la audien cia de Sevilla á D. Antonio García de Veas, Teniente coronel y Auditor ge neral del egército de la izquierda. Asimismo atendiendo á la avanzada edad y achaques de D. Francisco Gutierre^ Garavantes, Alcalde del crimen de la audiencia de Estremadura, se ha servido S. M. jubilarle con las dos terceras pajrtes de sueldo. Atendiendo el Rey á los méritos y servicios contraídos por D. Felipe Sobrado, D. Francisco Javier Vázquez Varela y D. Josef A…</t>
  </si>
  <si>
    <t>Gutiérrez, Alejandro</t>
  </si>
  <si>
    <t>Alejandro Gutiérrez</t>
  </si>
  <si>
    <t>…e 812, para que dentro del término de 20 dias ,.que por tres y el último perentorio se les concede , contados desdé esta fecha, acudan á esté mi juzgado y éscribanía del número de D. Alejandro Gutiérrez, donde se halla radicado, este abintestato/á usar del derecho que crean asistirles* con apercibimiento que pasado dicho término ,sin haberse presentadores parará el perjucio que. haya lugar. , t En virtud de providencia del Sr. D. Josef* Salvador López del Pa…</t>
  </si>
  <si>
    <t>Gutiérrez, Cárlos</t>
  </si>
  <si>
    <t>Cárlos Gutiérrez</t>
  </si>
  <si>
    <t>…con retención del beneficio de Beceite que obtiene en el arzobispado de Zaragoza. = La ración vacante en la iglesia primada de To ledo por fallecimiento de D; Ignacio Rey Montes á D. Cárlos Gutiérrez; y la-capellanía de coro vacante enla misma iglesia por muerte de D. Juan Ser rano á D. Gavino Ramón Díaz.=rLa abadía de Castrogeriz, dignidad de la iglesia metropolitana de Burgos, vacante por fallecimiento de D. Dionisio Sainz Galinsoga, á D. Tomas Ugarte ,…</t>
  </si>
  <si>
    <t>Gutiérrez, Francisco Javier Perezt</t>
  </si>
  <si>
    <t>Francisco Javier Perezt Gutiérrez</t>
  </si>
  <si>
    <t>…rimera clase, y del marques de Cilleruelo , mayordomo de semana de S. M., sugetos que por notoriedad se hallan en el caso de haber merecido la mencionada cruz efe distinción, y de D. Francisco Javier Perezt Gutiérrez por secretario. La misma comisión después de examinadas las jus-‘ tificaciones las devolverá con su informe y parecer, á fin de que presentadas* á S. M. se sirva determinar la concesión, y mandar el despacho del corres-5 pondiente diploma. * Circulares del mi…</t>
  </si>
  <si>
    <t>Gutiérrez, Josef</t>
  </si>
  <si>
    <t>Josef Gutiérrez</t>
  </si>
  <si>
    <t>…D. Domingo Miranda y D. Juan Manuel Piedra, y 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Campuzano, gobernador de las aduanas de Cantabria, ha venido S. M. en conce derle les honores del consejo de Hacienda.…</t>
  </si>
  <si>
    <t>Gutiérrez, Joséf</t>
  </si>
  <si>
    <t>Joséf Gutiérrez</t>
  </si>
  <si>
    <t>…, D. Francisco Ocaña, IX Antonio Gayosrí ,. D. Antonio García, D. Víctor Perez, D. Francisco Laborda, D. Antonio Echavarri, I). Josef Valcárcel 'yRosique, D. Josef Gómez Arteche , D. Joséf Gutiérrez, D. Josef B en i tez Cafrípou ,D. Segundo Ulibarri, D. Miguel Párraga, D- Juan Amonio Pereyra, D. Pablo Ortiga Samaniego, D. Joséf Valcárcel y Arias, D. Francisco Dugi y D. Manuel Fontiyerbs. " Es crecido el número de los capitanes, tenientes, subtenientes, s…</t>
  </si>
  <si>
    <t>Gutiérrez, Juan</t>
  </si>
  <si>
    <t>Juan Gutiérrez</t>
  </si>
  <si>
    <t>…Velasco, á D. Antonio González Benito, cura del lugar de Coca de Huebra en el mismo obispado: para otro beneficio servidero de Baños, en el obispado de Jaén, vacante por muerte de Don Juan Gutiérrez, á D. Josef Antonio Borrego Sotomayor, cura párroco de Truxillanos: para otro beneficio servidero de Santa María del Valle de Man tilla, vacante por muerte de D. Miguel Estanislao Quadrillero, en la dió cesis de León, á. D. León Sierra: para otros dos benefic…</t>
  </si>
  <si>
    <t>…tk:, D. Ladislao Luco , D. Juan Enébuisen, D. Juan Piich, D. Mariano Al-* dama, D. Pablo Estogui, D. Policarpo Aldama, D. Josef Guerrero , D. Jo^.ef Torrubiai, Di Gabriel del Rio, D. Juan Gutiérrez, D. Tornas de Codes, Di Josef Navarro; D. Juan Ruiz &gt; D. Salvador González, D. Rafael Solano, Di Josef; Majríaí Prieto , Q¿ Fráncisco Cervera &gt; D. Francisco , Cascos, D. Juan Tejadár, DvBasilioBayoni, D.Joaquin Dolz, D. Salvador Arnardo, D. An tonio Marcoletá…</t>
  </si>
  <si>
    <t>Gutiérrez, Leandro Josef</t>
  </si>
  <si>
    <t>Leandro Josef Gutiérrez</t>
  </si>
  <si>
    <t>…rminó dirigir á los pies de él uir tes timonio de su lealtad , y á este efecto el dia 5 del corriente los individuos de él D. Juan Rodríguez "Valcárcei, D. Lorenzo Josef Barbacho, D. Leandro Josef Gutiérrez, D. Manuel Gonzalc-z, D. Esteban Iglesias, D. Dionisio Melendez y D. Rafael Santiso firmaron un escrito; en eicual, al mismo tiimpO' que felicitan á S. M. por so restitución al trono, esponen los servidos de un donativo, entre otros, de 4® pe^os que hicieron…</t>
  </si>
  <si>
    <t>Gutiérrez, Pedro</t>
  </si>
  <si>
    <t>Pedro Gutiérrez</t>
  </si>
  <si>
    <t>21 Sargento mayor del Regimiento de Mallorca, D. Pedro Gutiérrez, del de Voluntarios de Avila, y D. Josef Calderón de la Barca, Gobernador inte rino del Fuerte de la Concepción, y Presidente de la Comisión Militar de Policía y Gobierno de la plaza de Ciudad-Rodrigo: al de Teniente Coro nel á D. Benito Sandoval y D. Pablo P…</t>
  </si>
  <si>
    <t>Gutiérrez, Vicente Trancho</t>
  </si>
  <si>
    <t>Vicente Trancho Gutiérrez</t>
  </si>
  <si>
    <t>…tos de- con curso del nmmo , en 23 de Abril próximo pasado se acordó entre otras cosas que dichos acreedores acudan á legitimar sus créditos ante el comisionado nombrado al efecto D. Vicente Trancho Gutiérrez, que vive calle del Prado, núm. 5 , quarto tercero; en istdígencia de que para el dia 4 del próximo Junio ha de estar evacua da esta opera ion, y celebrarse en el mismo día nueva junta sin necesidad de mas citación que este anuncio. r En la villa del Bodonal,…</t>
  </si>
  <si>
    <t>Guzman, Alonso de</t>
  </si>
  <si>
    <t>Alonso de Guzman</t>
  </si>
  <si>
    <t>…xtraordinarios, no presentan en ninguno de los puntos de Europa un egemplar igual de fidelidad al Rey. En los pasados cuesta mucho trabajo hallarlo semejante; porque si el célebre D. Alonso de Guzman prefiere que se vierta la sangre-de su hijo an tes que faltar á su Rey, Picoaga derrama la suya propinantes que el nom bre de Fernando salga de sus labios con menos decoro. Todas las ventajas están por el héroe moderno: todo anuncia sublimidad en su prisión y…</t>
  </si>
  <si>
    <t>Guzman, Ignacio Lazcano y</t>
  </si>
  <si>
    <t>Ignacio Lazcano y Guzman</t>
  </si>
  <si>
    <t>…cavar; y nom brar para las de Los-Sántos á Di Josef Antonio Martin Palomino ; de Cille ros á D. Ignacio Josef Palomares; de Lleréna á D. Fráricisco Delgado y Ayala; de Benicarló á D. Ignacio Lazcano y Guzman; del Corral efe Almaguer, vacante por promócion de D.Manuel Sotillos Montejo á la¡de Rueda, áDon Francisco dé Rivas; de Cehegin á D. Angel Pérez del Busto ;.y para el cor regimiento de. Guadalcanal,, por sal idade.I} ..Gaspar A,rmengol á la vara de tercer ten…</t>
  </si>
  <si>
    <t>Guzman, Jaari Florencio de</t>
  </si>
  <si>
    <t>Jaari Florencio de Guzman</t>
  </si>
  <si>
    <t>…. 'Jiian Pedro Talasac &gt; y él deGuadixá D, Agustín Tosamos y Laprada r é igualmente se ha 'servido reponer- en el de las quátro villas dé la: Hoya de Málaga ,' su Capital Cohín, á D. Jaari Florencio de Guzman, y en la vara de Santander i D. Julián Bringas: ha prorogado en el dé- Betanvos á D. Manuel Bernardino Perez: en el de Carrion* de los Condes á Don Juan Antonio Rama y Arcas: en el de Bujalance' á O. Salvador Seirrano; y en la vára de alcalde mayor de Vera y…</t>
  </si>
  <si>
    <t>Guzman, Pedro de Ochoa y</t>
  </si>
  <si>
    <t>Pedro de Ochoa y Guzman</t>
  </si>
  <si>
    <t>…se ha servido nombrar para la dignidad dé tesorero de la santa, iglesia catedral de Panamá á D4. Manuel Betaneour: para la canongía de:mer ced de la iglesia catedral de Cuenca- á D. Pedro de Ochoa y Guzman: para la dignidad de arcediano de la iglesia catedral de Nicaragua á D: Juan Josep Zelaya *, y para una media ración de la metropolitana de México» Eh Zorrilla, y Carro». ^ ’• 4 •- - ’ . ‘ ■/v'-;</t>
  </si>
  <si>
    <t>GuzUian, Juan Florencio de</t>
  </si>
  <si>
    <t>Juan Florencio de GuzUian</t>
  </si>
  <si>
    <t>…de sus exércltos á D. Joséf Lasala, exento del Real cuerpo de Guardias de su Real ’ Persona. i . -i. - ✓ ' • El Rey nuestro Señor se ha servido, á consulta de la Cámara, reponer á D. Juan Florencio de GuzUian en el corregimiento délas quatro villas de lá Hoya de Málaga para el que fue nombrado por la junta central.. Xa ciudad de Carmona ál mismo tiempo que ha expuesto al REY nues tro Señor sus mas sinceros sentimientos de amor y respeto hacia su augusta1 Real Pers…</t>
  </si>
  <si>
    <t>Hacienda, Secretario del Despacho de</t>
  </si>
  <si>
    <t>Secretario del Despacho de Hacienda</t>
  </si>
  <si>
    <t>…Justicias de los .pueblos de i su respectivoterritorio^ y del recibo de esta me dará V. av iso para noticia delfConséjó. ; I-,- ’a ' /. P f: • Circulárde la Tesorería general. El Sr. Secretario del Despacho de Hacienda me dixo con fecha de ix del presente lo que sigue: „Con esta fecha digo al Intendente de esta. Provincia lo siguiente: Habiendo llegado á entender él Rey que no obstante dé haber . mandado que á-Jos jugetos empleados interinamente, en Jas Oficina* de Rentas d…</t>
  </si>
  <si>
    <t>corresponda* Señalado .de'la * Real mano* En Paladori jo de, Marzo de 1815. = A D. Felipe González \fajlejq.”: &lt;.ri _ Circular de la Tesorería general. El Sr. Secretario del Despacho de Hacienda me dice en fecha de 18 de Febrero ú timo lo que sigue: ,, Habiendo dado cuenta á S. M. del expediente relativo al Noveno y Excusado, se ha servido tomar ep su soberana consideración el actual esta do que tiene á consecuencia dé las,Reales resoluciones circula…</t>
  </si>
  <si>
    <t>…pueblos que re presento , con el encargo que me hacen, den una prueba de no estar des contentos de mi persona y familia.” ARTICULO DE OFICIO. Circufar de la Tesorería general. El Sr. Secretario del Despacho de Hacienda me comunicó con fecha de 22 de Marzo anterior la Reai orden siguiente: „ El Rey nuestro Señor se ha servido aprobar las disposiciones que h? tomado el zelo de V. S., y manifiesta en papel de 18 del corriente para que por las Tesorerías de Rentas se separen á…</t>
  </si>
  <si>
    <t>…s otros 12®, que todos marcharían sin perder tiem po á continuar las operaciones militares sobre el territorio enemigo. ARTICULO DE OFICIO. Circular del Ministerio de Hacienda• AI Sr. Secretario del Despacho de Hacienda digo con esta fecha lo si guiente *.</t>
  </si>
  <si>
    <t>Halket, S. C.</t>
  </si>
  <si>
    <t>S. C. Halket</t>
  </si>
  <si>
    <t>…general S. James Kempt y S. Dionisio Pack, que se empeñaron eri la acción desde el principio del ataque del enemigo-, Como también el teniente general Carlos barón Alten, el mayor general S. C. Halket, el teniente ge neral Cooke y los mayores generales Maitland y Byng, que fueron sucesiva mente llegando. Las tropas de, la quinta división y las del cuerpo de Bruns-^riqk se empeñaron seriamente y por mucho tiempo, conduciéndose con el mayor valor. Debo menci…</t>
  </si>
  <si>
    <t>Halket, S. Colín</t>
  </si>
  <si>
    <t>S. Colín Halket</t>
  </si>
  <si>
    <t>…particularmente para la aprobación de $. A. R. del teniente general S. H. Clinton, del mayor general Adam , del teniente general Carlos, barón Alten, gravemente herido, del mayor general S. Colín Halket, ídem, del coronel Ompteda* del dé la misma graduación Mitchell, comandante de una brigada de la cuarta división, de los mayores generales S. J. Kempt , S. D. Pack , Lambert, lord E. Somersef, S. W. Ponsomby, S. C. Grant, S. H. Vivían, S. U. Vandeleur y conde…</t>
  </si>
  <si>
    <t>Hamilton</t>
  </si>
  <si>
    <t>…de GaetnitschefTVy el coronel general Jomini. ;‘&gt;rr De Inglaterra. El Duque de Wellington, Príncipe de Waterloo; lord Hillj lora Apsley; el general Barnet; el coronel Hervey&gt; y el coronel Hamilton. : &gt; : Ademas de los dichos se hallaron también el Príncipe Cárlos de Bavíera; el feld-mariscal Príncipe de Wrede, comandante en gefe del egército báva ro; el teniente general Reckberg; el teniente general Raglowich; el mayor general Deroy; el Príncipe de Loe…</t>
  </si>
  <si>
    <t>Harrowby</t>
  </si>
  <si>
    <t>f02 Ha» venido ya de Brusélas eí lord Harrowby, Mr. Wellesley Pole y el general Torrens, habiendo desempeñado la comisión que se les había encar gado desempeñar con el duque de Wellington, sobre la conducta que debe seguirse en la guerra actual. El 2$ de Marzo se firmó el nuevo tratado de alianza entre Au…</t>
  </si>
  <si>
    <t>Haxo</t>
  </si>
  <si>
    <t>…rlon, cayo cuartel general está en Lila, y el otro al del general Reitté, que tiene el cuartel general en Valencíenes. El general Tirlet manda la artillería, y á los ingenieros el general Haxo. El exército que se opone á este entre el Mosa y el mar del Norte es ya de 130© hombres. «. Hamburgo t $ de Abril. La gaceta de Stockolmo de 31 de Marzo habla de armamentos en lo ««» terior del reyno; y se añade quenó tiene otro objeto otas qae la cooscrvicio…</t>
  </si>
  <si>
    <t>Hay</t>
  </si>
  <si>
    <t>Sos tomaron dos estandartes, y tuvo entre sus tropas muchos heridos, dé los cua les algunos se ahogaron en el rio Bagnutee. La pérdida del capitán Hay con siste en dos muertos y 21 heridos, incluso el teniente Boileau, que recibid una cuchillada peleando en persona con el Sabá. Hace dias que se había asegurado la muerte del príncipe Berthier, que posteriormente había sido confirmada ; pero ahora por el corr…</t>
  </si>
  <si>
    <t>Hayela, Josef</t>
  </si>
  <si>
    <t>Josef Hayela</t>
  </si>
  <si>
    <t>…í). Julián Perez González á D. Josef Parracia , racionero de la misma. , ... La dignidad de prior vacante en la catedral de Coria' por fellecimjeotó de D. Ignacio Osorio y Mesía á D. Josef Hayela y.Caballero, canónigo .de la de Lérida, y el arcedianato titular de ja misma catedral, que ha vacado por muerte de D. Juan Rodríguez Atbarrán, á Frey D. Juan Guillen y Va lencia , con dimisión de la capellanía de honor que en la actualidad obtiene., .. La can…</t>
  </si>
  <si>
    <t>Hcrrera, Ramon</t>
  </si>
  <si>
    <t>Ramon Hcrrera</t>
  </si>
  <si>
    <t>…anes de navio D. Pedro Ruiz Mateos» D.Joaquin de ■la-Croixy'D. Joalquin Mozo, D. Tomas, Herrera y Cruzar» D.Francisco Vizcarrondo, D-Joaquiñ !de Castañeda» D. Juan Francisco Püi¿t D. Ramon Hcrrera yíCfüzat, D. Francisco Millau, D. Vicente Fran cisco1 de ¡Voz , Martin Francisco Triarte, D. Josef Sartorio, D. Diego Bu trón, D. Francisco Ciscar, D. Josef Mollinedo, D. Fermín Esterripa y D. Francisco de Paula Osorio. -Ascenso á capitanes de navio áTos de f…</t>
  </si>
  <si>
    <t>Henfciqúez, Francisco</t>
  </si>
  <si>
    <t>Francisco Henfciqúez</t>
  </si>
  <si>
    <t>…quitectura de la Real academia de estaS ciudad, se le despachó patente de socio de mérito por el diseño y planta de un puente sobre el Genil, á las inmediaciones de esta ciudad. A D. Francisco Henfciqúez:, teniente director de escultura de la misma academia, se je premió con una medalla de las referidas por haber presentado un retrato del Re* •nuestro Señor perfectamente:acabado. D. Juan Gómez, fabricante' de (armas, recibió:32a rs. por premió de una escopeta…</t>
  </si>
  <si>
    <t>Henriqiiez, Antonio</t>
  </si>
  <si>
    <t>Antonio Henriqiiez</t>
  </si>
  <si>
    <t>…a, D. Sancho Estrada, ¡BJosefSoler , D. Diego Delgado* D* Rafael Vargas, D. Josef Llanzo, Don Josfef Astraudi ,.D. Juan de Sotomáy or, D. Cayetano Perez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t>
  </si>
  <si>
    <t>Henriqoez, Juan</t>
  </si>
  <si>
    <t>Juan Henriqoez</t>
  </si>
  <si>
    <t>…Sánchez y D. Juan Francisco Perez, de los batallones de voluntarios de Ciudad-Rodrigo, y D. Gabriel More no, capitán de inválidos de las compañías de Ciudad-Rodrigo : de capitán á D. Juan Henriqoez y D. Antonio Vázquez Aldana, ayudante y tenien te del regimiento de infantería de Mallorca, D. Josef María Tandero, Don Salvador García, tenientes del segundo batallón de Ciudad Rodrigo, y D. Francisco Picado, segundo ayudante de la plaza de Ciudad- Rodrigó: de teniente á D. Gonzalo Gar…</t>
  </si>
  <si>
    <t>Henrique</t>
  </si>
  <si>
    <t>…comisión; Mr. Pulman, secretario de la comisión , que llevaba la Jarretiera , lá Banda y el Jorge , y los tres plériipotenciarios que corrí ponían ia comisión, en medio el Escmo. Sr. D. Henrique .Wellesley, 4 la derecha el Jarretiera rey de armas, y á la izquierda' el Ugier de la vara negra. ’ ; ■. ■ ■ N-j;- r- ¡. Llegada por este órden la procesión á presencia de S. M., que se ha llaba de ceremonia en su Real cámara , acompañado de los Sermos. Seño…</t>
  </si>
  <si>
    <t>…tareas académicas desde la última sesión pública. Luego se leyeron las siguientes memorias: 1 .a sobre un documento inédito del principio del siglo xn, que prueba háber estado él conde Don Henrique en ia Palestina en el año de 1103 , por el Sr. Francisco Ribeiro Dosguimaraes: 2.a sobre la destilación del aguardiente y construcción délos mejores aíambiques, por el Sr. Antonio de Araujo Travássos: 3.a sobre la perfección de los elementos de geometría,orde…</t>
  </si>
  <si>
    <t>…coa, por lá Real academia de la Historia: 2 to mos en 4.0 marquilla.—.Demostración histórica del verdadero valor de todas lasmonedas que corrian en Castilla durante el reinado del Sr. D. Henrique iv , y de su correspondencia con las del Sr. D. Ca los iv, con un apéndice de instrumentos qúo justifican.e! valor de las mismas, y noticia de los precios de los granos, carnes, pes cados, jornales de labradores y artistas en aquel tiempo, y su equivalencia á…</t>
  </si>
  <si>
    <t>Henriquez, Custodio</t>
  </si>
  <si>
    <t>Custodio Henriquez</t>
  </si>
  <si>
    <t>…de persona que les represente á usar dé su derecho en el juicio de testamentaría y ocurrencia de acreedores, pendiente en dicho juzgado militar y escribanía principal del cargo de D. Custodio Henriquez; con apercibimiento que pasado dicho término se substancia rán y.determinarán los autos sin mas citarles, y les pararáeljperjuicio que haya lugar. Se desea saber el paradero del presbítero D. baltasar Hernández Morejon, ca pellán que era del batallón del gene…</t>
  </si>
  <si>
    <t>Henriquez, Diego</t>
  </si>
  <si>
    <t>Diego Henriquez</t>
  </si>
  <si>
    <t>…£ara la de Al ba de Tofmes á D. Folicarpo Fernandez de Lorca: para la de Pedraza á D. Marcelino García Ocaña: para la de Peñaranda de Duero á' D. Agustín Monge: para la de Coca á D. Diego Henriquez: para la de Nava del Rey á D. Juan Antonio Bernal: para la de Utrera á D. Miguel de Salazar y Sandobal: para la de Aguilar del Rio Alhama á D. Juan Ricardo Lozoyo: pa ra la de Castro del Rio á D. Antonio María Navarro: para la de Villarejo de Fuentes á D. Jua…</t>
  </si>
  <si>
    <t>Henriquez, Joaquin</t>
  </si>
  <si>
    <t>Joaquin Henriquez</t>
  </si>
  <si>
    <t>…on Miguel Mir, D. Antonio Cidron , D. Santos Cremona, D. Josef Joaquín Ayestáiran, D. Vicente Ordoño, D. Raymundó de Unzaga, D. Manuel Arangu, d: Vicente Agreda , D. Manuel Jones, D. Joaquin Henriquez, D. Isi dro de Diego, D. Silverio López, D. Francisco de Oña, D.. Francisco Antdhio Líbref ; D. Joaquín MuezVD. Juan Ignacio*Cervera, D. Salvador Ce bollino, D. Ventura Córdoba, D.Í Patricio 5alanueva, D. Pedro de la Torre, D. Miguel Oliver, D. Pascual Menach…</t>
  </si>
  <si>
    <t>Henriquez, Julián</t>
  </si>
  <si>
    <t>Julián Henriquez</t>
  </si>
  <si>
    <t>…o Montuel, D. Joaquín Moyua, D. Manuel Salaberria, &gt;D. Eugenio Vizcaíno, D. Félix Torrontegui, D. Luis de ios Riosy1Ü&gt;.: Vicente Sáavedrá, D. Migue! Montemayor, D. Martin Mendoza, D. Julián Henriquez, D. Josef'dél' Rio Eligió, D; Juan jósef Giiidoy D/ BenitodelaRigádtf &amp; Miguel Lizarza, D. Tgnacio Glaetay D/Francispo de Zayasy-D. ;juanrMiyáres ¿ jD.&gt;Antonio -Abadía» Ds Manuel Fernandez Fiorez. IX Ramón García Florez» D. Anto*</t>
  </si>
  <si>
    <t>Henriquez, Mafiuel</t>
  </si>
  <si>
    <t>Mafiuel Henriquez</t>
  </si>
  <si>
    <t>…uo solar de Valdosera, 18608 rs; y 30 mrs. en efectivo. D. Antonio de Portóla, barón de Castellnou de Monsech ,11130 rs. vn. en cinco recibos $ie réditos de la renta del tabaco.__ D. Mafiuel Henriquez, intendente jubilado , nueve acciones Jdel Real empréstito de 160 millones de á 4® rs. cada una.-i-Don Mariano de Alcalde, tesorero principal dé rentas dé Zamora, un vale Real de 150 pesos. "" Se desea saber él paradero ó existencia de Josefa García, hija de…</t>
  </si>
  <si>
    <t>Henrújuezrpara, Francisco Caballero</t>
  </si>
  <si>
    <t>Francisco Caballero Henrújuezrpara</t>
  </si>
  <si>
    <t>…ro Ventades: para el de Reynosa á D. Domingo Salinas: para la vara de Murcia á D. Ignacio Mariano de Mendoza: para la de Rueda á D. Manuel* Sotillos Montijo ; y para la de Moron á D. Francisco Caballero Henrújuezrpara el corregimiento de Requena á D. Miguel Martinez Del gado: para la vara'de Alcalá la Real é D„ Josef Melitcn de Nava*, para la de Villaroblcdó á D. Joaquín María López de Ayala: para la de la Motiila del Palancar y Campillo de Aito Buey á D. Pedro Henrique Mo…</t>
  </si>
  <si>
    <t>Henvey</t>
  </si>
  <si>
    <t>…ncés de una parte , y el mayor general el barón Müflin, revestido de los plenos poderes de S. A. el íeld-mariscal príncipe Blucher, comandante en gefe del egército prusiano , y el coronel Henvey, .revestido de los plenos poderes de S. E. el duque de 'Wellington,. comandan te en gefe del egército. ingles de la otra, han convenido en los artículos se guientes: art. i.® Habrá una suspensión de armas entre los egércitos aliados man dados por S. A. el fel…</t>
  </si>
  <si>
    <t>Her, Manuel Alonso</t>
  </si>
  <si>
    <t>Manuel Alonso Her</t>
  </si>
  <si>
    <t>…ef de Soto: para la de Carvajales á D. Juan Villa y Trigueros: para la de Tiedra á D. Juan Padilla: para la de Gausin á D. Manuel Medi na y Giménez; yapara la primera de Granada á D. Manuel Alonso Her nández. - ■ ' &lt; ■ • •</t>
  </si>
  <si>
    <t>Hercilla, Manuel</t>
  </si>
  <si>
    <t>Manuel Hercilla</t>
  </si>
  <si>
    <t>…clesiástico del mismo arzobispado;; la que ha resoltado vacante en la propia metropolitana por ascenso de D. Marr tin Ramírez de la Piscina á la abadía de la colegiata de Alfaro á D. Manuel Hercilla , y la ración que. ha vacado en dicha iglesia por promoción de Don , Casimiro Mendez al beneficio simple servidero de S. Patrjqio de Loica, y al de la parroquial de S. Mateo, ambos en el obispado de Cartagena , á,D. Sejcundino Alonso de Ozalia, cura párroco d…</t>
  </si>
  <si>
    <t>Heredia</t>
  </si>
  <si>
    <t>Real Persona, y de que á ellos asistiesen todos los zapadores que habla tu Alcalá sobre la tropa correspondiente á su empleo. Asi, pues , Ja brga car rera militar y política del general Heredia ofrece en mas de 44 años de Ines timables servicios, multiplicadas pruebas de sos luces, instrucción, tino y laboriosidad* y presenta á nuestros venideros^reunidas lis virtudes de un buen patricio, soldado bizarro, general inteligente, ministro hábil, gefe ju…</t>
  </si>
  <si>
    <t>Heredia, Andrés Diez</t>
  </si>
  <si>
    <t>Andrés Diez Heredia</t>
  </si>
  <si>
    <t>…rjales en sitios diferentes y tres suertes, id.: una haza, nombrada de los Carneros , de 54 marjales y 75 estadales, Grana da: 21 marjales, pago del Domingo, Atarfe. Capellanía de D. Andrés Diez Heredia. Un pedazo de tierra de secano con 10 marjales en los llanos de Churriana: una haza de 7 marjales, pago del Ramalid, id.: otra de 12 id. de riego puesta de viña con diferentes ár boles y olivos, Dilar: una haza, 5 marjales y un pedazo de tierra de seca no en…</t>
  </si>
  <si>
    <t>Heredia, Benito Iñiguez de</t>
  </si>
  <si>
    <t>Benito Iñiguez de Heredia</t>
  </si>
  <si>
    <t>…traducidas por D. Ramón Tamayo: • un tomo en 8.® Véndese en la librería de Escribano, calle de las Carretas: su pre cio 5 rs. Letrilla sagrada al nacimiento del Hijo de Dios: por D. Benito Iñiguez de Heredia, presbítero. Véndese en la librería de Gómez , caile de las Carretas: su pre cio 4 quartos. zz Con versación entre Ca amocha y Valiente , caballos empecinados, imitación de ios perros de Maudes de Cervantes , por dicho D. Benito Iñiguez. Véndese en la misma l…</t>
  </si>
  <si>
    <t>Héri, Gregorio.'de</t>
  </si>
  <si>
    <t>Gregorio.'de Héri</t>
  </si>
  <si>
    <t>…a m-’ WfpSBfe:;:&lt;iÍTÚguH': -1^] V J Iv?rU.S-; i. §b; zk.hiijei ' ~c ;£l?Rmvlseiba servidndoaábGÍri;para^ QbispadoodeoOvÍedo »í qne se ht?&gt; lia vacante por fallecimiento del "limo. Sr. D. Gregorio.'de Héri^ida y Cara ba» áD. Gregorio Ceruelo dé la Fuente » dignidad de chantre de la catedr*l de Palénciá^ ^obérnadof pcrovisoé ^icaiio generaj de aqueliohJspaCdó» y</t>
  </si>
  <si>
    <t>Heriiahdefc, Felipe</t>
  </si>
  <si>
    <t>Felipe Heriiahdefc</t>
  </si>
  <si>
    <t>…r . ' ’ . . Ascenso ,á oficiales segundos á los terceros D. Prudencio María Piohai*do,' Po Joaquín Navarro, &gt; i).«Juan /Francisco, Vivanco, D.'Eugenio Hetnaez,* D.Ignacio dePazo^, D. Felipe Heriiahdefc, D. Pedro Valls, D. Manuel Sauz. 4 . *'¿ ,y^P. Gil ^ y Pin¿&amp; v * _ Ascenso ¿oficiales terceros á los cuantos D.: Juan de Hazas,rD. Bernar-* dino Fernandez ,D. Joaquín Manuel de Teva, D./ Francisco Cándido de Ote-* jpo , D. Juan Higinio Qyiatanilla, D. Juan Ya…</t>
  </si>
  <si>
    <t>Hermann</t>
  </si>
  <si>
    <t>…robado de lá sepultura, sindudaaJgun facultativo ó algún curioso para depositarlo en algún gabinete. v. Calais 22 de Diciembre. , . ,'•» i«El general Inglis, el coronel Gordon, el capitán Hermann, ayudante del general Arberg, y Mr. Baxson, consejero del "rey de Suecia, llegaron aquí ayer viniendo,de Londres; y marcharon inmediatamente á sus destinos. Los bergantines ingleses Aurora y Goulston, que salieron de esté püer-i toelr»i6 deteste mes,han perec…</t>
  </si>
  <si>
    <t>Herme, Francisco</t>
  </si>
  <si>
    <t>Francisco Herme</t>
  </si>
  <si>
    <t>…tiguo de la iglesia catedral de Osma: para otro benególo simple de Sta. María de las Reliquias del castillo de la plaza de Alburquerque, obispado de Badajoz» vacante por muerte de D. Francisco Herme negildo Corchado, á D. Francisco Martin Escudero: para otro beneficio de Adanero, en la diócesis de Avila, vacante por muerte de D. Antonio Tor res, á D. Julián de la Peña: para otro beneficio simple de Santa María de Atienza de ia ciudad de Huete, en el obis…</t>
  </si>
  <si>
    <t>Hermida, Antonio</t>
  </si>
  <si>
    <t>Antonio Hermida</t>
  </si>
  <si>
    <t>…ara la de Oiiva á D. Josef Fernandez Villamil: pa- , ra la ce Villafranca del Vierzo á D. Antonio Piernas : para la dé Rivadavia á D. Martin Rodríguez Ojea: para la de la Rambla á D. Antonio Hermida , Bascoas: para la de Belmonte á D. Josef Sánchez Cueto: para la de Saníúcar de Barrameda á D. Jacobo Vázquez García: para la primera de Córdo ba á SD. Josef García Leca: para la de Sigüenza á D. Juan Peynador y Pi no: para ia de Iguña á D. Isidoro de Josué y…</t>
  </si>
  <si>
    <t>Hermida, Benito González</t>
  </si>
  <si>
    <t>Benito González Hermida</t>
  </si>
  <si>
    <t>…edro Miranda, cura párroco de Cabanillas en el obispado de León, y capellán del cuartel general del cuarto egército; y la tínica ración titular que ha vacado en aquella catedral á D. Benito González Hermida. := La canongía de la catedral de Jaén , vacante por muer te de D. Juan Sereno, á D. Sebastian González López, arcipreste ae la par roquia del Sagrario de la iglesia de Málaga. = La canongía que ha resultado vacante en la catedral de Lérida por promoción de D…</t>
  </si>
  <si>
    <t>Hermida, Benito Ramón de</t>
  </si>
  <si>
    <t>Benito Ramón de Hermida</t>
  </si>
  <si>
    <t>…aciones, en la li brería de Castillo, frente á las gradas de í&gt;. Felipe el Real, á 2 rs. vn. El Paraíso perdido de J. Milton : poema ingles, traducido al castellano por el Excrno. Sr. D. Benito Ramón de Hermida, y dado á luz por su hija la marquesa de Santa Coloma. Véndese en la librería de Ibarra, calle de la Gorguera. EN LA IMPRENTA REAL.</t>
  </si>
  <si>
    <t>Hermosilla, Juan Benito</t>
  </si>
  <si>
    <t>Juan Benito Hermosilla</t>
  </si>
  <si>
    <t>…de Cortabarría, i D. Manuel de Xeon Santos de S. Pedro, Regente de la audiencia de Galicia: para la pri mera de las dos plazas del consejo Real, mandadas consultar últimamente, á D. Juan Benito Hermosilla, Regente de la audiencia de Oyiedo, y para la segunda a D. Manuel de Ondarza, Regente de lá de Sevilla: para la Regen cia dé Astúrias á D. Miguel Antonio Blanes, Oidor de la audiencia de Gali cia: parala de Sevilla á D. Torcuato Antonio Collado: para la fisca…</t>
  </si>
  <si>
    <t>Hermoso, Fernando</t>
  </si>
  <si>
    <t>Fernando Hermoso</t>
  </si>
  <si>
    <t>…alcalde de casa y corte D. Pedro Nicolás del Valle; y para la canongía, que resulta vacante en la referida catedral de León por la promoción del expresado D. Josef Perez García, á D. Fernando Hermoso, El Rey se ha dignado nombrar para el corregimiento político de la ciudad y plaza de Almería á D. Ramón Conti, gobernador militar de ella: para el de Alcalá la Real á D. Francisco Gregorio de Vargas Machuca: para el de Xerez de la Frontera á D. Fernando de Re…</t>
  </si>
  <si>
    <t>Hernaez, Pedro Fermín</t>
  </si>
  <si>
    <t>Pedro Fermín Hernaez</t>
  </si>
  <si>
    <t>…á to dos los sugetos comprendidos en los endosos del mismo vale, que son: D. Juan Jo* aef/Moreno; D. Antonio Josef García; D. Ricardo del Pilar; D. Josef Caree, h¡jó j compañía ;'D. Pedro Fermín Hernaez; D. Josef Félix Gómez; D* Diego Gas* támbide; D. Jícóbo Gattens, de Sevilla; D. Rafael de Góngora y Delgado; Do* Ignacio Casal ; D. Andrés Marzan; D. Pedro Martínez Lozano; D. Rafael Ignacio Fañtohfip D/"Joaquín dé la Barrera y Cuadra, y D. Fernando Márquez d…</t>
  </si>
  <si>
    <t>Hernández, Antonio Castejon</t>
  </si>
  <si>
    <t>Antonio Castejon Hernández</t>
  </si>
  <si>
    <t>…Nava*, para la de Villaroblcdó á D. Joaquín María López de Ayala: para la de la Motiila del Palancar y Campillo de Aito Buey á D. Pedro Henrique Montero: para Ja de Navalcarnero á D. Antonio Castejon Hernández ; y para el corregimien to de Chiclana á D. Bartolomé Luis Lobaton y Sánchez. El Rey nuestro Señor se ha servido conceder les honores de su predica dor al Dr. D. Manuel de Aicayde, teniente vicario general de Cartagena y su obispado, en consideración á su car…</t>
  </si>
  <si>
    <t>Hernández, Bernardo</t>
  </si>
  <si>
    <t>Bernardo Hernández</t>
  </si>
  <si>
    <t>…egundo ayudante de la plaza de Ciudad- Rodrigó: de teniente á D. Gonzalo García, subteniente entonces del batallón de vo luntarios de Avila, D. Félix Frías, D. Zacarías Ruiz Malo, D. Bernardo Hernández, de los batallones de voluntarios de Ciudad Rodrigo, D. Jo sef Serrano, alférez de caballería, y D. Manuel De pis, subteniente de in válidos: de subteniente á los sargentos primeros del Real cuerpo de Artille ría D. Vicente Zaragoza, D* Manuel Sánchez y D. Ma…</t>
  </si>
  <si>
    <t>Hernández, Cristóbal</t>
  </si>
  <si>
    <t>Cristóbal Hernández</t>
  </si>
  <si>
    <t>…os ganaderos é individuos del concejo D. Fermín Fernandez de la Cuesta, D. Joaquín Perez , D. Balta sar Carrillo, D. Pedro Marcelino Blanco, D. Gregorio Moreno, D. Manuel Frutos , D. Cristóbal Hernández, D. Vicente Gil AIbert,L&gt;. Josef Ramírez y D.,Bernardo González Alvarez, su procurador general. Igualmente el 30 del mismo mes se presentaron también á S. M., y le fe licitaron con igual motivo en nombre del partido de Castropol y de sus 14 concejos en el pri…</t>
  </si>
  <si>
    <t>Hernández, Eusebio</t>
  </si>
  <si>
    <t>Eusebio Hernández</t>
  </si>
  <si>
    <t>…haber muerto D. Antonio.de Larreategui, y la del lugar de Chillaron, vacante también por fallecimiento de L&gt;. Franci seo de Figueroa, las dos en el expresado obispado de Cuenca, á D. Eusebio Hernández: para otro beneficio de S. Esteban de la ciudad de Cuenca, vacante por muerre de D. Eusebio María Urroz, á D. Antonio Carretero; y para otro beneficio servidero de Hontoria del Pinar, en el obis pado de Osma, vacante por muerte de D. Josef Domínguez, á D. Jos…</t>
  </si>
  <si>
    <t>Hernández, Francisca García</t>
  </si>
  <si>
    <t>Francisca García Hernández</t>
  </si>
  <si>
    <t>…vencía i la entrada de los franceses en ella; y no habiendo sabido mas de él desde entonces, se suplica á la persona que sepa de su paradero ó muerte se sirva avisarlo en Madrid á Doña Francisca García Hernández, calle del Mesón de Paredes, núra. 19, cuarto prin cipal. ‘ X ■ ; . ■ / .. • . , . # f • En la caja del regimiento de infantería segundo de Sevilla, que existe en la ciu dad de este nombre, se hallan depositados 1090 rs. vn. que produjo el inventario y alcanc…</t>
  </si>
  <si>
    <t>Hernández, Hipólito Gil</t>
  </si>
  <si>
    <t>Hipólito Gil Hernández</t>
  </si>
  <si>
    <t>…a Graña á D. Vicente García Díaz: para la de Sta. Cruz de Múdela á Don Antonio Pimentel y Valenzuela: para la de Huecija á D. Andrés Rodríguez Valenzuela: para la de Villalpando á D. Hipólito Gil Hernández: para la de Jorquera á D. Domingo Puertas*, para la de Aillon á D. Josef Puerta Benito: para la del Carpió á D. Ignacio Gil de Sagredo: para la de Potes á D. Joaquín González Ramírez: para la de S. Esteban á D. Domingo Fer nandez : para la de Soto-Palacios á…</t>
  </si>
  <si>
    <t>Hernández, Josef Domínguez</t>
  </si>
  <si>
    <t>Josef Domínguez Hernández</t>
  </si>
  <si>
    <t>…dad secutar de limosnero de la misma iglesia: para los beneficios de Gumiel de Izan y Vill^escusa, vacantes por renuncía de D. Gregorio Arago nés «ambos en él obispado de Osma » á D. Josef Domínguez Hernández: para otro beneficio limpie servidero de santa Bárbara de Ecija &gt; en el artó¿&gt; bispado de Sevilla»vacante por haber contraído matrimonio D. Manuél Ma ría SaavedraV que lo obtenía» I D, Mateo López Matijirrés: para otro be neficio de la ipisma parroquia de san…</t>
  </si>
  <si>
    <t>Hernández, Manuel Alonso</t>
  </si>
  <si>
    <t>Manuel Alonso Hernández</t>
  </si>
  <si>
    <t>…la de Callosa de Segura á D. Vicente Diez Ruesgas: para la de Lombay á D. Manuel Polar y Clemente: para la de Bicon y Quesa á D. Francisco de Paula Villareal: para la de Enguerá á D. Manuel Alonso Hernández: para la de Castellón de Nules á D. Luis Castroverde: para la de Ayelo de Maiférit á D. Antonio !Lorca Herrera: para la de Mogente á D. Cristóbal Bercher: para la de Al tea á D. Miguel Sanz Aparicio, y á D. Antonio Taboada para la de Liria. El Rey nuestro Señ…</t>
  </si>
  <si>
    <t>Hernández, Mariano</t>
  </si>
  <si>
    <t>Mariano Hernández</t>
  </si>
  <si>
    <t>…niente coronel á D. Rafael Miguel y D. Tomas Ro drigo, capitanes del regimiento provincial de Segovia, D. Benito Bocanegra, del de voluntarios de Avila, D. Fernando Diez Bascones, D. Mariano Hernández, D. Francisco Tiburcio Sánchez y D. Juan Francisco Perez, de los batallones de voluntarios de Ciudad-Rodrigo, y D. Gabriel More no, capitán de inválidos de las compañías de Ciudad-Rodrigo : de capitán á D. Juan Henriqoez y D. Antonio Vázquez Aldana, ayudante…</t>
  </si>
  <si>
    <t>Hernández, Mateo</t>
  </si>
  <si>
    <t>Mateo Hernández</t>
  </si>
  <si>
    <t>…Matm&gt; de Guinea: de tenientes coroneles á los&gt; sargentos mayores 0.* Juan Ramírez Piéarro i, D. Cristóbal dé Reina, D. Vicente González Moro, D. &gt; Jman Loriga, D. Fernando Gocho, D. Mateo Hernández, 0. Pedro del Barco ; Jrá los capitanes D. Luis Abneig^ D. Josef Luna, D. Antonio Loriga, D. RamónCucalón., D.RamonTavaiy D, Pedro Argaiz, D:¡ Pabío Venéwies .y jDi jFramasco Sara víaDv Antonio Es parza , D. Andrés ArtiatyD. Josef Dalpy D. Josef Navarro, 0; B…</t>
  </si>
  <si>
    <t>Hernández, Nicolás</t>
  </si>
  <si>
    <t>Nicolás Hernández</t>
  </si>
  <si>
    <t>…querra. Grado de comisarios de guerra á los oficiales primeros D. Juan Antonio* González, D. Juan Francisco Fernandez, Di Josef Manuel de Casas, Don* Miguel Perez de la Quintana , D. Nicolás Hernández, D. Salvador de Otero, D. Francisco Fernandez NavarreteD. Juan Manuel Maurat y D. Benignode Rodenas. .. Grado de comisario de guerra al oficial primero D. Juan del Pico. • „Jiscenso X oficiales primeros á los segundos D. Juan de Sierra, D. Estéban Sánchez Mar…</t>
  </si>
  <si>
    <t>Hernando, Antonio</t>
  </si>
  <si>
    <t>Antonio Hernando</t>
  </si>
  <si>
    <t>…,07./- f I-?:- i: -:ü. El Rey nuestro Señor se ha servido nombrar para Gefe superior de' ófia les de cuerpos francos, á las órdenes del Capitán general dé Castilla la\Nae¿ va, al brigadier D. Antonio Hernando, en virtud de haberlo sido para gober¿ nador. militar de ja plaza de MürviedrQ el-brigadiér pi'FfaiiCísco Javref.'pÓrá • r ' ! ’?i -!\ 1 nel. que sévhállabá eiicargádó.He dicha cóntístoñi '' : f i* . s ■ :o-_ , v «.¡j'ívvrismirji:. ab uo::c!:ric'i .i ’ : ? El…</t>
  </si>
  <si>
    <t>Hernando, Pedro</t>
  </si>
  <si>
    <t>Pedro Hernando</t>
  </si>
  <si>
    <t>' 101so á Si M. y Serróos. Sres. Infantes una diputación de la villa de Almadén» compuesta del coronel D. Pedro Hernando &gt; gobernador propietario Yie la mismas y snperintendente de sus Reales minas, y de ios señores D. Fran cisco Ramiro, vicario eclesiástico de Madrid, hijo de Almadén, y D, Ra món de Quintaoa ; y de ellos el primero dixo: ' „ Señor: vuestra villa de Almadén y R…</t>
  </si>
  <si>
    <t>Herranz, Francisco</t>
  </si>
  <si>
    <t>Francisco Herranz</t>
  </si>
  <si>
    <t>…Miguel Moretid, D. Gregorio del Pozo, D. Fabian de Lastra, 0. Ricardo Rey roso, Don Víctor Cabeza de Vaca, D. Casimiro Salcedo, y D. Miguel González, del de Voluntarios de Avila; D. Francisco Herranz ,'D. Angel Díaz, y Don Vicente Tomes, del Provincial de Segovia; D. Pedro NuñeZ;, D. Manuel Calderón, D. Matías Frade, D.Francisco Antonio Ledesmá, y LF. Andrés .Muñoz, del primer Batallón de Ciudad-Rodrigo; D. Miguel Retámar, Don Juan Atienza, D. Isidoro Cab…</t>
  </si>
  <si>
    <t>Herrasti, Andrés Perez</t>
  </si>
  <si>
    <t>Andrés Perez Herrasti</t>
  </si>
  <si>
    <t>…s. Ultimamente, es la voluntad de S. M. que para evitar abusos en el goce de la mencionada distinción, acudan los que se crean con derecho á eÜa á justificarlo ante ~el Gobernador D. Andrés Perez Herrasti, quien» después de bien asegurado, dará conocimiento al Ministerio de la Guerra para la expedición del correspondiente diploma. De Real orden lo comunico á V. para su inteligencia y gobierno. Dios guarde á V. muchos anos. Madrid 6 de Diciembre de 1814. El Rex…</t>
  </si>
  <si>
    <t>Herrasti, Andrés Perez de</t>
  </si>
  <si>
    <t>Andrés Perez de Herrasti</t>
  </si>
  <si>
    <t>…ede cer al mas justo y mías amado de los Monarcas.” . - Artículo db oficio. Circular del Ministerio de Guerra* Por exposición que ha hecho al Rey nuestro Señor el Teniente General D. Andrés Perez de Herrasti, Gobernador qu e era de la plaza de CiudadRodrigo en el año de 1810 á favor de su benemérita- guarnición, se ha en terado S, M. de los señalados servicios que hizo durante su gloriosa defensa; ~y queriendo dar á tan dignos individuos una prueba nada equívoca…</t>
  </si>
  <si>
    <t>Herrera</t>
  </si>
  <si>
    <t>…aras de paño para vestir á las niñas. D. Diego Fernandez Cerezo, canónigo de S. Isidro, 12 fanegas de trigo, para que sirvan especialmente en los dias de S. Juan y de S. Pedro. El Señor Herrera 1® rs. vn. Por la manutención de una niña 40. Un sugeto que no quiere ser nombrado 1®. Otro ídem 6®. La Sra. marquesa de Fuerte* Hijar 400. D. Josef Píngallo 600. La testamentaría de D. Francisco Muñoz y Martínez 3®. D. Josef Quintero 150 cucharas de madera.…</t>
  </si>
  <si>
    <t>Herrera, Beatriz</t>
  </si>
  <si>
    <t>Beatriz Herrera</t>
  </si>
  <si>
    <t>…del Ramalid, id.: otra de 12 id. de riego puesta de viña con diferentes ár boles y olivos, Dilar: una haza, 5 marjales y un pedazo de tierra de seca no en Churriana. Capellanía de Doña Beatriz Herrera. Una haza de 30 marjales al camino de Santa Fe, en Belicena. Capellanía de D. Bartolomé Rodríguez Gaiso. Un molino harinero y dos pedazos de tierra unidos á él, en Nivar. Capellanía de D. Juan S. Martin y Palma. Ochenta marjales en una ha za, lindando con el…</t>
  </si>
  <si>
    <t>Herrera, Francisco María</t>
  </si>
  <si>
    <t>Francisco María Herrera</t>
  </si>
  <si>
    <t>jEn Canarias........ D. Francisco María Herrera. Malaga......... D. Francisco Escovar. En Orense........ D. Fernando Rey. En Lugo............... D. Josef María Gayoso. En Santiago........ D. Manuel de la Riva Moreno. En la Coruña...... D. Felipe Elorz. En Valladolid..... D. Luis Francisco de Luís. 1 í‘„• E…</t>
  </si>
  <si>
    <t>Herrera, Hermenegildo</t>
  </si>
  <si>
    <t>Hermenegildo Herrera</t>
  </si>
  <si>
    <t>…em de fusi leros á D. Josef Bello y D. Ignacio Saenz; ayudante maj'or del primer batallón á D. Josef Moreno; teniente de granaderos á D. Josef Agustín Zavala ; idem de fusileros á D. Hermenegildo Herrera y D. Manuel Guerra; Subtenientes de bandera á D. Ventura Castro y D. Josef Fernandez Pare des, y subteniente agregado á D. Josef Xamarilío; y en el regimiento de infantería de línea de Talavera , que se halla en aquel vireynato, capitán á D. Josef Valdés; Teniente de granaderos…</t>
  </si>
  <si>
    <t>Herrera, Josef Galo Sánchez</t>
  </si>
  <si>
    <t>Josef Galo Sánchez Herrera</t>
  </si>
  <si>
    <t>…ánchez Conde á la de Piasencia, á D. Tiburcio Sánchez Herrera; y para una ra ción de la propia iglesia catedral de Piasencia, vacante por muerte de Don Francisco Xavier Pizarro, á D. Josef Galo Sánchez Herrera, cura párroco de Malparada, en la misma diócesis de Piasencia. Enterado el Rey nuestro Señor ^el acreditado valor, entusiasmo y par?» ticular mérito que contraxo en la defensa i}el parque de artillería de esta heroyea villa contra las armas francesas el memor…</t>
  </si>
  <si>
    <t>Herrera, Leonor de</t>
  </si>
  <si>
    <t>Leonor de Herrera</t>
  </si>
  <si>
    <t>…dél regimiento segundo de Búrgos, que fue hecho prisione ro en ,1a rendición de Valencia. Se suplica á los individuos de su regimiento ú otra persona que sepa de él, lo noticie á Doña Leonor de Herrera, vecina de dicha vi lla de Berja, y en Madrid en la librería de Perez, calle de las Carretas. Se desea saber el paradero de D. Pedro Domínguez, que en 1808 era subalter no en las compañías de Vallecas, de donde pasó á tenicíite de voluntarios de caba llería d…</t>
  </si>
  <si>
    <t>Herrera, Manuel de Santo Domingo y</t>
  </si>
  <si>
    <t>Manuel de Santo Domingo y Herrera</t>
  </si>
  <si>
    <t>…á D. Roque Domingo de la Figuera: para el de Becerril de Campos á D. Josef Valentín Rica. Para la vara de alcalde mayor de Fortuna á D. Pedro Josef deíMasegpS*: para la de Rute á D. Manuel de Santo Domingo y Herrera: para la ae lq$. Velez á D. Juan Torrecilla de Robles: para la de Orgiva á D. josef Ruiz Manzano: para la de Huelva á D. Pedro Josef Moyano y Díaz :{ pára la de Valíadolid á D. Fé lix Gallego: para la de Tarifa á~D. Manuel González Pintp: para la de Moguer á…</t>
  </si>
  <si>
    <t>Herrera, Manuel Diaz</t>
  </si>
  <si>
    <t>Manuel Diaz Herrera</t>
  </si>
  <si>
    <t>…ndro Beyens, D. Vi-, pente Méndez-, ,D..Ántontp del- Corro, Di Antonio Roso, D. Juan Robion, I&gt;. Josef Car rabedo, D. Francisco: del Moyo, D. Josef del Rio, D. Domin go Monduiña , D. Manuel Diaz Herrera, D. Josef del Calvo, D. Manuel Bar rientes; D. Juan Robles , D. Fráncisco de los Hoyos, D. Gerónimo Fuen-?, mayor, D. Juan Becerra, D. Bernardo Tacón, D. Francisco Boneo, D. Jo sef Zorrilla, D. Santiago Regañón, D. Josef Maestre, D. Josef Olaeta■, Don Andrés…</t>
  </si>
  <si>
    <t>Herrera, Mar.ia</t>
  </si>
  <si>
    <t>Mar.ia Herrera</t>
  </si>
  <si>
    <t>…a, Desde la rendición de Murviedro no hay noticia de él; y se suplica á la persona que la tenga se sirva comunicarla en la calle de las tres Cruces-, núm. 5 , cuarto entresuelo, á Doña Mar.ia Herrera. ' . Información de los sucesos del reino de Aragón en los años de. 1590 y 159/, en que sé advierten los yerros de algunos autores , escrita por Líipercto Leonardo de Argensola: un tomo en 8.° martilla, á 14 rs. en pasta y 10 en rústica. Se halla; rá en el de…</t>
  </si>
  <si>
    <t>Herrera, Tiburcio Sánchez</t>
  </si>
  <si>
    <t>Tiburcio Sánchez Herrera</t>
  </si>
  <si>
    <t>…l de San Pedro de Ciudad-Rodrigo: para otra canongía de la iglesia catedral de Co ria, que resultará vacante por la promoción del citado D. Juan Sánchez Conde á la de Piasencia, á D. Tiburcio Sánchez Herrera; y para una ra ción de la propia iglesia catedral de Piasencia, vacante por muerte de Don Francisco Xavier Pizarro, á D. Josef Galo Sánchez Herrera, cura párroco de Malparada, en la misma diócesis de Piasencia. Enterado el Rey nuestro Señor ^el acreditado val…</t>
  </si>
  <si>
    <t>Herrera, Vicente</t>
  </si>
  <si>
    <t>Vicente Herrera</t>
  </si>
  <si>
    <t>…ano Albo, J). Salvador Mamullares , D. Antonio Lasauca, D. Pablo ipacdgalupi , D. Domingo Ranee! y D. Manuel Toro: grados de capitanes á los tenientes D. Josef Fernandez de Apero, D. Vicente Herrera y D. Lufs Garcíay. grados de tenientes; á los subtenientes D. Pedro* Pirez &gt; D.-Manuel Angusaao y D/ Francisco Luqub (- ** (Se continuara.) &gt; ■■ s t. i ■' i. O '*■ ■ *V i i * •- &gt;• r’*■ •. - 1 : k ; -* El Rey nuestro Señor ha’tenido, á bien resolver que no concederá en ade lan…</t>
  </si>
  <si>
    <t>Herrero, Enoch</t>
  </si>
  <si>
    <t>Enoch Herrero</t>
  </si>
  <si>
    <t>…ascenso in mediato al Escribiente del ramo de Cuenta y Razón de Artillería D. Juan Lafuente, y al Cirujano de Voluntarios de León D. Angel Vicente: hono res de Médico consultor á D. Enoch Herrero; y permite S. M. el uso de la referida Cruz concedida á la guarnición al padre ó pariente mas inmediato de D. Valentín Santogo, D. Carlos Quiñones, D. Manuel Avecilla, Pedro Villa, Cayetano Sancho, Miguel de Bcrdallo, Domingo Martínez, Jacinto Raposa, Juan Ba…</t>
  </si>
  <si>
    <t>Herreros, Florentino</t>
  </si>
  <si>
    <t>Florentino Herreros</t>
  </si>
  <si>
    <t>…Antonio Bolu* fer, D. Cipriano Castro ; D. Josef Tovar y D. Josef González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 D. Josef.Escovar;D.:Santos Leccea£ D. Bernar…</t>
  </si>
  <si>
    <t>Hervás, Josef</t>
  </si>
  <si>
    <t>Josef Hervás</t>
  </si>
  <si>
    <t>…Josef García Timarte: para la de Hinójosa del Duque á D. Eugenio JavaIquinto; para la de Calahorra en Granada á D. Miguel de Lerin Braca monte: para el corregimiento de Reynosa á D. Josef Hervás: para la vara de Ubrique á, D. Julián Ruiz Marín: para la de Oiiva á D. Josef Fernandez Villamil: pa- , ra la ce Villafranca del Vierzo á D. Antonio Piernas : para la dé Rivadavia á D. Martin Rodríguez Ojea: para la de la Rambla á D. Antonio Hermida , Bascoas…</t>
  </si>
  <si>
    <t>Hervey</t>
  </si>
  <si>
    <t>…teniente general conde GaetnitschefTVy el coronel general Jomini. ;‘&gt;rr De Inglaterra. El Duque de Wellington, Príncipe de Waterloo; lord Hillj lora Apsley; el general Barnet; el coronel Hervey&gt; y el coronel Hamilton. : &gt; : Ademas de los dichos se hallaron también el Príncipe Cárlos de Bavíera; el feld-mariscal Príncipe de Wrede, comandante en gefe del egército báva ro; el teniente general Reckberg; el teniente general Raglowich; el mayor general De…</t>
  </si>
  <si>
    <t>Hesse-Homburgo, Felipe de</t>
  </si>
  <si>
    <t>Felipe de Hesse-Homburgo</t>
  </si>
  <si>
    <t>…ta consideración. Se supone que este proceder ha sido por ve'égarse del incendio de Boutgeldén. ■. ■■■ t El Príncipe Henrique de ¿Réuss, que se halla en calidad de edecán del feid-mariscal Felipe de Hesse-Homburgo, ha dirigido á S. A. S. el Príncipe de Reuss-Graitz , su padre, general de artillería ai servicio del Austria, las relaciones particiílares del cuerpo de egército de S. A. el Príncipe Real de Wurtemberg , cuyo tenor es el siguiente: Lamprechtsheim, cerca de S…</t>
  </si>
  <si>
    <t>Heydeck, Juan Josef</t>
  </si>
  <si>
    <t>Juan Josef Heydeck</t>
  </si>
  <si>
    <t>…tro Señor se ha servido nombrar coronel del regimiento provincial de Burgos al de infantería D. Joaquin González de Menchaca. En atención á los distinguidos méritos y servicios de D. Juan Josef Heydeck, profesor de lenguas orientales, ha venido el Rey en agraciarle eon la cruz supernumeraria de la Real y distinguida órden española de Cárlbs ni. Estando vacante una de las ocho escuelas Reales de primera educación» creadas por Real decreto de 25 de Diciembre…</t>
  </si>
  <si>
    <t>…uarde á V. muchos años. Palacio ir de Setiembre de 1815 . = Francisco Valle steros. Teniendo noticia la Suprema Asamblea de la Real y distinguida Orden española de Carlos m de que D. Juan Josef Heydeck, á quien el Rey núes-1 tro Señor hizo merced de la cruz supernumeraria de la misma Orden en de creto de 28 dé Marzo de este año, y fue publicada en la gaceta del martes 18 de Abril siguiente núm. 47 , usaba de sus insignias , dejándose ver con ellas en los pa…</t>
  </si>
  <si>
    <t>…párroco del mismo, que lo agradecerán. La Fe triunfante, ó carta á la junta llamada el gran Sanhedrin de los judíos de París, y á todo el pueblo hebreo esparcido por el mundo: por D. Juan Josef Heydeck, profesor de lenguas orientales. En esta obra se ha procurado manifestar la ver dad de la gloriosa fe de Jesucristo, esplicando los pasages del viejo y nuevo Testa mento, manifestando la verdad del uno por el otro, y de ambos por los prodigios que ha obrado y…</t>
  </si>
  <si>
    <t>Heydeclc, Juan Josef</t>
  </si>
  <si>
    <t>Juan Josef Heydeclc</t>
  </si>
  <si>
    <t>…sible, contribuyen al loable objeto de tan generosa oferta. Lo que se man da avisar para que los interesados se dirijan según queda indicado. Defensa de la religibn cristiana, por D. Juan Josef Heydeclc: 4 tomos en 4.0; el i.° en papel á 18 ri. y 24 en pasta; el 2.0 en papel fino á 36 en pasta y, 26 en papel; y eá el regular a 30 en pasta y 24 en papel. Los tomos 3.0 y 4.0 á 26 rs. cada uno en papel y 34 en pasta. Véndese en el despacho de la imprenta Real.…</t>
  </si>
  <si>
    <t>Hezeta</t>
  </si>
  <si>
    <t>…zación del egército que se levantó en aquel reino, y ofreciéndose siempre voluntaria mente á ios mas ímprobos y delicados trabajos. Tan recomendables méritos, el decidido amor del general Hezeta á nuestro augusto Soberano, su energía en el servicio de S. M., sus virtudes políticas y cristianas, y la resignación</t>
  </si>
  <si>
    <t>Hijar, Duque de</t>
  </si>
  <si>
    <t>Duque de Hijar</t>
  </si>
  <si>
    <t>…nombre de su junta, ademas de un crecido y lucido; número de personas de distinción que concurrió en virtud del anuncio que se" hizo en el diario. . • Por indisposición del Escmo. Sr. Duque de Hijar , director del cuerpo^ presidió la junta el Sr. D. Joaquín de la Croix y Vidal, brigadier de la Real armada , y fiscal militar del supremo consejo de Almirantazgo, como socio más antiguo p que abrió la sesión manifestando verbalmente el objeto de ellav Presen…</t>
  </si>
  <si>
    <t>Hill</t>
  </si>
  <si>
    <t>…casa de la ciudad. Los mas distinguidos personages de gran parte de la Eu ropa se reunieron allí; entre ellos estaban Monsieur., el príncipe de Con dé, el duque de Wellington, el general Hill, y muchos oficiales superiores de la casa real de Francia y del exército holandés y belga. Desde 30 de Marzo hasta el i.° de Abril á las 10 de la mañana han lle gado aqui 22 correos de Londres para Viena, y de Viena, Genova, Palermo y Ñapóles para Londres. El…</t>
  </si>
  <si>
    <t>…causado el des orden y la tiranía. (Secontinuará.) Idem 24. £1 exército del lord Wellington está dividido en dos cuerpos; el uno al mando del príncipe de Orange, y el otro al del lord Hill. La reserva, que está ya casi completa, se halla á las órdenes del príncipe Federico de Orangew Estos últimos dias han embarcado millón y medio de cartuchos para la Bélgica. £1 20 del corriente esperaban en Francfort á los emperadores de Rusia, de Austria y a…</t>
  </si>
  <si>
    <t>…s S. J. Kempt , S. D. Pack , Lambert, lord E. Somersef, S. W. Ponsomby, S. C. Grant, S. H. Vivían, S. U. Vandeleur y conde Dornberg. Es toy muy particularmente obligado al general lord Hill por su asistencia y conducta, tanto en esta como en las demas ocasiones. „ Las clases de artillería, é ingenieros, se condugeron grandemente y cón satisfacción mía por los coroneles S. G. Woody Smitb; y tengo motivós-de estar satisfecho de la conducta del ayu…</t>
  </si>
  <si>
    <t>…e S. A. R. el Príncipe de Orange comprendía las divisiones primera, tercera y quinta , mandadas por los generales Gooke, Alten y Picton: el segundo cuer po, mandado por el general lord Hill, se componía de las divisiones segun da , cuarta-y sesta, á las órdenes de los generales Cliton, Hinuber y Colé. Este último no se ha reunido todavía al egército.</t>
  </si>
  <si>
    <t>Hill.'</t>
  </si>
  <si>
    <t>…anglo hannoveriano se reunirá ai del réyídelos Países-Ba-? sos, y todo é formará dos gráftdes Cuerpos, ano de ellos á las órdenes del príócrp^ de Oran ge &gt; y ;él ótrcr á' las "del general Hill.' - El ptimero de éstos cuerpos se compondrá de las divi iones primera y coaitá anglo hannóveriafiás, eonsuartillería,y délas divisiones segunda y fércerá dei exérÓitó de 'Ios Paises-Baxos, con su artillería. ««. El secundó fcúéépó' estará cóirtpuésfo de las di…</t>
  </si>
  <si>
    <t>Hillj</t>
  </si>
  <si>
    <t>Wolkonsky; el teniente general conde GaetnitschefTVy el coronel general Jomini. ;‘&gt;rr De Inglaterra. El Duque de Wellington, Príncipe de Waterloo; lord Hillj lora Apsley; el general Barnet; el coronel Hervey&gt; y el coronel Hamilton. : &gt; : Ademas de los dichos se hallaron también el Príncipe Cárlos de Bavíera; el feld-mariscal Príncipe de Wrede, comandante en gefe del egército báva ro; el teniente general Reckberg;…</t>
  </si>
  <si>
    <t>Hipólito</t>
  </si>
  <si>
    <t>…teniente coronel de caballería á los tenientes D. Manuel del Pozo, Dv Juan Aguijar y D. Juan María Viegas: grados de capitán á lo* alféreces I&gt;. Manuel.Torres, D.; Alonso Torres y D. Hipólito de. Silvas y grados de alféreces igualmente de caballería 4;los- distinguMos D, Basilio rCeéda, D. Autopio defMoya p E&gt;. Antonip, Melgarejo, y á los sargentos Pon rancisco Fajardp., D. Josef Grueso y ©. Gil López. .f</t>
  </si>
  <si>
    <t>Hirschfeld</t>
  </si>
  <si>
    <t>…r austríaca de 30 hombres. Se asegura que S. A. R. saldrá pronto para la Grecia, y que pasará el invierno en Constantinopla. PRVSIA. Magdeburgo 21 de Octubre. S. M. ha dirigido al general Hirschfeld la orden siguiente: „Debiéndose poner inmediatamente el egército en el pie de paz, resulta rá una disminución del número á que ascendía en tiempo de guerra, y esta ' es la ocasión de conceder el retiro á algunos generales, que en estas circuns tancias crítica…</t>
  </si>
  <si>
    <t>Hita, Matías de</t>
  </si>
  <si>
    <t>Matías de Hita</t>
  </si>
  <si>
    <t>…ragona á D. Josef Cañellas y Prats , deán de la villa de Montblanch y sií partido., en la propia diócesis. = La canongía vacante en la colegiata de Ante quera por fallecimiento de D. Matías de Hita ¿ D. Juan de Sevilla, beneficia-» do de la parroquia de S. Juan de Málaga.= La canongía de ia iglesia primalda de Toledo, que ha vacado por fallecimiento de D. Pablo Nicolás de San Pedro , á D. Agustín de Rivarola, prelado doméstico de S. S.; y la capella-1 n…</t>
  </si>
  <si>
    <t>Hocbberg, Conde de</t>
  </si>
  <si>
    <t>Conde de Hocbberg</t>
  </si>
  <si>
    <t>…un balazo , y los otros tres han llegado á ios puestos avanzados austríacos. . .. v Acaba de llegar á esta ciudad S. A. I. el Archiduque Fernando. También esta ahúi desde ayer el general Conde de Hocbberg: este mandará las tropas, del sitio-, y el general Fascina la artillería5 y ambos estarán á las órdenes del Archiduque Juan. - Idem /£. ■■ - • • : Ayer al anochecer fueron á continuar los trabafos cerca dé Huninga él tíbico 5® hombres entre austríacos,; wurte…</t>
  </si>
  <si>
    <t>Hoces, Francisco Fernando de</t>
  </si>
  <si>
    <t>Francisco Fernando de Hoces</t>
  </si>
  <si>
    <t>….apostólica y vasta literatura eclesiástica, se ha servido el Rey concederle la gran cruz de la Real y dis tinguida orden española de CárloSfin. En premio de los servicios del Dr. D. Francisco Fernando de Hoces , ca pellán de honor, le ha concedido el Rey la gracia de cruz supernumeraria de la misma., ' : • &gt; 1 . - - ¡i: - &lt; , .j-, f. Igual gracia ha concedido S. M. al Dr. D. Tomas Lape ña, teniente de vicario de los Reales exércitos, y canónigo jubilado de la igles…</t>
  </si>
  <si>
    <t>Hohenholiern</t>
  </si>
  <si>
    <t>…rte de ella fue inmediatamente acuartelada, y el resto se alojó en las casas de los particulares. £1 comandante de esta columna es el mayor general Hornu: también se halla aqui el príncipe Hohenholiern»brigadier pru siano. Dunkerque 18 de Setiembre. En esta ciudad reina el mayor sosiego, y el comercio empieza á restable cerse. Todos esperan aqui con impaciencia la publicación del tratado que se supone concluido con los aliados ; pero nadie recela acerca de…</t>
  </si>
  <si>
    <t>Holarte, Pedro Díaz de</t>
  </si>
  <si>
    <t>Pedro Díaz de Holarte</t>
  </si>
  <si>
    <t>…iene en la misma iglesia de Toledo v para la canongía vacante en la iglesia colegial de Vitoria por promoción de D. Domingo Garramiola á una canongía de la catedral de Calahorra á D. Pedro Díaz de Holarte; para el arciprestazgo de Fontidueña, el beneficio servidero de la parroquial de Santa.María, ti tulada del Cordero, en la misma villa, y el préstamo de S. Miguel de Ber^ mui, vacantes en el obispado.de Segovia por muerte.de D. Josef Fierro, á D. Juan Pedrero…</t>
  </si>
  <si>
    <t>Holck, Julio de</t>
  </si>
  <si>
    <t>Julio de Holck</t>
  </si>
  <si>
    <t>…nización de la Noruega reunida á la Suecia. El público ignora la razón por que se ha retar dado hasta el dia la cesión de este ducado. Hace poco tiempo que llegó aqui de¡ París el conde Julio de Holck, y trajo al Rey pliegos que declaraban ha llarse ventilado definitivamente este punto. El Soberano del Hannóver quiso conservar el ducado de Lauenburgo, y, había ofrecido por él una cantidad de dinero muy considerable al Rey de Dinamarca, que no la quiso acep…</t>
  </si>
  <si>
    <t>Homby</t>
  </si>
  <si>
    <t>…entes buques,, que se hallan ya en franquía: el M,ontagne, de 74 cañones, espitan Heywcod; el Ajax, de 74, capitán Manday ; el Orates r de 36, capitán Cochrane; el Spartan, de 36, capitán Homby;. el Detiree* de 36 * capitán Wooldridge; el Antelia, de 36, ca pitán Ptoby; el Leven r de..... capitán Bluett; el Perseas %de..... capitán A’Coust, y otros quatro buques menores. Ha llegado de Ostende á Margatte un paquete, que salió el 26,, y por él se ha s…</t>
  </si>
  <si>
    <t>Home</t>
  </si>
  <si>
    <t>…un cuerpo de la brigada de guardias del general Byng, que estaba en posición á retaguardia, y que por algún tiempo estuvo al mando del teniente coronel Macdonel, y después al del coronel Home ; y tengo la satisfacción de añadir que fue mantenido todo el dia con el mayor valor por aquellas bridantes tropas, á pesar de los repetidos esfuerzos de grandes cuerpos dei enemigo , que intentaron .apoderarse de ella. „ Al mismo tiempo que se hacia este ata…</t>
  </si>
  <si>
    <t>Hore, Alexandro de</t>
  </si>
  <si>
    <t>Alexandro de Hore</t>
  </si>
  <si>
    <t>…buena disposición de sus tropas. Para operar en combinación con ellas han salido últimamente de Cádiz a f 00 hombres mas en otras dos expediciones al man do del Mariscal de Campo D. Alexandro de Hore» y del Brigadier D. Fer nando Miyares» con dirección al istmo de Panamá y otros puntos» llevan do los cuerpos que las componen el armamento y correage necesario para aumentar su fuerza» ademas del correspondiente á 2© hombres de infante ría y 800 de caballerí…</t>
  </si>
  <si>
    <t>Hormaechea, Pedro Luis de</t>
  </si>
  <si>
    <t>Pedro Luis de Hormaechea</t>
  </si>
  <si>
    <t>…guarde á V. muchos años. Madrid 25 de Enero de 1815. :, Circular del Ministerio de Hacienda. , , El 'Rey se ha servido aprobar un proyecto dé Loterías de Vales Rea les que propuso D. Pedro Luis de Hormaechea , del Comercio de Bilbao, con las modificaciones que se han creído útiles para el mejor éxito del pensamiento, encargando de su execucion á la Dirección general de Jas Reales Loterías. S. M. espera que de él haya de seguirse utilidad al Comercio y Particulare…</t>
  </si>
  <si>
    <t>…que fue de la estafeta. Nota, Ea la gaceta anterior pág. 164, lín. 36, donde dice determinardy léase determinaré. Asimismo en la del 7 del corriente, pág. 140, lín. 3 , donde dice Don Pedro Luis de Hormaechea, léase Hormaeche. EN LA IMPRENTA REAL.</t>
  </si>
  <si>
    <t>Horniiaecliea, Pedro Luis de</t>
  </si>
  <si>
    <t>Pedro Luis de Horniiaecliea</t>
  </si>
  <si>
    <t>…queLpodhn ocurrir en machi parte á suministrarles los que han hecho desaparecer las desgracias, de la desoiadora última guerra, ha dirigido su Real ánimo, á adoptar un proyecto de D. Pedro Luis de Horniiaecliea, del Comercio de Bilbao, con aquellas modificaciones que se han estimado* útiles ai mejor éxito del pensamiento: el que consiste en un fondo de¡ &gt;2 5 í§h Vales Reales de 150 pesos, creaciones dé i.,° de Enero.: y i.°&gt; de Setiembre» Bel qualise han de deducir…</t>
  </si>
  <si>
    <t>Hornu</t>
  </si>
  <si>
    <t>…esperaba aquí, llegó et dia 12. Mucha parte de ella fue inmediatamente acuartelada, y el resto se alojó en las casas de los particulares. £1 comandante de esta columna es el mayor general Hornu: también se halla aqui el príncipe Hohenholiern»brigadier pru siano. Dunkerque 18 de Setiembre. En esta ciudad reina el mayor sosiego, y el comercio empieza á restable cerse. Todos esperan aqui con impaciencia la publicación del tratado que se supone concluid…</t>
  </si>
  <si>
    <t>Hortigiiela, Valentín de</t>
  </si>
  <si>
    <t>Valentín de Hortigiiela</t>
  </si>
  <si>
    <t>…éra dé la villa de íá Frontera, vacante por muerte de Don Joaquín Canosa, y la de la villa de Alconchel, qué fo está por la de D. Josef Cansecó, ambasen el obispado dex Cuenca , á D. Valentín de Hortigiiela: pára otra prestamera de la Fuente dé Pedro Narro en dicho obispa do, vacante ;por fallecí mientó de p. Jósef González Grande, á D. Anselmo Agnado, cura' párroco dé'los Baños de Sacudón» Asimismo én ateooion á los</t>
  </si>
  <si>
    <t>Hoyo, Antonio del</t>
  </si>
  <si>
    <t>Antonio del Hoyo</t>
  </si>
  <si>
    <t>…priano Castro ; D. Josef Tovar y D. Josef González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 D. Josef.Escovar;D.:Santos Leccea£ D. Bernardo Latorre, D. Joaquí…</t>
  </si>
  <si>
    <t>Hóyó, Manuel Ximenez del</t>
  </si>
  <si>
    <t>Manuel Ximenez del Hóyó</t>
  </si>
  <si>
    <t>…ntó de D. Juan de Roda, á D. Juan Miguel Gómez de Mora, cura del hospital dé la sangeedé Sevilla r para otra: ración en b misma catedral, vacante por muerte de D. Josef Mazuelo» á D. Manuel Ximenez del Hóyó» médio racióneto de ella; para "esta mediad ración á JD. Pablo Romero y Castañeda: Íara la capellanía de Reyes nuevos de Toledo» vacante por promoción de ). Pedro Felipe Moreno á una canongía de la iglesia metropolitana de la misma ciudad» á D. Julián López N…</t>
  </si>
  <si>
    <t>Huar'te, Martin Nolasco de</t>
  </si>
  <si>
    <t>Martin Nolasco de Huar'te</t>
  </si>
  <si>
    <t>…quellos náturáles. * ... • ■ ‘ t •' i ... :.■■■; : :í: '• * ;-jff Asimismo él diá io'dél mes siguiente se presentó igualmente á cumpli mentar á S. M. por su feliz regreso al trono D. Martin Nolasco de Huar'te,' capellán del Real monasterio de Stá. Teresa de Carmelitas descalzas de esta corte; el Cual en nombre del ayuntamiento de la ciudad de Sangüesa, su pa tria, cabeza de una de las merindades de Navarra, es puso en un breve y enér gico discurso el singular patr…</t>
  </si>
  <si>
    <t>Hudelka</t>
  </si>
  <si>
    <t>…septentrionales están bien guarnecidas, y se mira sin rezelo esta campaña. Las tropas del grañ duque deToscana se han unido á ios austríacos.’ Parece que la comisión que llevó el capitán Hudelka era realmenté sobre la resolución del congreso pata que Murat dexase el trono:, y esto le movió á hacer úna diversión en favor de Bonaparte &gt; sin embargo de haber indicado antes ai embaxador austríaco que si le garantían sos estados pondría 30® hombres á disp…</t>
  </si>
  <si>
    <t>Hue, Josef Pedro de</t>
  </si>
  <si>
    <t>Josef Pedro de Hue</t>
  </si>
  <si>
    <t>…stencia de las tropas ; y el Rey nuestro Se ñor, informado de este rasgo de patriotismo, ha mandado que se le den eif tu Real nombre las gracias, y que se publique en ia gaceta. A D. Josef Pedro de Hue, vecino y del comercio de la ciudad de Málaga, le remitieron desde Paris, y franqueado en aquella administración de correos, un pa quete que contenia documentos muy interesantes, y que debió recibir el 8 de Fe brero último^ Ha hecho lo posible por indagar'su…</t>
  </si>
  <si>
    <t>Huerta, Francisco</t>
  </si>
  <si>
    <t>Francisco Huerta</t>
  </si>
  <si>
    <t>…l segundo Batallón de Ciudad- Rodrigo; á 0. Patricio Iñiguez, D. Blas Carrasco, D. Josef Robledo, y D. Antonio Garrido, Capitanes dél tercer Batallón de la misma denominación, y á Don Francisco Huerta, Ayudante de la Plaza de Ciudad Rodrigo: al grado de Capitán á los Tenientes D. Pablo Baza, del Real Cuerpo de Artillería, 0. Tomas Yarto, D. Santiago Otero, D. Andrés Floren, D. Juan Albelda, 0'. Manuel Michel, D. Francisco Arahgo, y D. Estéban López, del Re…</t>
  </si>
  <si>
    <t>Huerta, Joaquín</t>
  </si>
  <si>
    <t>Joaquín Huerta</t>
  </si>
  <si>
    <t>…elgado* D* Rafael Vargas, D. Josef Llanzo, Don Josfef Astraudi ,.D. Juan de Sotomáy or, D. Cayetano Perez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t>
  </si>
  <si>
    <t>Huertos, Pedro Caballero</t>
  </si>
  <si>
    <t>Pedro Caballero Huertos</t>
  </si>
  <si>
    <t>…de la Madrid á D. Juan Martin Parra, cura párroco de la vi lla de Maderuelo en el obispado de Segovia. = El benefició servidero de la vi lla de Alburquerque, vacante por muerte de D. Pedro Caballero Huertos, á D. Antonio Pantoja, cura párroco de la villa de S. Vicente en la orden de Alcántara.rrLa canongía vacante en la catedral de Salamanca por fallecimien to de D. Antonio Roldan á D.Henrique Felipe Pottier,con retención del arcedianato de Monleon que obtiene e…</t>
  </si>
  <si>
    <t>Hueso, Ramona</t>
  </si>
  <si>
    <t>Ramona Hueso</t>
  </si>
  <si>
    <t>…es á uná dé las huérfanas de los militares ó patriotas que hubieren muerto en defensa de la justa causa de la nación &gt; ha cabido en suerte del primer estracto de la de» este diá á Doña Ramona Hueso, hija del coronel y comandante de artille-1' ría D. Francisco , ;qiuerto en el campo del honor. Lá estraccion siguiente sé egecütará el diá ló de Octubtev ' • J</t>
  </si>
  <si>
    <t>Hueso, Rosa</t>
  </si>
  <si>
    <t>Rosa Hueso</t>
  </si>
  <si>
    <t>…ones á una de Jas huérfanas de los militares 6 patriotas que hubieren muerto en defensa de la ju ta causa de la nación, ha cabido en suerte del primer extracto de la de este dia á Doña Rosa Hueso, hija del coronel y comandante de artille* fía D. Francisco, muerto en el campo del honor. La extracción siguiente se executará el Zl de Mayo próximo. ARTICULO DE OFICIO. El Rey nuestro Señor se ha servido nombrar coronel del regimiento provincial de Burgos a…</t>
  </si>
  <si>
    <t>Huici, Juan Tomas</t>
  </si>
  <si>
    <t>Juan Tomas Huici</t>
  </si>
  <si>
    <t>…drid, á p. Manuel de Trasviña, del comercio, calle de Postas, ó en ValladoliJ á loS'Srs. D. Remigio Diaz y compañía. Sé desea. saber el paradero ó fallecimiento de las personas de D. Juan Tomas Huici y D. Silvestre Huici, padre é hijo, naturales de la villa de Lumbier, reino de Navarra, que por Octubre de 1808 se trasladaron desde Valencia de Alcántara i la corte de Madrid, siguiendo en su empleo de contralor en hospitales militares el expresado D. Juan Tomas, quien llevaba e…</t>
  </si>
  <si>
    <t>Humanes</t>
  </si>
  <si>
    <t>…sucesi vo* asi como también la de qualesquiera vasalla holandés, el expresado Don Lorenzo Cistieros avisa que vive en Madrid en la calle de Toiedo» esquina á la Imperial, casa del conde Humanes» nñm. 9» quarto segundo.</t>
  </si>
  <si>
    <t>Humara, Manuel de</t>
  </si>
  <si>
    <t>Manuel de Humara</t>
  </si>
  <si>
    <t>…•• J &gt; ■ ■ » * En León............... D. Tomas Diez!^Serrano. . En Soria.............. D. Joaquín Tutor y Barzola. En Bilbao........ . D. Francisco de la Mata. En Zamora.......... D. Manuel de Humara. En Salamanca..... D. Francisco dé Zuñiga y Barbosa. En Santander...... Señores Vial é hijo. * El Rey nuestro Señor se ha servido mandar que el almanak,civil para el año próximo venidero de i8ió, formado por el observatorio Real astronómi co de Marina de la c…</t>
  </si>
  <si>
    <t>…**, D. Tomas Diez Serrano.' -•* i \ J i. olit-i-i .&gt; i2i W , D¿ Joaquín Tutor* y Barzola. • &gt; i •En Bilbao........... D. Francisco :de la,Mata. ; tifa &gt;A Jil il» Zamora........... D. Manuel de Humara.* ¡hdA vb JET»* Salamanca..... D. Francisco de fZúñiga y ¿Barbosa** En Santander • M*** Señores Vial é hijo. En Cartagena..... D. Francisco Giivilles menor. E¡n Z+enta............. D. Carlos de Aguirre. r, i dar él debido cumplimiento á las Reales órdenes de…</t>
  </si>
  <si>
    <t>…y d¿ Franc&amp;c» Arrié». • jmzcoa. k.* ••••••••• * * Jin &amp; Tomas Dípr Serrano. Joaquín, Tutor y Barzola. MnlBilb «*« *JM.. • • • *- D.; Francisco de la Mata.. . £ Mn Zamora.........^ D. Manuel de Humara. .Mn Salamanca__ D... Francisco de Zuñiga y Barbosa.. . . . Mn Santander....... Señores Vial é hijo.. Mn Cartagena.*.^ D. Francisco Clívillesmenor. Mn Zeuta............. D* Gárlosde Agúlrreul/ f,J. V.’.l</t>
  </si>
  <si>
    <t>Hurburu, Joaquín de</t>
  </si>
  <si>
    <t>Joaquín de Hurburu</t>
  </si>
  <si>
    <t>…n, frente á las gradas de S, Felipe el Real: ún cuaderno en 4.0 de ocho pliegos encuadernado en rústica: su precio 4 rs. Manual de los principios elementales del giro: escrito por D. Joaquín de Hurburu: un tomo en 4.0 Trata de las calidades dé qué está formadó el precio del cam bio.-, y las ventajas que puede ofrecer en' los casbs &lt; dé libran ó 'tomarT letras ;.sobre qualesquier plaza de comercio de Eutopáv de las-monedas imaginarias eñ España pa ra cambios…</t>
  </si>
  <si>
    <t>Hurtado, Juan Antonio</t>
  </si>
  <si>
    <t>Juan Antonio Hurtado</t>
  </si>
  <si>
    <t>475</t>
  </si>
  <si>
    <t>…pintaban su entrada en Francia con grandes exércitos y general aceptación, con otros hechos de la misma criminalidad; cuyos sugetos han sido condenados en la forma si guiente : : D. Juan Antonio Hurtado, abogado intruso én esta corte, natural de Almodovar del Campo, y vecino de ella, al presidio de Alhucemas por seis años , de donde no saldrá sin expreso permiso de S. M. D. Manuel Figaeroa y Vázquez, agregado al estudio del agente fiscal de la sala de alcald…</t>
  </si>
  <si>
    <t>I, Josef de Loy y</t>
  </si>
  <si>
    <t>Josef de Loy y I</t>
  </si>
  <si>
    <t>…ximo pasado fueron admitidos á besar ía mano á S. M., y cumplimentarle por su feliz restitución al trono en nombre de la villa y concejo de Coíunga, en el principado de Astúrias , D. Josef de Loy y I&gt;. Manuel Cueto y Antayo, abogados ambos de los Reales consejos; con cuyo motivo el primero, después de haber manifestado lo satisfactorio que había sido á todos los habitantes de aquel distrito ver ocupado el trono de España por su legítimo Soberano, espusó l…</t>
  </si>
  <si>
    <t>I, Josef Subirán</t>
  </si>
  <si>
    <t>Josef Subirán I</t>
  </si>
  <si>
    <t>…ntonio de Guevara, á D. Matías Villegas , cura&gt; de- la parroquial de S. Pedro.de ja villa de Guellar en el propio obispado: otra canongía var eante en dicha catedral por muerte de D. Josef Subirán I D. Juan Manuel Rengifí), cy 15apropio de ja villa de Casa-Vieja:en la diócesis de Avila. T La canongía vacante en la catedral de Oviedo por muerte de D. Pedro .Nava á D; Josef Sánchez de Caso , actualmente canónigo de la de CiudadRodrigo que ha yacido, en la misma iglesia!…</t>
  </si>
  <si>
    <t>IBadéP, Tomas Miguel</t>
  </si>
  <si>
    <t>Tomas Miguel IBadéP</t>
  </si>
  <si>
    <t>…anon de á 24 en proa , y una caronada de á 12 en popa; el bongo con una pieza de á 4, el violento y algunos fusiles.—uPor muestra parte,hubo siete.muertos,-entreellos el tenien te D. Tomas Miguel IBadéP, de la caballería del Paso, y cinco heridos con el comandante L^-Rus. Ignoro hasta- el presante la pérdida de hombres del ene migo----_La herida np permitió á La-Rus continuar el reconocimiento, por lo que se replegó á Mompox, dejando áia embocadura del Cauca…</t>
  </si>
  <si>
    <t>Ibañez, Andrés</t>
  </si>
  <si>
    <t>Andrés Ibañez</t>
  </si>
  <si>
    <t>…mayor de Murcia* y á D. Julián Ruia Marín , alcalde mayor de Ubriquei , En atención á los méritos y particulares; servicios de D, Manuel Antonio de Echevarría, D. Ramón Alaasoro, D. Andrés Ibañez y D. Ramón Queraltó j ha tenido i bien S. M. nombrarles al primero para la intendencia del egército de operaciones de Navarra y provincias vascongadas, al segundo para la del de campaña de.Cataluña, al tercero para la de la misma.clase de Aragón, y al&gt; cuarto para la intendencia…</t>
  </si>
  <si>
    <t>Ibañez, Benito</t>
  </si>
  <si>
    <t>Benito Ibañez</t>
  </si>
  <si>
    <t>…: D. Francisco G^rces, ,D. Gonzalo Lobo , D. Josef Araujo, p. Josef Rovirat, D. Antonio Sierra , D, Josef María Lauquer, D. Josef Dá^ viía, ,D&lt;Antonio Alvare^, D, Joaquín Asensio, D. Benito Ibañez, D. Anto nio Casbas j D. Francisco Botella, D. Josef Rasero , D. Josef Joaquín de Corres, D. Manuel González la Madrid , D. Santiago Regoli, D. Pedro Moreno, D. Celedonio Navarro, D. Josef Faura, D. Juan Bengoechea, D. Ra fael Aleson, D. Santiago Mateos, D. G…</t>
  </si>
  <si>
    <t>Ibañez, Facundo</t>
  </si>
  <si>
    <t>Facundo Ibañez</t>
  </si>
  <si>
    <t>…e Infantería á D. Francisco Iraola, Comandante agregado en el de Infan tería de Málaga; D. Félix Alvarez Acevedo, Comandante agregado en el de Tuy; D. Josef Feijoo, en el de Lugo; D. Facundo Ibañez, en el de Voluntarios de León, y D. Josef Llórente, en el Provincial de Santiago: de Teniente Coronel á D. Pedro Verea y D. Josef Cólmelo, del mismo Regimiento Provincial de Santiago; D. Ramón Taboada, del Provincial de Betanzos; O. Antonio García, del de Lug…</t>
  </si>
  <si>
    <t>Ibañéz, Josef</t>
  </si>
  <si>
    <t>Josef Ibañéz</t>
  </si>
  <si>
    <t>…iones de á 5© rs. y un crédito contra la Real hacienda ha hecho D.i Juan Antonio Vareta, comisario de guerra de , artillería de departamento retirado, i nombre de su hijo político D. Josef Ibañéz* caballero dé la ¡ReaTy diistingúida orden'íéSpañóla tdé Garios ii 1, te niente honorario dé! Real cüéirpó dé artillería, y dtiéño de láí'Reaié^ f&lt;bri-l déróimicioflés,’loza y pórcetana dé Safgadelos, en 'Galicia* sé ^¿ servi do S. M. mandar que en sft Real n…</t>
  </si>
  <si>
    <t>Ibañez, Juan</t>
  </si>
  <si>
    <t>Juan Ibañez</t>
  </si>
  <si>
    <t>…co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 D. Francisco de…</t>
  </si>
  <si>
    <t>Ibañez, Pablo</t>
  </si>
  <si>
    <t>Pablo Ibañez</t>
  </si>
  <si>
    <t>…a rón de Castieí, D. Santiago Usoz y Mozzi, D. Blas Manuel de Loya, Don osef Vicente de Barrenechea, D. Simón de León Santos, D. Josef Escarano, Í). Francisco Hurtado de Mendoza , D. Pablo Ibañez , D. Juan Josef de Barciterrechea, D. Juan Quintana, el general Roche y D; Josef Pando. a Por la Mayordomía, mayor. ; j , i Llaves de gentileshombres de cámara con exercicio' al marques de Malpica,' al duque de San Fernando , al conde de Santa Colonia, al mar…</t>
  </si>
  <si>
    <t>Ibarguen, Josef García</t>
  </si>
  <si>
    <t>Josef García Ibarguen</t>
  </si>
  <si>
    <t>…ros , el marques del Moral, D. Sebastian Iglesias, D. Salvador de Cárdenas, D..Andrés Maymo, D&lt; Clemente Gutiérrez, D, Vicente Rodríguez, D. Pedro Pilón; D: Luis Polo de Bernabé , D. Josef García Ibarguen, D. Juan Soüoso, D. Francisco Garnica , D. Rafael Legpbien, D. Miguel Roldan , D, Rafael Aristegui y Don Josef Estrada. - Grado de. intendente de marina á los comisarios ordenadores D, Domingo CarruagatovD; Juan Nieto y D. Antonio Ventura Cincúnegui. 1 Gradó;…</t>
  </si>
  <si>
    <t>Ibarlueea, Josef</t>
  </si>
  <si>
    <t>Josef Ibarlueea</t>
  </si>
  <si>
    <t>IOIO ' la de Tortosa á D. Victoriano Aznar y Rubio: para la de Jaca á D. Josef Ibarlueea: para la de Lérida á D. Josef Ruiz Manzanopara la de Alcira á D. -Lorenzo Ventura de Dueñas : pira la de Vique á D. Mahuel Frutos: pa ra la de Tárrega á D. Gregorio Sancho Granado r para la de Segorve á Don josef Tomas Aparicio: para la de Villalonga, en el p…</t>
  </si>
  <si>
    <t>Ibarra, Juan Ramón de</t>
  </si>
  <si>
    <t>Juan Ramón de Ibarra</t>
  </si>
  <si>
    <t>…oboso á D. Francisco Juan y Cantabella: de San Mateo á Don Pedro Huerta Morales: de Almonacid de Zorita á D. Antonio Fernando Briz: de Daymiel al honorario de la cámara de Comptos D. Juan Ramón de Ibarra: de Mérida á D. Joaquín María de Egui^uren: de Dos-Barrios á D. Jorge Ferrer: de Segura de la Sierra á D. Diego Crespo de León! de Porcuna á D. Josef Antonio de Oscoz y Recarte: de Totana y Aledo á D. Ignacio María de Funes y Ulloa; y para el corregimiento de…</t>
  </si>
  <si>
    <t>Ibarrola, Pedro Josef</t>
  </si>
  <si>
    <t>Pedro Josef Ibarrola</t>
  </si>
  <si>
    <t>…a de maestra de niñas, cuya dotación es la de sie te rs. y medio diarios, pagados puntualmente, y casa. Las que quisieren pretender lo harán por medio de memorial, que dirigirán á D. Pedro Josef Ibarrola, procu rador síndico de dicha villa, antes del dia 31 del presente. Deben estar examina das, y enseñar á todas las hijas de vecino y naturales de la misma villa. Se halla vacante el partido de cirujano .de la villa de S. Martin de Montalban, distante seis leg…</t>
  </si>
  <si>
    <t>Ibarrola, Tomas Ramón de</t>
  </si>
  <si>
    <t>Tomas Ramón de Ibarrola</t>
  </si>
  <si>
    <t>…Ostolaza, deán de la sarita iglesia de Cartagena: D. Antonio Remon del Valle , secre tario de la junta/milítar de Indias: D. Diego Fernandez Peredo, prior del consulado dé México; D. Tomas Ramón de Ibarrola^ D. Manuel de Urquiága y el conde de la Cortina, cónsules del expresado consulado.</t>
  </si>
  <si>
    <t>ID</t>
  </si>
  <si>
    <t>…speridad pública; hacicndo ver con este motivo qoálnto anbeia pcr ella la ilustración y bondad de •uest roauguítoSahe rano'yelztlo desu sabio ministro. í . i JPorv último, ebotro .profesor ID. Antonio Os tere t y Mario» abogado det «aíqgio de eata cor»e, y secretario deli cu.crpo patnórico, trató del or%en de la. ciencia y su objeto ^ de qué moda se forman y distribuyen, las riquezas» y</t>
  </si>
  <si>
    <t>Ies, Harrison</t>
  </si>
  <si>
    <t>Harrison Ies</t>
  </si>
  <si>
    <t>…enviados de las tribus de indios. El 22 de Agosto último no habia en la junta preliminar mas que los gefes y guerreros de las naciones wyandotspattowatbmies, chippawa y ottava. El general Harrison Ies anunció que el objeto de la reunión era renovar la alianza de paz; pero qué estaban ausentes muchas naciones, y les suplicaba les enviase un mensage para que concurriesen.á Spring- Wells el 2$, día en que se había de hacer el ajus te. El 23 el mensagero envia…</t>
  </si>
  <si>
    <t>Ig</t>
  </si>
  <si>
    <t>…bridad de -los alas de sU augusto nombre porpor el ministerio de x Ik Gttíerta: ,&lt;j Caballería^ de línea y ligera. Cf Grados de tenientes á los alféreces D. Pedro Cataneó y Negro, D. Ig nacio Tejeiro y Lastra, D. Josef Quintero, D. Josef Garcés, D. Antonio Ferri, D. Manuel Moreno, D&gt; Josef Funes, D. Ignacio Iturrigaray, D. Fran cisco Martos,: D. Francisco G^rces, ,D. Gonzalo Lobo , D. Josef Araujo, p. Josef Rovirat, D. Antonio Sierra , D, Jo…</t>
  </si>
  <si>
    <t>Ig, Juan</t>
  </si>
  <si>
    <t>Juan Ig</t>
  </si>
  <si>
    <t>…io, Escribano de Cámara mas antiguo y de Go bierno,del mi Consejo , se le dé la misma fe y crédito que á su original. Da da en Palacio á 19 de Febrero de 1815 . == YO EL REY.sr Yo D. Juan Ig nacio 'de Ayeitaráu, Secretario!del Rey nuestro Señorito hice escribir por Sii mándado. ¿s El Dú^ue del InfántadO.!= D. Sebastian de Torres. = D. Mi?guel ‘Alfonso Villagomez. =±D. Gerónimo* Antonio Diez; == D. Tadeo Go*mez. = Registrada, Aquilino Escudero. =…</t>
  </si>
  <si>
    <t>Iglesias, Blas</t>
  </si>
  <si>
    <t>Blas Iglesias</t>
  </si>
  <si>
    <t>…a,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 Francisco Espiñeyra , del de Lu go; D. Pedro Tineo, D. Juan Puente, D. Josef Antunio Rodríguez, Don Simó…</t>
  </si>
  <si>
    <t>Iglesias, Esteban</t>
  </si>
  <si>
    <t>Esteban Iglesias</t>
  </si>
  <si>
    <t>…su lealtad , y á este efecto el dia 5 del corriente los individuos de él D. Juan Rodríguez "Valcárcei, D. Lorenzo Josef Barbacho, D. Leandro Josef Gutiérrez, D. Manuel Gonzalc-z, D. Esteban Iglesias, D. Dionisio Melendez y D. Rafael Santiso firmaron un escrito; en eicual, al mismo tiimpO' que felicitan á S. M. por so restitución al trono, esponen los servidos de un donativo, entre otros, de 4® pe^os que hicieron para auxiliar los ejércitos de la penínsul…</t>
  </si>
  <si>
    <t>Iglesias, Pedro</t>
  </si>
  <si>
    <t>Pedro Iglesias</t>
  </si>
  <si>
    <t>…e Betanzos; D. Joaquín López Varela, D. Antonio Guerrero, D. Josef Guerrero, D. Juan de Castro, D. Juan López, Don Pedro Santistéban y D. Josef Novoa, del de Lugo; D. Luis Blanco, Don Pedro Iglesias, D. Pedro Ruiz Peña, D. Pedro Rodríguez, D. Isidro del Rio, D. Antonio Arias, D. Manuel Quiñones, D. Carlos Mota, D. Auto-</t>
  </si>
  <si>
    <t>Iglesias, Pedro Catalina de</t>
  </si>
  <si>
    <t>Pedro Catalina de Iglesias</t>
  </si>
  <si>
    <t>…Enero de este año, que consiguiente al convenio que con ellos tiene celebrado S. E. en unión del Exento. Sr. conde de Trastamara, sancionado por S. M., ha autorizado á su contador D. Pedro Catalina de Iglesias para que amis tosamente trate y transija qualesquiera diferencia que pueda ofrecerse en las liqui daciones de créditos, que deben hacerse con los acreedores que no tengan debida mente legitimados y liquidados sus créditos; y se les previene por medio de este…</t>
  </si>
  <si>
    <t>Iglesias, Ramón</t>
  </si>
  <si>
    <t>Ramón Iglesias</t>
  </si>
  <si>
    <t>…e V. S.‘ propone en su esposicion; y lo comunico á V^S. de Real orden para su no ticia y satisfacción/ Dios guarde á V. S. muchos años. Madrid 10 de Julio de i8ij.=Pedro Cevallos.=Sr. D. Ramón Iglesias. Mercurio de España. Julio de 1815. Véndese á 4 rs. en el despacho de la im prenta.Real. Se subscribe en dicho despacho, y en las provincias en todas las admi nistraciones principales y agregadas de correos. Anocujeni ó alfabeto universal para todas las lengu…</t>
  </si>
  <si>
    <t>9$y El canónigo D. Ramón Iglesias * 'desposó de fundar una galería de pinturas en el Real monasterio de Monserrats* dio parte de ello á S. M. en los térmi cos siguientes: ' ■. . - - á: „ Señor: El Dr.. D„ Ramón Iglesias* canónigo de la iglesia colegiata ¡ de Sta. Ana de Barcelona en el vuestr…</t>
  </si>
  <si>
    <t>Iglesias, Sebastian</t>
  </si>
  <si>
    <t>Sebastian Iglesias</t>
  </si>
  <si>
    <t>…D. Honorio Siréra ; D. Pedro Vizcarrondo, D. Josef Guimbarda, D. Juan Sotélo, D¿ Tiburdo Basanta, p. Rodrigo Tavira , D. Manuel de Lis , D/Felipe Herreros , el marques del Moral, D. Sebastian Iglesias, D. Salvador de Cárdenas, D..Andrés Maymo, D&lt; Clemente Gutiérrez, D, Vicente Rodríguez, D. Pedro Pilón; D: Luis Polo de Bernabé , D. Josef García Ibarguen, D. Juan Soüoso, D. Francisco Garnica , D. Rafael Legpbien, D. Miguel Roldan , D, Rafael Aristegui y Don…</t>
  </si>
  <si>
    <t>Igna</t>
  </si>
  <si>
    <t>…cer el Rey nuestro Señor en celebridad de sus dias por la secretaría de Estado y del despacho de Gracia y Justicia. La ración vacante en la catedral de Málaga por fallecimiento de D. Igna cio de la Madrid á D_. Rafael Carrasco y León, medio-racionero de la de Coria. = La canongía vacante en la iglesia de Palencia por muerte de D. An selmo Soto áDóLuis Aguado Perez,cura de la parroquial de S. Pedro de los Huertos, diócesis de León. = La dignida…</t>
  </si>
  <si>
    <t>Ignacio, Francisco</t>
  </si>
  <si>
    <t>Francisco Ignacio</t>
  </si>
  <si>
    <t>…tudio.. : &gt; ; o ^ ¡ ‘ ! v ^ ^ s -,v; ■ .. . _ m i íi , * j .-.■.&gt;'»! tí.. ^ ¡t : ■ • * , ^ .rt-i *; El día 9 de Octubre de; 14 túvó el honor el brigadier de los Reales ¿ exércitos D. Francisco Ignacio de .Cepeda, regidor perpetuo de la ciudad de Cádizjdebesarlamano por sí y ánombre de su Real ayuntamiento, y cumplimentar á S. M. y AA. entregándole unaespodcion del mismo; con cÚyb^otiyóídixb^i J S -J. .. ^ ,, 5eñor :;el ayuntamiento antiguo Real y legal que…</t>
  </si>
  <si>
    <t>Ihorpe</t>
  </si>
  <si>
    <t>…as cartas de Petersburgo de 11 de Enero ultimo dicen que no había aun llegado alii ninguno de los cuerpos de tropas que se esperaban de vuel ta de la grande expedición. Idem 7. El doctor Ihorpe, juez superior de áierra-Leona, ha escrito una carta á Mr. Guillermo Wilberforce, como presidente del instituto africano, sobre la conducta de ios agentes de aquel establecimiento en el comercio de es-</t>
  </si>
  <si>
    <t>IIIescas, Julián de</t>
  </si>
  <si>
    <t>Julián de IIIescas</t>
  </si>
  <si>
    <t>…de Sena de esta corte, núm. 24 de la manzana 220, qué comprende 9140 pies de si* tío, tasada en el año de 1805 én 4538^0 rs., dé vn., perteneciente su mitad á la testamentaría de D. Julián de IIIescas. La pérsonaquéquiera hacer postura acuda ante el Sr. D. Ramón Satué, del consejo de S. M., alcalde de la Real casa yrcor¿ te, por la escribanía de provijnciadeD.Juan Antonio Diaz Noriega, que se ad mitirán las que se hagan siendo arregladas. * La plaza de méd…</t>
  </si>
  <si>
    <t>Iiifante</t>
  </si>
  <si>
    <t>…ipal del Real Palacio. A las ocho de la ma ñana puesto S. M. igualmente á caballo á la cabeza de este escuadrón con todas las prendas de uniforme, acompañado de S. A. R. el Sermo. Sr. Iiifante D. Carlos, se dirigió al cuartel dél Real Cuerpo, en cuyo patio principal estaba formado, pie á tierra, otro escuadrón destinado á asistir a la bendi ción de los Estandartes, el cual después de' revistado por S. M., hallándose1 presente también el Sermo. Sr. Infante D.…</t>
  </si>
  <si>
    <t>Ijliaza, Antonio de</t>
  </si>
  <si>
    <t>Antonio de Ijliaza</t>
  </si>
  <si>
    <t>…n sus memoriales en el término de un mes, que concluirá en 20 do Febrero inmediato, dirigiéndoles al Lie. D. Félix Antonio Ximcnez Arguello, secretario del referido cabildo. \ &lt; ' D. Antonio de Ijliaza salió de esta corte k los 18 años de edad en principios .clel dé 1809 con destino al exército de Extremadura al cargo del marques de la Rpniana,, y se halló, según noticias, en la batalla de Talavera, en la que fue Fechó prisionero; y no habiéndose sabido des…</t>
  </si>
  <si>
    <t>Iluminación</t>
  </si>
  <si>
    <t>…sincera alegría; de modo que aunque llegó la nór che no se echó de menos la ausencia del sol, manifestándose tan clara la ciu dad como lo habia estado en aquel hermoso día, por la general Iluminación en que se esmeraron ¿á porfía todos los vecinos: al dia siguiente se celebró la mas solemne función de iglesia, á cuyo acto religioso concurrió el ilu tre ayuntamiento acompañado de la guarnición militar, de los empleados de to dos ramos y. personas , de dist…</t>
  </si>
  <si>
    <t>Ilzalbe, Juan</t>
  </si>
  <si>
    <t>Juan Ilzalbe</t>
  </si>
  <si>
    <t>…o Gállarza^ -D. Luis Campos, D. Josef Serón., I}. Isidoro Lacrbix,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t>
  </si>
  <si>
    <t>Imaz, Josef</t>
  </si>
  <si>
    <t>Josef Imaz</t>
  </si>
  <si>
    <t>Gaceta de Madrid n.º 122 (extraordinaria)</t>
  </si>
  <si>
    <t>…RDINARIA DE MADRID DEL VIERNES 29 DE SETIEMBRE DE i8jj. ARTICULO DE OFICIO. El Sr. Secretario del despacho de la Guerra acaba de recibir el oficio si guiente del Mariscal de Campo D. Josef Imaz, y del Brigadier D. Josef Pesci, Gobernador militar de la ciudad de Santiago. „Escmo. Sr.: El Comandante general interino D. Josef Imaz y yo tene mos la satisfacción de anunciar á V. E., para que lo haga á S. M., que des pués de la angustia y conflicto en que…</t>
  </si>
  <si>
    <t>In</t>
  </si>
  <si>
    <t>…A. por su deseado regreso &amp; España, y ma nifestar su. indecible satisfacción en que el Rey nuestro Señor se haya dig nado poner baxo la inmediata protección de V. A., y del Sermo. Sr. In fante D. Antonio, la Utilísima empresa del canal que ha tenido á bien re solver se construya en dichai villa:para el riego de sus-dilatados terrenosi „ Baxo tan poderosos auspicios no duda aquel leal pueblo ver; pronta reparadas sus pérdidas,, y aumentada su&gt;…</t>
  </si>
  <si>
    <t>…de acompañarle hasta las puertas del edificio. El dia 3 del corriente á las io y media de su mañana sorprehendió agra dablemente el Rey nuestro Señor á su consejo de la suprema y general In quisición» entrándose en él quando estaba formado» sin mas aparato ni acom pañamiento que, el de su capitán de Guardias duque de Alagon: saludó á sus ministros con la amabilidad que le es característica; y después de haber recibido del consejo los respetuosos…</t>
  </si>
  <si>
    <t>…zobispo de Santiago, y D. Francisco Mier y Campillo, inquisidor general. S. M. asistió á tan augusta función en so tribuna, y el Sermo. Sr. Infante D. Antonio en la suya. El Sermo Sr. In fante D. Carlos se dignó honrar á su maestro siendo su padrino secular per sonalmente, dando con este rasgo de piedad y de religión, y con otros de real generosidad, el exemplo de un honor singularísimo hecho por los príncipes católicos á la dignidad episcopa…</t>
  </si>
  <si>
    <t>…endador Ruffo.zzW urtemberg.= El cunde de Wintzingerode.=El barón de Linden” ' ESPAÑA. ‘ . Madrid 30 de Junio. • . « El dia 26 de Junio se presentaron á besar la mano 4 S.,M. y al Sr. In fante D. Cárlqs D. Ignacio Martínez Villela, del consejo Real; D. Tomas Arias, auditor del tribunal de la Rota; D. Josef Duaso, capellán-de honor de S. M.; D. Manuel Abella y el barón de Castiel, oficiales de la primera secretaría de Estado y del Despacho^ co…</t>
  </si>
  <si>
    <t>Inchauste, Manuel</t>
  </si>
  <si>
    <t>Manuel Inchauste</t>
  </si>
  <si>
    <t>…ón de un canal de riego que facilitaban las aguas del rio Esera. ‘ Esta solicitud se remitió á informe del intendente de Aragón,el quaí ha biendo mandado al arquitecto de Zaragoza D. Manuel Inchauste que ‘pasa* se á examinar y reconocer los sitios por dónde débia correr el canal, lo hi90 muy detenida y escrupulosamente, y de sus resultas informó el inten dente no solo de la posibilidad de llevar á efecto el pensamiento de la villa de Tamarite, sino de la…</t>
  </si>
  <si>
    <t>Infan, Duque del</t>
  </si>
  <si>
    <t>Duque del Infan</t>
  </si>
  <si>
    <t>…e Noviembre. ARTICÚid DE OFICIO. Circular del Consejo Real. El Exétno. Sr. D. Pedro Cevallos,. primer Secretario de Estado y del Despacho» comunicó al Consejo por medio del Excmo, Sr. Duque del Infan tado, Presidente de él, la Real orden siguiente: Excmo. Sr.: Los Superiores de las cuatro religiones Redentoras han repre sentado á S. M. que siendo peculiar de su instituto la recaudación de legados y limosnas con que contribuyen los fieles á la obra pía de…</t>
  </si>
  <si>
    <t>…cias en cumplimiento de las benéficas inten ciones de S. M. En este estado , y con fecha 30 de Diciembre del año próximo pasado, comunicó el Excmo. Sr. D. Pedro Cevallos al Excmo. Sr. Duque del Infan tado , Presidente del Consejo, la Real orden siguiente: „ Excmo. Sr.: Deseoso el Rey desde los primeros momentos de su exal-</t>
  </si>
  <si>
    <t>Infanta, Eusebio Tomé de Ja</t>
  </si>
  <si>
    <t>Eusebio Tomé de Ja Infanta</t>
  </si>
  <si>
    <t>…n. en recibos de suministros á las tropas. Una persona , cuyo nombre no se publica, 13191 rs. vn. en inte reses de vales. I). Sebastian Secupere de V..rgas 2® rs. vn. en efectivo. Don Eusebio Tomé de Ja Infanta ,abad y cura párroco deSta. María de Cerdedelo, 8550 rs. que ha suministrado á los egércítos en la anterior guerra. D. Ma nuel Tobar 5600 rs. en una acción é intereses del empréstito de 160 millones. Una persona, cuyo nombre no se publica, el 10 por 100 de un…</t>
  </si>
  <si>
    <t>Infantado, Duqae del</t>
  </si>
  <si>
    <t>Duqae del Infantado</t>
  </si>
  <si>
    <t>…de Dona Isabel González, acudirá á su casa á tratar de juste , que se dará con aquidad, vive calle de la Arcantarílla detras de S. Andrés, casa de la familia del Esce-r lentísimo Sr. Duqae del Infantado, núm. 1, cuarto principal. Josef Antonio Rodríguez Buítureira, natural de la parroquia de S. Juan de Jomes, en la provincia de Santiago, hallándose en esta corte sentó plaza de solda do en el regimiento de Murcia en el mes de Marzo del año pasado de 1799, y e…</t>
  </si>
  <si>
    <t>Infantado, Duque del</t>
  </si>
  <si>
    <t>Duque del Infantado</t>
  </si>
  <si>
    <t>…nsejo Real. i.a Con fecha 25 de Enero último ha comuuicado al Consejo el Excmo. Sr. D. Tomas Moyano, Secretario de Estado y del Despacho de Gracia y Justicia, por medio del Excmo. Sr. Duque del Infantado, su Presidente, la Real orden que dice asi: „ Excmo. Sr.: Enterado el Rey de un oficio que me dirigió el Decano de la Sala de Alcaldes D. Tadeo Soler y Cases, acerca de que se sirviese S. M. declarar si debia exercer el Juzgado de caza y pesca y su veda , que…</t>
  </si>
  <si>
    <t>258</t>
  </si>
  <si>
    <t>…Madrid 2 de Marzo de 1815. 2.24 * El Excmo. Sr. D. Tomas Moyano, Secretario de Estado y del Des pacho Universal de Gracia y Justicia* ha comunicado al Consejo por medio del Excmo. Sr. Duque del Infantado, Presidente de él* con fecha 22 de Febrero último, la Real orden siguiente: 1 „ Excmo. Sr.: El Rey quiere que se renueven las leyes y disposiciones Reales prohibitivas de Máscaras* y que ios Jueces encargados de su execu-</t>
  </si>
  <si>
    <t>524</t>
  </si>
  <si>
    <t>…adrid 20 de Abril de 1815. Circular del Consejo Real. El Exento. Sr. D. Tomas Moyano, Secretarlo de Estado y del Despa cho Universal de Gracia y Justicia, ha comunicado al Exento. Sr. Duque del Infantado, Presidente del Consejo, con fecha 17 de Marzo próximo, de órden de S. Mi la siguiente:: „ Excmo. Sr.: Condescendiendo el Ret nuestro Señor ton los deseos del Conde de Casillas de Velasco y D. Lorenzo Serrano &gt; actuales Mayor domos de la M. I. Congregación de…</t>
  </si>
  <si>
    <t>…rcular del Consejo Real. Por el Excmo. Sr. D. Tomas Moyano, Secretario de Estado y del Des pacho universal de Gracia y Justicia , se ha comunicado at Consejo por me dió del Excmo. Sr. Duque del Infantado, Presidente de él, con fecha £ de este mes deluden de S. M. la siguiente: „Excmo. Sr: Movido el Rey de muy justas causas, ha venido en supri mir y extinguir el juzgado de Seguridad pública creado por decreto de 12 de Marzo de este año , y puesto á cargo de D.…</t>
  </si>
  <si>
    <t>…el Sermo. Sr. Infante Don Carlos , como Generalísimo de los egércitos, sancione las actas de la Junta. Goii fecha 8 de Agosto último se remitieron al Consejo por medio del Excmo. Sr. Duque del Infantado, su Presidente, para conocimiento del mis mo Tribunal y demas efectos convenientes , egeiúplares de la Real orden ex pedida en 28 de Julio anterior por el Ministerio de la Guerra, cuyo tenor -dice' asi: * ' M_„. ,V r Cbnvéncido el Real ánimo de! ReV, nuestro…</t>
  </si>
  <si>
    <t>…udiencia , acor dó entre otras cosas' que se fijasen carteles con inserciois de dicha Real orden y notas en aquella ciudad y pueblos de Su distrito; y de ello dio cuenta át Éxcmo. Sr. Duque del Infantado, Presidente del Consejo, acompañando tes ■timonio de lo actuado. ' ' 1 ‘ Y hecho presente al Consejo se ha servido aprobar la fijación dé cárteles que refiere para que consten públicamente las señas de las alhajas, y el pre mio que S. M. ha ofrecido al que la…</t>
  </si>
  <si>
    <t>…slado á*V. S. I. para la noticia del Consejo, y á fin de que lo mande publicar.” Y en 2 de Abril del mismo ano de 1808 dirigió el referido Excmo. Señor D. Pedro Cevallos al Excmo. Sr. Duque del Infantado , Presidente del Con sejo, el oficio que dice asi: „ Excmo. Sr.: Por Real decreto de 22 de Marzo último se sirvió S. M. encargarme le propusiese las ideas que me pareciesen convenientes para redu cir los cotos de caza mayor y menor, y extinguir los lobos, zor…</t>
  </si>
  <si>
    <t>Infante</t>
  </si>
  <si>
    <t>…iar después sin fin sus aCíhsoladas virtudes.” ^ Madrid &lt;T de Enero de i8ig, ' •- EL sábado último 31- del pagado se vistió la corte de gala en celebridad del cümpleañosdel Sermó. Sr. Infante D. Antonio. ■ El día 11 de Setiembre tuvo la honra de felicitar á S. M. y besar su Real mano, ¿ nombre de la ciudad de Vera, D. Josef del Peral, caballerizo de campo honorario*deM., condecorado con la orden de la Lealtad en Valencey , y dirigirle el discurso siguiente:…</t>
  </si>
  <si>
    <t>…s del francés ai caste llano de las que escribió en italiano el señor Liquorio, obispo de Sta. Agueda, en el reyno de Ñapóles: por el Dr. D. Blas Ostolaza, para uso de S. M. y del Señor Infante D. Carlos, quienes diariamente las hacían en Valenqay por esta obra en compañía de dicho doctor su capellán y confesor , quien las da £ luz. Véndese i 8 rs. en pasta en eí despacho &lt;fe la imprenta Rea!, ir En la librería de Matute , ca lle las Carretas, se halla el ser…</t>
  </si>
  <si>
    <t>…es á la historia razbnada dé los principales sucesos de la gloriosa revolución dé España acudirán á la librería de Perez á recoger el segundo tomo, que lleva el retrato del Sermo. Sr. Infante 0. Cárlos. Sigue abierta la subscripción á 40 rs. por toda la obra; en la inteligencia'de que el tercer tomo está ya eh la prensa , y que el quarto se publicará á lá mayor brevedad. &lt; Elementos de farmacia fundados en los principios de la química moderna : te…</t>
  </si>
  <si>
    <t>…a Rúa: advirtiendo’que el tomo 2.® se está concínyendode imprimir, ? Sermón predicado; el dia ai de Diciembre de 18,1.4 en la iglesia,del Cármen calzado* con asistencia del Sermo. Sr. Infante D. Cárlos , con motivo de una misa Jsolqmne que los oficíales de su secretaría costearon en accionde^ gracias por el,re greso df S. Jyf« y AA,: por el Dr. D. Blas Qstolaza, confesor' bqnoráriq del Rsy, y deán de la’santa iglesia de Cartagena. Sc hallará en las librería…</t>
  </si>
  <si>
    <t>…irse con su angustoHijo él R*lr nuestro Señor ¿obré algunos puntos que ocupaban una párteñmóy ¿; interesante de su correspondencia, especialmente en orden á sus alimentos, los del Sr. Infante D. Francisco de Paula y la viudedad de la Reyeta Madre, fu casó dé qué sotnéviv»ese4 4% ,proppso*&amp;?ha , d%i4 tde íEnerjólñhéíT timó, los qué; sé contienen en ét tratado de convenio,; cuya copiaacajnpa*/■} ña, reducido a ocho ártícuíbs , quó remitió por. mediodeiSr.D.Aotonio Sirgas…</t>
  </si>
  <si>
    <t>…riptores á la historia razonada de la gloriosa revolución de España con tra el tirano Napoleón, acudirán á la librería de Perez i recoger el tercer tomo, que lleva leí retrato del Sr. Infante D. Antonio. En este tomo se cuentan los sucesos y grandes miserias tde 'Madrid eme baño de 181 2 i y la::terrible destrucción de los exércitos de Napoleón: en la Rusia, de ¡cuyas resul tas&lt; tu vieron que háper Jos genemies de coroneles, y, estos de sargentos: y sigue ab…</t>
  </si>
  <si>
    <t>…, maris cal de campo de los Reales éxércitos, y comandante general del nuevo reyno de Galicia; y marques de Feria, gentilhombre de cámara de S. M. con destino al quárto del Sermo. Sr. Infante D. Cárlos. Componen el capítulo general de .esta orden el Excmo. Sr. duque de S. Carlos: el Excmo. Sr. D. Francisco Xavier Castaños: el Excmo. Sr. Don francisco Xavier Venegas: el Excmo. Sr. D. Gaspar Vigodet; y D. Fran cisco Tadeo de Calomarde, oficial mayor más antig…</t>
  </si>
  <si>
    <t>…mos. Sres. Don Rafael Muzquíz y Aldunate, arzobispo de Santiago, y D. Francisco Mier y Campillo, inquisidor general. S. M. asistió á tan augusta función en so tribuna, y el Sermo. Sr. Infante D. Antonio en la suya. El Sermo Sr. In fante D. Carlos se dignó honrar á su maestro siendo su padrino secular per sonalmente, dando con este rasgo de piedad y de religión, y con otros de real generosidad, el exemplo de un honor singularísimo hecho por los príncipes cató…</t>
  </si>
  <si>
    <t>…asi: 1. a ,,Excmo. Sr.: El Sr. Secretario de Estado y del Despacho, con fe cha de 20 del corriente, me dice lo que sigue: Excmo. Sr.: Queriendo el Rey dar á su augusto Hermano el Sr. Infante D. Cárlos María una nueva prueba del particular amor que le profesa, ha venido en resolver que se le considere exento de las restricciones prevenidas en la Real Cédula de 15 de Setiembre último con respecto á los derechos jurisdiccionales que fueron in corporados á la Nación…</t>
  </si>
  <si>
    <t>…las librerías de Pérez y Matute, caire dé las Carretas; .de Barco, carrera de S. Gerónimo, y de Villa., plazuela de Sto: Domingo. Loa que en celebridad del cumpleaños de) Serino. Sr. Infante D. Carlos pre sentó á S. A. Doña M. M. L. tJ. Se hallará en la librería de Dávila, calle de las . Carretas, y de Ranz, calle del Pozo: su precio 1 2 quartos. Puede ir en carta. Memorial en verso presentado á $. M. y AA. por un brigadier de caballería, expresando sus se…</t>
  </si>
  <si>
    <t>…ta las cin co* de la mañana del &lt;dia inmediato/, y á que asistieron todas las autoridades y jpobleza de 4lá,ciudad. . Madrid j4 de Junio. Ayer en celebridad de los dias del Sermo. Sr. Infante D. Antonio, Tío /del Rey nuestro Señor, se vistió la corte de gala sin uniforme, y concur rieron á cumplimentar á S. A. R. los embajadores y ministros estrangeros, los grandes de'España;, los diputados de los reinos, los títulos, los ministros de jos consejos,, los gene…</t>
  </si>
  <si>
    <t>…los principales atributos de ésta orden tan antigua como ilustre. En seguida el espresado ministró plenipotenciario y demás que le acom pañaban se trasladaron ál cuarto del Sérmo. Sr. Infante D. Gárlos, y tuvie ron igualmente la honra de darle la investidura de la Cadena y demás Con decoraciones de la orden militar de la Éspada, dé la cüaí habrá sido nom brado S. A R. comendador y gran cruz. Tanto S. KÍ. como S. A. R., recibieron con eí mayor aprecio estas…</t>
  </si>
  <si>
    <t>…la primera secretaría de Estado y del Despacho^ comisionados por la universidad de Za ragoza para dar gracias á S. M. y A. por haberse dignado acceder á la so licitud par?. que el Sr. Infante fuese protector de aquella universidad; y el prv^ mero..de los comis 10nadoshabló 4 S, M. en.estos términos^ ,. ; *| ; *,^ñqr* Yehpmentes y constantes en sus pasiones, giodosas los; aragone ses , lo . son -mucho mas que en otra alguna en la de amor á la sagra…</t>
  </si>
  <si>
    <t>…los pies de V. M. sus respetos y el ren dimiento mas profundo en las gradas que humildemente tributamos á V. M. por tan singular y distinguido beneficio.” Y luego hizo á S. A. el Sr. Infante D. Carlos el siguiente discurso: ,, Señor: Los comisionados de la universidad literaria de Zaragoza tienen el alto honor de presentarse á los Reales pies de V. A. á tributarle á nom bre de aquel cuerpo sus mas humildes respetos, y las mas rendidas gracias por la bondad…</t>
  </si>
  <si>
    <t>…staba formado, pie á tierra, otro escuadrón destinado á asistir a la bendi ción de los Estandartes, el cual después de' revistado por S. M., hallándose1 presente también el Sermo. Sr. Infante D. Antonio, que separadamente había ido en coche, le hizo los honores con dos descargas, victoreándole coino á su Coronel. En; seguida pasó S. M; con SS. AA. á: la Capilla parroquia par* presenciar la función, á la que asistió el EsCtnoü Sr. Arzobispo de Nicea, Nuncio d…</t>
  </si>
  <si>
    <t>999</t>
  </si>
  <si>
    <t>…fausto• 'dia&gt;. Caída la tardé, vuelto á ponerse a caballo S. M., y á la cabeza del escua drón que le había acompañado nal cuartel, se retiró S. M. á su Real palacio, «oh el Sermo- Sr. Infante D. Carlos, dirigiéndose por ei paseo del Prado con el tierno placer de oir las repetidas aclamaciones de un inmenso pueblo qué! le. seguía- y salíaal Encuentro ém las calles de su tránsito. No es posible pintar con colores bastante vivos el sumo jubilo y alegría* que m…</t>
  </si>
  <si>
    <t>…disminuya Ja fuerza del egército, cuando en eí continente y dominios de ultramar son tap graves las atenciones del estado.” S. M. se ha servido aprobarla , y mandar que el Sermo. Sr. Infante Don Carlos , como Generalísimo de los egércitos, sancione las actas de la Junta. Goii fecha 8 de Agosto último se remitieron al Consejo por medio del Excmo. Sr. Duque del Infantado, su Presidente, para conocimiento del mis mo Tribunal y demas efectos convenientes , egei…</t>
  </si>
  <si>
    <t>…en. Esta muger nunca estuvo enferma en tan largos años de vida. ESPAÑA. Madrid 27 de Octubre. El jueves 26 á las 10 de la mañana salió de esta corte S. M., acompaña do de S. A. el Sr. Infante D. Garlos para trasladarse al Real sitio del Esco rial, donde permanecerá algunos dias, habiéndose quedado en Madrid S» A. el Sr. Infante D. Antonio á causa de liña leve indisposición. La tropa de la guarnición cubría el camino desde las puertas del Real Palacio , reci…</t>
  </si>
  <si>
    <t>…s-mejores ,pruebas de los vastos;conocimientos que adornan á este joven, de quien puede esperar su patria propagará las luces de una cien cia tan necesaria y útil. ' . ^ El Sermo. Sr. Infante D. Antonio , aficionado siempre á las ciencias» y á las artes, en cuyo estudio y egercíeio ha empleado tan útilmente el tiempo* no contentándose con asistir al Real jardín;botánico, excitando á los proíe&gt; sores y alumnos de agricultura á progresar en la mas común y prim…</t>
  </si>
  <si>
    <t>…la Francia la Alsaciá.,. la Lorena y la Flandes francesa. — • ; ■ ESPAÑA. - Ma,drid 30 de Octubre. Después de un feliz viageuHejgó el Rey nuestro Señor con su augusto Her mano el Sr. Infante D. Cáríds al Real sitio de S. Lorenzo á las tres y media cte 1* tarde del día 16^ donde siguen sin la menor novedad en su importante</t>
  </si>
  <si>
    <t>…ste , y una colección de los mejores autores de esta, materia. Madrid 6 de Noviembre. El viernes último 3 del corriente S; M. el R¿y nuestro Señor y S. A. R¡ su augusto Hermano el Sr. Infante D. Carlos, se restituyeron desde el Real sitio ae S. Lorenzo á esta corte, en donde entraron á las tres y media de la tarde en medio de los saludos y salvas de la artillería y de las tropas de laguarnición, que de antemano se habían formado en la carrera, y de los in c…</t>
  </si>
  <si>
    <t>I28í con que sobrellevó los últimos penosos años de su vida, harán duradera y apreciabie la memoria de este marino antiguo y benemérito. ARTICULO DE OFICIO, El Sermo. Sr. Infante D. Antonio, continuando en egercer su munificen cia, y manifestar su afición al establecimiento del Jardín Botánico y á las ciencias naturales, se ha servido regalar la útilísima obra del Diccionario ra zonado y universal de agricultura, publicado por la sección de agri…</t>
  </si>
  <si>
    <t>…e Cas tillo, y en la de Gómez, calle de las Carretas, á 8 rs. cada egemplar. En la librería de Matute, calle de las Carretas, se abre suscripción á una estam pa retrato del Sermo. Sr. Infante D. Carlos, representado á caballo en. pliego de marca mayor igual al que del Rey nuestro Señor grabó D. Josef Enguídanos. Ei precio de la subscripción es de 50 rs, iluminada y.á 24 en negro. Pasado el térmi no de la subscripción, que será de un mes, se venderá á 60 rs.…</t>
  </si>
  <si>
    <t>…en valor, fidelidad y gratitud á nadie cede esta ___ _______ capital.”_________ ARTICULO DE OFICIO. Artículo comunicado por la primera Secretaría de Estado. Continuando el Sermo. Sr. Infante D. Antonio en egercer su munificen</t>
  </si>
  <si>
    <t>…Sta. Real y vieja hermandad de Ciudad-Real, y á su nombré D. Alvaro Pedro Maldonado y Treviño, maestrante de la Real de Rondan uno de l°s alcaldes de él , Lugarteniente del Sermo. Sr. Infante Don Carlos María, alcalde perpetuo y protector del mismo, acaba dé hacer a S. M. por el respetable conducto de S. A. R. el donativo dé 13600 rs. en metálico, y 33581 en créditos legítimos, para contribuir al alivio de las ur gencias del estado, como una prueba de amor y respe…</t>
  </si>
  <si>
    <t>…z, capitán del regimiento provincial de Toledo, y D. Alejandro Merino, regidor perpetuo de dicha ciudad, alcaldes de su San ta y Real hermandad vieja, y lugar-tenientes del Sermo. Sr. Infante Don Carlos María, han puesto á disposición de S. M. 15® rs. en metálico por via de donativo én nombre y representación de la referida Sta. y Real Herman dad vieja. La dirección y junta de gobierno de la Real compañía de curtidos de Po zuelo de Alarcon, ha señalado el dia 21 d…</t>
  </si>
  <si>
    <t>Infante, Pablo</t>
  </si>
  <si>
    <t>Pablo Infante</t>
  </si>
  <si>
    <t>…la misma iglesia á D. Santiago Antonio Mendez; y para dos canongías de la propia iglesia á D. Juan Bautista Colomer y D. Carlos García Velarde. El Rey ha tenido á bien conceder á D. Pablo Infante los honores de contador de sus Reales exércitos en consideración á su zelo patriótico en las urgencias pasadas; á las delicadas comisiones que ha desempeñado á satisfac ción del gobierno legítimo, y al mérito y valor poco común de su hijo el teniente coronel…</t>
  </si>
  <si>
    <t>Infanzón, Pelayo</t>
  </si>
  <si>
    <t>Pelayo Infanzón</t>
  </si>
  <si>
    <t>…dado del regimiento infantería i.° de Guadalajara, en donde sentó plaza el año de 1803 , se servirá avisarlo á la justir cía del expresado lugar. Historia fabulosa del distinguido caballero D. Pelayo Infanzón de la Vega, Quijote de la Cantabria. En ésta obra, recibida anteriormente del público con ge neral aceptación, bajo la manía del heroe en la ridicula empresa de dar i conocer i todo el mundo su genealogía y nobleza, no solo se critica acertadamente la viciosa…</t>
  </si>
  <si>
    <t>Inglaterra, Pozzo di Borgopor Ja</t>
  </si>
  <si>
    <t>Pozzo di Borgopor Ja Inglaterra</t>
  </si>
  <si>
    <t>…á, su destino.. Idem 2i.. Sé asegura! que Ib», embajadores extrangeros que han dé residir cerca- de la. corte de Francia son: por eL Austria el. barón de Vincent; por. la Rusia el conde Pozzo di Borgopor Ja Inglaterra sir Cáelos Stuart, y por la Prusia el barón de Humboldt. r El conde dé Noue r subprefecío de Soissons r comunica los pormenores si-' ‘gu rentes sobre el terrible acaecimiento del 13 ocurrido en aquelto ciudad La explosión del almacén, fue. horrorosa: 39 perso…</t>
  </si>
  <si>
    <t>Inglis</t>
  </si>
  <si>
    <t>…errarJe, y reconocieron que le habían robado de lá sepultura, sindudaaJgun facultativo ó algún curioso para depositarlo en algún gabinete. v. Calais 22 de Diciembre. , . ,'•» i«El general Inglis, el coronel Gordon, el capitán Hermann, ayudante del general Arberg, y Mr. Baxson, consejero del "rey de Suecia, llegaron aquí ayer viniendo,de Londres; y marcharon inmediatamente á sus destinos. Los bergantines ingleses Aurora y Goulston, que salieron de est…</t>
  </si>
  <si>
    <t>Iñiguez, Benito</t>
  </si>
  <si>
    <t>Benito Iñiguez</t>
  </si>
  <si>
    <t>…Gómez , caile de las Carretas: su pre cio 4 quartos. zz Con versación entre Ca amocha y Valiente , caballos empecinados, imitación de ios perros de Maudes de Cervantes , por dicho D. Benito Iñiguez. Véndese en la misma librería: su precio 12 quartcs. EN LA IMPRENTA REAL.</t>
  </si>
  <si>
    <t>Inquisición</t>
  </si>
  <si>
    <t>…r una diputación com puesta de tres consejeros con su presidente, quien á nombre del consejo di rigió á S. M. e! discurso que sigue; ,, Señor ir el vuestro consejo de la suprema y general Inquisición, á quien rV. M. resucitó de entre sus cenizas, y sacó del abismo, del oprobio é ig nominia en que yacía» no olvidó del todo tiempos tan aciagos hasta el dia 3 del corriente; dia que será para siempre mémorahiejen los fastos del santo Oficio; dia en que V. M.…</t>
  </si>
  <si>
    <t>…la imprenta de P. N. Rougerow en francés y castellano : por el Rmo. P. Mtro. FivManuel .Martínez¿ mercenario calzado, predicador de S. M. y de su consejo en ' el &lt;te la suprema y. general Inquisición. Para generalizar la lectura de este escrito no menos importante que generalmente aplaudido, se ha creido conveniente imprimir lo por separado y venderlo al corto precio de 4 rs. Se hallará en el despacho de la imprenta Real. EN LA IMPRENTA REAL.</t>
  </si>
  <si>
    <t>Iraola, Francisco</t>
  </si>
  <si>
    <t>Francisco Iraola</t>
  </si>
  <si>
    <t>…de los mismos indivi duos las gracias siguientes: Empleo de Brigadier de Infantería á D. Pedro Guerrero, Coronel del Regimiento Provincial de Tuy: grado de Coronel de Infantería á D. Francisco Iraola, Comandante agregado en el de Infan tería de Málaga; D. Félix Alvarez Acevedo, Comandante agregado en el de Tuy; D. Josef Feijoo, en el de Lugo; D. Facundo Ibañez, en el de Voluntarios de León, y D. Josef Llórente, en el Provincial de Santiago: de Teniente Co…</t>
  </si>
  <si>
    <t>Iriartede, Tomas</t>
  </si>
  <si>
    <t>Tomas Iriartede</t>
  </si>
  <si>
    <t>…rica puesta libremente en verso castellano por D; Franciaco/Durane segunda edición, corregida.r» Dtdo, abandonada^soliloquio trágico» dispuesto en versos de la traducción que hizo D. Tomas Iriartede los quatr'o pri meros libros de la Eneydá de Virgilio, por el mismo. Se hallarán en las librerías de Castillo, frente. áftas gradas Fftlipe; dcCccro.qalle de Cedaceros; en su puesto» calle de Alcalá» y en el del diario, (rente i Sto.Tomas: á real cada una. v…</t>
  </si>
  <si>
    <t>Iribarren, Matías</t>
  </si>
  <si>
    <t>Matías Iribarren</t>
  </si>
  <si>
    <t>…stencias ó fallecimientos se servirá avisarlo en Madrid á D. Salvador Tusál, calle de Milaneses, núm. 10; en Zaragoza á D. Fermín Erro, calle de San, Pablo, núm. 39; en Pamplona i D. Matías Iribarren, administrador del hospital. General; en Lumbier á Doña Lucía Blanco, ó al .párroco de la misma. Obras escogidas de 0. Francisco Que vedo Villegas, en las que se hallan incluidos sus célebres sueños: 4 tomos en 8.° en dos volúmenes á 28 rs. en pasta.zzVida de…</t>
  </si>
  <si>
    <t>Iribarren, Pedro</t>
  </si>
  <si>
    <t>Pedro Iribarren</t>
  </si>
  <si>
    <t>I&gt;. Miguel Pavat, y D. Francisco Qnadrado , dei segando Batallón de ídem; D. Braulio Crespo, D. Juan Zaragoza, D. Josef González, D. Pedro Iribarren, D. Joaquín Rodríguez, y JX Francisco Manso, del tercer Batallo.n de ídem; D. Francisco Picado, Ayudante de U plaza dé. Ciudad-?Ro drigo, y D. Josef Borgara y D. Jqaa Fermín Castillejo., del Batallen de Urbanos de la misma: al de Subtenientes á los Sargentos…</t>
  </si>
  <si>
    <t>Irigoyen, Basilio da</t>
  </si>
  <si>
    <t>Basilio da Irigoyen</t>
  </si>
  <si>
    <t>…coronel D. Msteo Ballesteros, comandante del tercer batallón del regimiento infantería de Buenos-Ay res, agregado á la expedi ción del Rio de la Plata: idem de teniente coronel á D. Basilio da Irigoyen, sargento mayor agregado al depósito de Ultramar, á D. Fermín de la Vega,</t>
  </si>
  <si>
    <t>Irunciaga, Josef</t>
  </si>
  <si>
    <t>Josef Irunciaga</t>
  </si>
  <si>
    <t>…Don Burges Camac, D. Josef Montenegro , D. Ventura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Josef Gerau de Arellano , E&gt;; Juan López Fraga , p. Manuel de Lardizabal y Montoya , Ba rón de Castieí, D. Santia…</t>
  </si>
  <si>
    <t>Irunciaga, Josef de</t>
  </si>
  <si>
    <t>Josef de Irunciaga</t>
  </si>
  <si>
    <t>…es vellón en metálico en 50 accione*, repartidas entre los sugetos siguientes: los Sres. Uhagon hermanos, Manzarraga y Usarte, Bayo é hijo y compañía, Jane, Orbegozo y Castañares, D. Josef de Irunciaga, D. Francisco de Lemonauría, D. Benito Felipe de Gainmde, D. Josef Domingo de Aguirre, D, Mariano Perez 4e;Nemn,, D. Pascual Jo^efde Ardanáz, D. Diego Macmahon, Goossens e mjo, D. ManuelMa* Íía de Aldecóa , D. Antonio Juap de Viidosola, D. Cirilo Perez de Nec…</t>
  </si>
  <si>
    <t>Irunzaga, Josef</t>
  </si>
  <si>
    <t>Josef Irunzaga</t>
  </si>
  <si>
    <t>…Sánchez. Antonio Blazquez, D. Serafín y D, Agustin Lezamaiz, vecinos de la vi lla del Prado; á D. Ramón de Ataola, de la de Ajofrin; á D. Josef Francisco del Valle, de Madrid, y á D. Josef Irunzaga, de la de Bilbao; todos acreedores á la testamentaría de D. Frutos Rodríguez Noles, vecino y del comercio que fue de la referida villa del Prado, para que en el término preciso y perentorio de 15 días, contados desde hoy . comparezcan á espóner y pedir lo que…</t>
  </si>
  <si>
    <t>Isa</t>
  </si>
  <si>
    <t>…nsulta del consejo Rear lícencfe y fa cultad á la ciudad dé Medina de Riqsecp.para que pqeda restablecer las . dos ferias- anuales que ía concedieron los Sres. Reyes D, Fernando y Doña Isa bel, por Real privilegio espedido en Casarubios del Mónte el año de 1477, con tal de que se celebre la primera én los ocho primeros dias pasado el domi ngp dé Cuasimodo , y la segunda pasado el dia de nuestra Señora de Agos to,.sin franquicia de derechos, y c…</t>
  </si>
  <si>
    <t>Isabel</t>
  </si>
  <si>
    <t>…, y por la escribanía del número de D. To mas de Sancha y Prado, D. Juan Poves, vecino de esta corte, como conjunta pernwom de Btma-Lticfedtoeurto-, y apoderado de Doña Bernarda, Doña Isabel y Doña</t>
  </si>
  <si>
    <t>Isabel.-</t>
  </si>
  <si>
    <t>…kios, maestro mayory e*tóitfadór; arma? en todos los rey nosy paracumplirldsdeberes con arregló' á las ór^ denaóaas cbncedrdas en el añó de 1478 pollos señores RevésD; Fernando 'y Doña Isabel.- . ... -• • HA u:u* :;o ¿i mu í;.;í &lt;*'; oJ.ryuLl. Éii,com¡&lt;ikr||cijQ^)';%'Íós njérítos distinguidos, dé( mariscal de campo Barórí de Eíoles eñ esta ód^ima gneirri^y á due-ha sido uno, denlos primeros :quq recibieron aí Réy nuestro Señqr á su relié entrada en…</t>
  </si>
  <si>
    <t>Isasaga, Joséf Bernardo de Tagle Portocarrero</t>
  </si>
  <si>
    <t>Joséf Bernardo de Tagle Portocarrero Isasaga</t>
  </si>
  <si>
    <t>…n que han férvido* y aptitud de cada uno para el indicado fin. Dios,guarde á V. muchos años. Madrid 31 de J&gt;iciembre de 1814. x S. M.' en atención á los. distinguidos servicios de D. Joséf Bernardo de Tagle Portocarrero Isasaga, marques ¡de Torre-T»gI©, coronel de losRealé* exércitosse ha dignado nombrarlo gobernador, é intendente *de la provincia delaPazemel vireynatodeBuenos-Ayres.í « -i.-ni :: - y?.v ; También se ha servido nombrar S. M. para el gobierno militar y política de la…</t>
  </si>
  <si>
    <t>Isi</t>
  </si>
  <si>
    <t>…nio Cidron , D. Santos Cremona, D. Josef Joaquín Ayestáiran, D. Vicente Ordoño, D. Raymundó de Unzaga, D. Manuel Arangu, d: Vicente Agreda , D. Manuel Jones, D. Joaquin Henriquez, D. Isi dro de Diego, D. Silverio López, D. Francisco de Oña, D.. Francisco Antdhio Líbref ; D. Joaquín MuezVD. Juan Ignacio*Cervera, D. Salvador Ce bollino, D. Ventura Córdoba, D.Í Patricio 5alanueva, D. Pedro de la Torre, D. Miguel Oliver, D. Pascual Menacho, D. Cá…</t>
  </si>
  <si>
    <t>Isla, Antonio Alonso</t>
  </si>
  <si>
    <t>Antonio Alonso Isla</t>
  </si>
  <si>
    <t>…n Taboada, del Provincial de Betanzos; O. Antonio García, del de Lugo; D. Francisco García, del de Orense; D. Josef Orus, D. Basilio Rubio, D Antonio Cermeño , D. Alon so Puebla y D. Antonio Alonso Isla, del de Voluntarios de León; D. Ma riano Alonso y D. Francisco Osorio, del Depósito general de Infantería; P. Alexandro Benisia, de la escuela militar de Santiago; D. Francisco Julia, de Cazadores Extrangeros, y D. Pablo Puente, del Real Cuerpo de Artillería:…</t>
  </si>
  <si>
    <t>Isla, Josef Joaquín de</t>
  </si>
  <si>
    <t>Josef Joaquín de Isla</t>
  </si>
  <si>
    <t>…zi para la de BurguIIios á D. Cristóbal GonzálezTrigüéros: parala de Sepúfe veda á D. Isidro Preciado: para la de Brihuega á Di Manuel González Gá- ' voso: para la de Valdeorras á D. Josef Joaquín de Isla: para la de Gcon á b. Vicente García Olalla; y para la «de Bailen á D. Félix Alonso y Calzas; y; ha confirmado 5. M. en la vara de Ollvencia á D. Pedro Josef Revira ; en ía de Rlaza y Riofrio á D. Manuel del Pozo, y eft la'dé Palacios de da; Bal* duerna 'á D.…</t>
  </si>
  <si>
    <t>Itíescas, Manuel</t>
  </si>
  <si>
    <t>Manuel Itíescas</t>
  </si>
  <si>
    <t>…pez de Rivas, es cribano de provincia y comisiones de la misma, se ha mandado celebrar junta ge neral á la presencia judicial de los acreedores é interesados á la testamentaría de Don Manuel Itíescas, vecino que fue de esta corte, señalando para ella el sábado 28 de Octubre próximo de este año á las ocho y media de la mañana en la posada del re ferido señor alcalde; mandando asimismo que para que llegue á noticia de los inte resados ausentes é ignorados s…</t>
  </si>
  <si>
    <t>Iturbe, Gabriel Manuel de</t>
  </si>
  <si>
    <t>Gabriel Manuel de Iturbe</t>
  </si>
  <si>
    <t>…pósito. Los accionistas que subscribieron y entregaron sus capitales en Améri ca, percibirán allí el repartimiento , baxo las formalidades referidas, ocur tiendo en Nuera-España i D. Gabriel Manuel de Iturbe, vecino de Méxi co; en el Perú á la factoría de la Real compañía en Lima; en Buenos-Ayres á D. Francisco Antonio de Letamendi, y en Manila á los factores de la compañía. A los accionistas de América que quisieren recibir su haber en España, se Ies rebaxará io…</t>
  </si>
  <si>
    <t>Iturralde, Josef Ignacio</t>
  </si>
  <si>
    <t>Josef Ignacio Iturralde</t>
  </si>
  <si>
    <t>…ral ; su intrépido sargento mayor el teniente coro nel D. Francisco Ánglada; los siempre animosos comandantes de guerrillas teniente coronel D. Mariano Venero, capitán de egército D. Josef Ignacio Iturralde, y su segundo el capitán graduado D. Baltasar García; y en suma nq hay individuo alguno que no se baya hecho acreedor al inestimable re nombre de alustres guerreros del egército del Rey. , ... „En el pn.ebío de Sicuani mandé juzgar y sentenciar en una junta m…</t>
  </si>
  <si>
    <t>Iturralde, Juan Domingo de</t>
  </si>
  <si>
    <t>Juan Domingo de Iturralde</t>
  </si>
  <si>
    <t>…y el 28 salió de Jalapa para México la correspondencia que condujo la fragata Sabi na para el virey de Nueva-Es paña, y llevó desde Veracruz la división dei brigadier Miyares. El coronel D. Juan Domingo de Iturralde, comandante general interino del Istmo de Panamá, comunica con fecha de 23 de Junio desde Patnamá al St. secretario del Despacho universal de la Guerra, que la división de tropas destinadas al Perú, al mando del brigadier D. Juan■ Manuel Peres-</t>
  </si>
  <si>
    <t>Iturralde, Julián de</t>
  </si>
  <si>
    <t>Julián de Iturralde</t>
  </si>
  <si>
    <t>…r postura á ellas acuda á la escri banía de número de D. Josef Antonio Canosa, que se admitirán las que hicieren den tro del término de 30 dias contados desde el 27 del pasado. El Sr. D. Julián de Iturralde, auditor de guerra de esta plaza y provincia, juez de la testamentaría y ocurrencia de .acreedores del Escoto. Sr. D. Manuel Fernan dez de Córdoba y Pimentel, duque que fue de Arion, teniendo presente el estado en que quedaron los autos al tiempo da la ocupac…</t>
  </si>
  <si>
    <t>Iturrigaray, Ignacio</t>
  </si>
  <si>
    <t>Ignacio Iturrigaray</t>
  </si>
  <si>
    <t>…Grados de tenientes á los alféreces D. Pedro Cataneó y Negro, D. Ig nacio Tejeiro y Lastra, D. Josef Quintero, D. Josef Garcés, D. Antonio Ferri, D. Manuel Moreno, D&gt; Josef Funes, D. Ignacio Iturrigaray, D. Fran cisco Martos,: D. Francisco G^rces, ,D. Gonzalo Lobo , D. Josef Araujo, p. Josef Rovirat, D. Antonio Sierra , D, Josef María Lauquer, D. Josef Dá^ viía, ,D&lt;Antonio Alvare^, D, Joaquín Asensio, D. Benito Ibañez, D. Anto nio Casbas j D. Francisco Botel…</t>
  </si>
  <si>
    <t>Izquierdo, Amgel</t>
  </si>
  <si>
    <t>Amgel Izquierdo</t>
  </si>
  <si>
    <t>…o de lá'ciudad de Cádiz de 9 de Diciembre del año próximo pasado se ha mandado ¿itar &lt;y emplazar á los herederos ó represen &lt; cualquieratantes de D. Pablo, Aivárez, D¿: O-Dpyer y* D. Amgel Izquierdo , y . í otros qué se consideren: interesados ó con algún derecho á los fondos realizados pop resultas de la yenta en Lima del.navio S. Pablo y otros efectos de su cspedicion, para que en el perentorio término de dos anosocurran. á formalizarlo, contihuíndolo…</t>
  </si>
  <si>
    <t>Izquierdo, Francisco</t>
  </si>
  <si>
    <t>Francisco Izquierdo</t>
  </si>
  <si>
    <t>…el beneficio préstamo de Castro, obispado de Jaén, que vacó por muerte de D. Juan de Entrena, para el de Escañuela, que lo está por la de D. Vicente Aizaa, el de Garciez por la de Don Francisco Izquierdo, el priorato rural de Castro por la de D. Alfonso Mu ñoz Palomares, y el beneficio servidero de Villanueva del Arzobispo, va cante también por fallecimiento de D. Francisco Félix Cameros, todos en la expresada diócesis de Jaén, á D. Francisco Zamora Fernandez…</t>
  </si>
  <si>
    <t>Izquierdo, Gervasio Fernandez</t>
  </si>
  <si>
    <t>Gervasio Fernandez Izquierdo</t>
  </si>
  <si>
    <t>…eral dé-OsstiíJa la Nueva de 15 del corriente mes de Julio sé cita , llama y emplaza á los acreedores y demas personas que puedan tener derecho á los bienes quedados por muerte de D. Gervasio Fernandez Izquierdo ^escribano de cámara que fue del Real y stopremb Consejo de la Guerra, que falleció abintestato en esta corte el dia 26 deAtmkde “este año, para que en el término de 30 días, que por tres se le señalan y el ultimo q&gt;erentorio,,acudan á deducirlo pt&gt;rf6Í óipor…</t>
  </si>
  <si>
    <t>Izquierdo, Joaquín</t>
  </si>
  <si>
    <t>Joaquín Izquierdo</t>
  </si>
  <si>
    <t>…obispado de Gerona, i I). Mariano. Martin Esperanza, vicario capitular y gobernador de la mitra de Cádiz; y para la canongía que obtiene en la catedral de dicha ciudad de .Cádiz á D. Joaquín Izquierdo, racioneroide la misma iglesia: para otra canougía, vacante en la iglesia metropolitana de Burgos por ascenso de Do» Ramón Adurriaga ai deanato de la catedral de Cuenca, á B. Joaquín Mi'guei de Salamanca: para otra canongía, vacante en la catedral de Osma por…</t>
  </si>
  <si>
    <t>…á’la iglesia y obispado de Gerona, á D. Mariano Martin Esperanza, vicario capitular y gobernador de ja mitra de Cádiz; y para la canongía en la catedral de dicha ciudad de Cádiz á Don Joaquín Izquierdo, racionero de la misma iglesia. Igualmente ha nombrado 5. M. para la dignidad de Camarero de la iglesia catedral de Tertosa á Don Josef Ramón López: é Ibarra: para el arcedianato de Borriol de la misma iglesia á D. Santiago Antonio Mendez; y para dos canongía…</t>
  </si>
  <si>
    <t>Ja</t>
  </si>
  <si>
    <t>…se ha servido el Rey nuestro Señor concederle honores de auditor del tribunal de la Rota de la Nunciatura apostólica. El ayuntamiento de la villa de Gaucin ha hecho al Rey nuestro Señor Ja oferta de 878672 rs. y 26 mrs. vn. que importan los suministros dados á las tropas durante la ultima guerra; y S. M., que ha visto con particular agrado esta prueba de patriotismo, se ha dignado adminr la oferta, mandan do que en su Real nombre se den las gra…</t>
  </si>
  <si>
    <t>Ja, Bernardo</t>
  </si>
  <si>
    <t>Bernardo Ja</t>
  </si>
  <si>
    <t>…spresada pensión de 300. ducados trans misibles por fallecimientp de la agraciada i sus dos bijas Doña Josefa y Doña, Joaquina ^niiéntrás nq tomen ^estado, y se hagan en favor del.D. Bernardo Ja&amp; mismas decláraciones jibqoríftcas que á.D* Josef González, ha tenido á biei» S.Méácceder^f esta pretensión en sü primera parte; mandando igualmente quq Cn la parroquia Qntniüm Sanctorum de Sevilla, donde D. Bernardo fue bau-, tizado, se ponga una jiápida que…</t>
  </si>
  <si>
    <t>Ja, María Concepción Fernandez de</t>
  </si>
  <si>
    <t>María Concepción Fernandez de Ja</t>
  </si>
  <si>
    <t>…entos. Los preten dientes que quieran obtener esta plaza dirigirán sus memoriales al alcalde de dicha villa D. León García hasta el 24 del corriente. Se desea saber el paradero de Doña María Concepción Fernandez de Ja; Cuesta y Gómez, ó alguno de sus parientes, que en el año de 1791 vivía en la calle del Burro, casa nueva de las monjas gerónimas. La persona que tuviere' alguna noticia acuda á D. Benito Cortazar, que vive Corredera de S. Pablo, casa del conde de Alcolea, pa…</t>
  </si>
  <si>
    <t>Ja, XjaurísjtÓn</t>
  </si>
  <si>
    <t>XjaurísjtÓn Ja</t>
  </si>
  <si>
    <t>…caballería, cuatro de in fantería y dos de artillería. Él mariscal duque de Ragusa mandará la caba llería, feirrntlríspal.duque de Reggio la, infantería ,, y el ¡teniente, general conde XjaurísjtÓn Ja^attiilería. Rícese también que en adelante se compondrá el egér cito de legiones departamentales , que solo estarán tres meses en servicio ac tivo, y que en cada legión habrá escuadrones de caballería'. S. M. ha encargado al ministro de la Guerra que manifies…</t>
  </si>
  <si>
    <t>Jablonowski</t>
  </si>
  <si>
    <t>…Neipperg para lurin; elbafon Steigcntesch para Copenha gue; el barón de Wessembargo para Munichj^el conde Bombelles para Stockoímo el barón Schauensteín para Cássel y Hannóyer; el príncipe Jablonowski para Sicilia, y el conde de Tautmansdorf para Saloma. Se ha circulado en esta ciudad Ja lista siguiente de las tropas que están marchando contra Francia. Rusos 22)$; austríacos 250©; prusianos ifó©; hannoverianos, ing'e;es, holandeses- y hessés$es 100©; saxon…</t>
  </si>
  <si>
    <t>Jacin</t>
  </si>
  <si>
    <t>…rret, D. DiecoVenegas, D. RamonTruHol, Don -Vicente jde "Lago y D; Josef Arn*r -y I&amp;ynaydX^Jüan Diaz' Maqueda,Don -Jdsef Losada y Ribera, j D. Simón Londoñb ,30. Luis Boisgroller, D. Jacin to Marcayda, D. Rufino Torrótitegui y D." Josef García Campero, D.* Pedro Montuel, D. Joaquín Moyua, D. Manuel Salaberria, &gt;D. Eugenio Vizcaíno, D. Félix Torrontegui, D. Luis de ios Riosy1Ü&gt;.: Vicente Sáavedrá, D. Migue! Montemayor, D. Martin Mendoza, D. Juli…</t>
  </si>
  <si>
    <t>Jacinto</t>
  </si>
  <si>
    <t>…astro, marques de Barrio Lucio, y coronel de caballería de los Reales exérciro:; D. Juan Amonio Barona y D. Josef León de Madrazb , montero de cámara de S. M.; regidores perpetuos D. Jacinto. Cilleruelo , D. Josef Rodrí guez Cermeño, D. Juan? Alonso de Prado, y D. Pío Rníz; diputados del común D. Manuel de Quevedo y D. Manuel Ignacio López; procuradores síndicos generales; El. Vicente de Mariscal y £&gt;.. Francisco Sanz Escolar, escribanos propieta…</t>
  </si>
  <si>
    <t>Jackson</t>
  </si>
  <si>
    <t>…s ayer de Jamayca dicen que á fin de Diciembre se había construido una batería de 30 cañones á una legua de la Nueva-Or— teans,- y quelél enemigo tenia 12© hombres mandados por el general Jackson. El 29 de Diciembre el general Lamben desembarcó dos regimientos que habían llegado de Inglaterra. — El 5 de Enero la artillería inglesa ba tía en brecha un fuerte que se debía escalar en la misma noche, y cuya to ma debía hacer dueño al almirante ingles de l…</t>
  </si>
  <si>
    <t>Jaco</t>
  </si>
  <si>
    <t>…despacho de la imprenta Real. Por el juzgado del Sr. D. León de la Cámara Cano, del consejo de S. M , pal mer teniente corregidor de/esta villa, y por la escribanía del número de D. Jaco— bo Manuel Manrique, en el dia 31 del pasado Marzo ha hecho D. Francisco Amé^ 11er, vecino y del comercio de esta villa, dimisión de sus bienes en favor de sus acreedores, señalando unos y otros en las relaciones que ha producido Ja que se ha admitido quanto…</t>
  </si>
  <si>
    <t>Jacob</t>
  </si>
  <si>
    <t>3*8 ro D. Jacob© Manuel Manrique, Fecha 10 del corriente, en cuyo juzgado y escri banía se halla radicado el juicio de abintestato del Excmo. Sr. D. Casimiro Luis Gonzaga Pignatelli, que fue conde de Fuentes, y falleció en las inmediaciones de la ciudad de Zaragoza á tiempo…</t>
  </si>
  <si>
    <t>Jácome, Francisco Luis</t>
  </si>
  <si>
    <t>Francisco Luis Jácome</t>
  </si>
  <si>
    <t>…io del Hoyo, D. Cristóbal ‘ Moreno, D. Antonio Mercádo, D. Manuel Castilla , D. Miguel Campanon,' D. Josef Patricio Castro, D. Ignacio Truyols, Ó. Josef Mateos, D. Ramón ‘Riotórt, D. Francisco Luis Jácome, D. Josef.Escovar;D.:Santos Leccea£ D. Bernardo Latorre, D. Joaquín de la Cámara, D; Josef HidalgoDon Tpmás Gutiérrez, D. Francisco de Paula Castro, D. Jorge Valderrábano, D. Josef María Palma, D. Marcos de Zeberio y D. Josef Antonio de S. Juan. ( Se continua…</t>
  </si>
  <si>
    <t>Jacquinot</t>
  </si>
  <si>
    <t>…e \ -i,,,.V El cuartel general del egército permanece todavía en Soissons. Ayer á las cinco de la tarde estaba distribuido en estos términos. La división de caballe ría ligera del general Jacquinot se hallaba on el arrabal: dé: Laon. &gt;1</t>
  </si>
  <si>
    <t>Jakson</t>
  </si>
  <si>
    <t>…l gene ral Prevost, de quitar la presidencia á nuestro primer magistrado. Nneva-Yorck 25 de Octu re. Los creeks no quieren, cumplir las condiciones del tratado que hicieron con el general Jakson, y se han declarado en guerra abierta, empezando sus operaciones con la destrucción de varios fuertes importantes. A conse cuencia de este procedímientp el general Gayncs, á nombre del gobierno de los Estados-Unidos, ha requerido al gobernador de Georgia para…</t>
  </si>
  <si>
    <t>Jalón, Baltasar</t>
  </si>
  <si>
    <t>Baltasar Jalón</t>
  </si>
  <si>
    <t>…spona,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t>
  </si>
  <si>
    <t>Jarainillo, Guillermo</t>
  </si>
  <si>
    <t>Guillermo Jarainillo</t>
  </si>
  <si>
    <t>…as se distinguid en sus galerías, y el que con mas ciego tesón se opuso siempre á los sobera nos derechos de S.M.-., y que fue la caírsa de que padeciesen una dura y larga prisión D. Guillermo Jarainillo y D. Francisco Mol le. El Rey nuestro Señor justo y piadoso siempre pasó al ministerio esta delación., y después de, haber seguido los primeros trámites que exige el orden legal de nacer buscar al que se suponía su autor, y de retener bajo fianza en la corte á Velasco,. dictó t…</t>
  </si>
  <si>
    <t>Jarretera, Jsác Heátdí</t>
  </si>
  <si>
    <t>Jsác Heátdí Jarretera</t>
  </si>
  <si>
    <t>…M.! el 1 f ¡dé Mayo á lasLi-2. de Ja mañana, sé presentó en elr-Real palacio la espresada comisión de lai muy Moble órden;, conquesta del JEfCmo. Sjp. D. Henrique Wellesley, del ; caballero Jsác Heátdí Jarretera y rey de armas de la muy noble orden, y . primer, reyj de tarmas de? ios &gt; ingleses, &lt;y del caballero Tomas de Tyrwhitt, géillilÍóiiÍbte.'^'lÜgtérl4erdlk. varia tu^grade dicha.muy noble orden ; y recibido eljawto derquediRYY nuestro ¡Señor*estaba; ya en su Re…</t>
  </si>
  <si>
    <t>Jaucourt</t>
  </si>
  <si>
    <t>nonviller, y de los señores Linch* la Roche Jacquelin, Vitrolles, Alexis dé Noailles» íootlrwiic dc laKochefbucáuld, Bocerrienno, Bellatt, abate Mon tesquiou y conde Jaucourt. Al mismo tiempo está muy ocupado en emplear todo género de artificios para persuadir al pueblo que los ingleses están in clinados á sancionar su usurpación. FRANCIA. Parts 1$ de Abril. Conclusión de ta Exposición del ministro de Relaciones exteriores duque d…</t>
  </si>
  <si>
    <t>Jaudenes, Vicente</t>
  </si>
  <si>
    <t>Vicente Jaudenes</t>
  </si>
  <si>
    <t>…os Ma nuel Molina , Josef Morales; Nicolás Molina y Cristóbal Quesada por obras que'presentaron trabajadas con toda perfección. A este acto habia precedido un discurso que leyó el Sr. D. Vicente Jaudenes, caballero de la Real y distinguida orden de Carlos 111, intendente ge neral de esta provincia, y segundo director de este ilustre cuerpo, anuncian do el objeto de aquella augusta ceremonia á las autoridades civiles , militares y eclesiásticas, corporaciones,…</t>
  </si>
  <si>
    <t>Jáuregui, Ignacio</t>
  </si>
  <si>
    <t>Ignacio Jáuregui</t>
  </si>
  <si>
    <t>…oviembre. El dia 13 de Noviembre tuvo la honra de ser admitida á cumplimentar al Rey nuestro Señor y besar su Real mano la diputación de Valenzuela, reino de Córdoba, compuesta de D. Ignacio Jáuregui, primer médico te cámara de S. M., D. Vicente Martínez, segundo médico ae cámara de S. M. de continua servidumbre, y D.Josef Alvemosa, médico de los Reales egércitos de S. M.; el último de los cuales arengó á S. M. en los términos siguien tes: „ Señor: El tem…</t>
  </si>
  <si>
    <t>Jáuregui, Ignacio de</t>
  </si>
  <si>
    <t>Ignacio de Jáuregui</t>
  </si>
  <si>
    <t>…os afectos de admiración y gozo que les causaba la vista de su amado Monarca en una actitud que tanto en noblece á las grandes almas. Ocupado por S. M. el asiento correspondiente» D. Ignacio de Jáuregui, su primer medico y director del establecimiento, di jo *una ¿sucinta arenga, acomodada de pronto á las circunstancias; y en se guida pronunció el catedrático mas antiguo D. Hilario Torres , médico de cá mara ae número de S. M., una oración inaugural en idiom…</t>
  </si>
  <si>
    <t>…sísimo el concurso tanto de nacionales como de extrangeros. En la apertura del Real estudio de Medicina práctica, que se celebró á presencia de S. M. el dia 3'del corriente, dijo D. Ignacio de Jáuregui, direcrdr dé aqui^l eStablecimíertto; la siguiente arenga t -'' - - í: ! ¡ P Señorn sse-rá* memorable*por muehosr motivos en ios fastos de -Id fmédiCtna española el dia de hoy, en que nos vemos reunidos;én-préseUcia-dé-nuéstro ainado Soberano para principiar…</t>
  </si>
  <si>
    <t>Jáúregüi, María Vicénta</t>
  </si>
  <si>
    <t>María Vicénta Jáúregüi</t>
  </si>
  <si>
    <t>…oveer el 8.de Diciembre próximo. Se desea saber de D. Antonio de la Fuente, mercader de lienzos, que vivió en la callé de Postas frente aja callejuela de S. Cristóbal; de su muger Doña María Vicénta Jáúregüi, ¡y de su hijo D. León. Cualquiera de ellos ó sus legítimos here deros .se servirán alisar de su existencia y paradero á D.1 Pedro Pablo Tettámanzy, Vecino y del comercio de lá Coruñá/ quien tiene asuntos interesantes que comuni carles. . • ■ ;' !1 La persona…</t>
  </si>
  <si>
    <t>JavaIquinto, Eugenio</t>
  </si>
  <si>
    <t>Eugenio JavaIquinto</t>
  </si>
  <si>
    <t>…de.Qropesa á D. Josef Vilella y Pastor:para la déla Puebla de Sanabria á D Manuel Ibiza y Heredero: para la de Benavente á D. Josef García Timarte: para la de Hinójosa del Duque á D. Eugenio JavaIquinto; para la de Calahorra en Granada á D. Miguel de Lerin Braca monte: para el corregimiento de Reynosa á D. Josef Hervás: para la vara de Ubrique á, D. Julián Ruiz Marín: para la de Oiiva á D. Josef Fernandez Villamil: pa- , ra la ce Villafranca del Vierzo á D.…</t>
  </si>
  <si>
    <t>Javier, Francisco</t>
  </si>
  <si>
    <t>Francisco Javier</t>
  </si>
  <si>
    <t>…supiére de él se servirá avisarlo á sus hermanos D.. Vea- ■&lt; tura. Díaz de Soto en Astorga / ó á D. Isidoro Díaz de Soto en la Corufia^ , 1 Ls1 persona que Supiere del paradero de D. Francisco Javier de v Rt hiera, ó .en su defecto de su muger Doña Ines de Ovarrio.y Tegeiro , se servirá avisarlo en li Coruña á D. Manuel Ortiz de Urrutia. ■ Tratado de las enfermedades verminosas, ó accidentes que causan las .lombrices en la clase de animales domésticos, co…</t>
  </si>
  <si>
    <t>JavierMartinez, Francisco</t>
  </si>
  <si>
    <t>Francisco JavierMartinez</t>
  </si>
  <si>
    <t>…s terceros á los cuantos D.: Juan de Hazas,rD. Bernar-* dino Fernandez ,D. Joaquín Manuel de Teva, D./ Francisco Cándido de Ote-* jpo , D. Juan Higinio Qyiatanilla, D. Juan Yarda, D. Francisco JavierMartinez, D. Josef M^na Blanco y í). Fulgencio Aicaraz; .: . 1 / Ascenso á oficiales quartos ¿ los quintos D. Josef de Torres Gal vez/ D. Clemente Román y Lobo, D. Antonio de Entrena y Mosquera, D. Jo sef Rodríguez, P. Clemente Losada, D. Josef María Pantoga ,‘D. Matí…</t>
  </si>
  <si>
    <t>Jayme</t>
  </si>
  <si>
    <t>…arará el perjuicio que haya lugar.— Asimismo resulta de una lista que obra en dicho expediente que el referido D. Bonifacio Doz ha reclamado en el concepto de heredero de su padre D. Jayme 49 vales Reales y ir mas i su nombre de las creaciones y números que i continuación se expresan, y siete recibos de intereses, que también se especifican, los cuales fueron dirigidos en Octubre de 1809 de dicha ciudad de Tarazoaa á Ja intendencia de Zaragoza…</t>
  </si>
  <si>
    <t>Jayr</t>
  </si>
  <si>
    <t>…, 20776, 20935 , 22806 Y 22909. —De 309 pesos creación de i.°, de .Setiembre de 1807 á nombre de D. Bonifacio Doz: 63835 y 66125.— De 150 pesos de x.° de Enero de 1808 á nombre de D. Jayr me Doz: 230590, 237784; 241631, 250258, 250400, 250575, 253643, 2559o2» 2559°3 y 255904.—Nueve vales de 150 pesos de i.° de Entro de 1808 á nombre de D. Bonifacio Doz: 255905, 255906, 285674, 285883, 391652, 291903 , 292069, 298236 y 338335. — 17 vales de 600…</t>
  </si>
  <si>
    <t>JBíanchi</t>
  </si>
  <si>
    <t>…LIA. Liorna jo de Junto. Ayer lleco á este puerto una escuadra con 8© austríacos y hoy han des embarcado. Se está aguardando por momentos al comandante en gefe dé es tas tropas el general JBíanchi. ALEMANIA. - Carlsruhe u de Julio. „ .. ,_T Un correo ruso que pasó ayer tarde por Manlieim aseguró haber habido el día 7 entre el Príncipe Wrede y Soult, en el territorio entre Chalons y Ñanci, una gran batalla, en la que habiendo sido enteramente destruidos…</t>
  </si>
  <si>
    <t>Jbífef, GónZalcP</t>
  </si>
  <si>
    <t>GónZalcP Jbífef</t>
  </si>
  <si>
    <t>…ula. Por la qual ós toando* á todos í y * á Ca-^ da uno de vos en vuestros lugares, dislfritósV/Jurisdicciones veáis da exptey sada mi’ (Real fefóllición' y dombramiento heeho’én *D. GónZalcP Jbífef dé Vilches de Subdelegado del rá'módelí pápél sellado ,'dón la játiídicemn*^ todas las facultades necesarias y convenientes á: su desempeño, siendo mi voluntad se cumplan las ordenes que diere al propositó á quálquiera Ofici na ó persona á quien Jas coman ¡ca…</t>
  </si>
  <si>
    <t>JBircelÓ, Rafael</t>
  </si>
  <si>
    <t>Rafael JBircelÓ</t>
  </si>
  <si>
    <t>…'Moya, fcseribáno de provincia y‘comisiones, se eirá, llama y emplaza á todos los que se crean ser;aereedbres á ips^briéfté^qüc han quedado por dicho fai iceirniettterdel reíérido D. Rafael JBircelÓ/vecino que fue de esta villa,</t>
  </si>
  <si>
    <t>JBjrtolomé</t>
  </si>
  <si>
    <t>…naturaleza f ¡verdadero método de curación de Jas enfermedades sifilíticas: por F. Swedíaur i traducido.’de la última edición francesa ,que fue la quinta con notas y adiciones por D. JBjrtolomé_,Golo— mar: 3 tomos en 8.° á 54 rs. en rústica ^60 en pasta. —Tratado y nuevo método curativo .de las enfermedades gotosas y reumáticas: por el célebre P. J.-Bartbez, compendiado al castellano por su discípulo D. Cristóbal Tomas: un torno en 8.** á i 2 rs. en…</t>
  </si>
  <si>
    <t>JD</t>
  </si>
  <si>
    <t>…y,en su despachó dé libros ¿ calle ancha dé Majad critos/num. 6 y 7oermon, que por el teuz arribo a su destino, y buen éxito en el objeto de la «pedición á América mandada por el general JD. Pablo Morillo, predicó en Caceres D. Toinas Martínez del ílortíil, presbítero/enj la fpncíon de rogativa que costeó la devoción de dos 'caballeros, ,&lt;le jqupíla ciudad , cüya piedad loable destina el p.roduato de este papel en beneficio de los niños espósito…</t>
  </si>
  <si>
    <t>…os &gt;que i su instigación^ se bao empañado én -hacerme por los costados y espalda a unj¡tiempo: la - más tenaz y despechada guerra, y dár lagarta la vuelta tanto de la división del general JD. Juan Ramírez, como de otra de 300 hombres del segundo regimiento, que al mando de su sargento mayor D. Francisco Javier de Aguilera tuve queenviár en auxilio de la.-Piata ibmmentemente amenazadasegún los apuradps oficios-deisa Presidente y audrenday por los…</t>
  </si>
  <si>
    <t>JDorda, Juan</t>
  </si>
  <si>
    <t>Juan JDorda</t>
  </si>
  <si>
    <t>…or D. J. Y. Sagrista y Soler ¿ favor de los mismos: 14418b, endcsádB'en 25 de Octubre último por D. Vicente Marques á los dichos señores: 174948 , endosado en dicho dia último por D. Juan JDorda á favor de los dichos señores; y 185643 . endosado en 13 de Setiembre último por los Sres. Mallen¿ Salvoi y compañía á los mismos. Y no habiéndolos recibido los indicados Sres. Arxer é hijos, duplican á los sugetos-qué tengan notíéia de ellos se sirvan de ten…</t>
  </si>
  <si>
    <t>Je</t>
  </si>
  <si>
    <t>…nsión de 4© rs. que S. M. se sirvió concederle sobre las mitras de la penínsulas para otra canongía de la misma iglesia, que vacó por muerte de D. Fran cisco Fernandez Mantilla, á D. Je sef Manuel Erroz, con dimisión del bene ficio curado que obtiene en la villa de Obanos, diócesis de Pamplona r y re tención de la capellanía de altar que sirve en dicha Real capilla: para otra de la iglesia catedral de Jaén, vacante por fallecimiento de D. Fr…</t>
  </si>
  <si>
    <t>Jenkinson</t>
  </si>
  <si>
    <t>…Walmoaen.lo habia arrojado también de Selz. El 26 habia pasado el Ar chiduque Fernando el Rhin por Basilea. Al general Rapp se le suponía en-, cerrado en Strasburgo. El 5.0 es del coronel Jenkinson al lord Stewart con fecha 2$ de Junio participándole la retirada del general Rapp á Strasburgo con ti® hombres, con los que se presumía intentaba reunirse á Suchet- en Besanzon., Rapp hizdt saber al Príncipe de Wurtemberg la abdicación de Bonaparte en» f^vor…</t>
  </si>
  <si>
    <t>Jesucristo</t>
  </si>
  <si>
    <t>…o. El £ del corriente se celebraron en la capiila Paolina, baxo la invoca ción del apóstol S. Pablo del palacio Quirinal, las primeras vísperas solem nes de la Epifanía de nuestro Señor Jesucristo, cuyo cántico fue entonado por el soberano Pontíñce Pió vil. Asistieron á la misma celebración del ofi cio divino 16 cardenales y otros muchos personages respetables. El i.° de este mes profesaron en la iglesia de la Compañía de Jesús, on su grado respectivo,…</t>
  </si>
  <si>
    <t>…es; añadidas en esta quinta impresión oracio nes para la confes ionyeomunion, ejercicio para visitar los sagrarios jueyes y vier nes santo con meditaciones de la pasión de nuestro Señor Jesucristo. Están conce didos 8o dias de indulgencia á los que leyeren en este libro: tin tomo en ia.° z=z Escarmiento‘del alma , y guia á la untoñ cónDios: por el M. R. P. Mtro. Fr. Ge rónimo dé Morales: un .tomó en r 2.°:=: Centinela contra francmasones: discurso sobr…</t>
  </si>
  <si>
    <t>…uen papel y letra á 9 rs. en pasta. Se hallará en ia librería de Baylo, calle de las Carretas. Plano de la ciudad de Jerusalen y sus inmediaciones como estaba en tiempo de nuestro Señor Jesucristo, en el que se ven los lugares y edificios de que hace men ción la sagrada Escritura, y en que obró el Señor los principales misterios de nues tra religión, señalados con 270 números correspondientes á su explicación, que es un tomo en 8.°, el qual contiene la…</t>
  </si>
  <si>
    <t>…nto para el lunes; oficio á Sta. Ana para el martes; oficio á S. Josef para el miércoles; oficio al Santísimo Sa cramento para el jueves; oficio á la Sta. Cruz y pasión de nuestro Señor Jesucristo para el viernes; oficio á la Virgen de la Concepción para el sábado, y una depreca ción ó corto oficio para las ánimas de nuestros difuntos. Contiene ocho estampas fi nas colocadas al frente de cada uno de los oficios del día, alusivas al misterio que trata:…</t>
  </si>
  <si>
    <t>Jf</t>
  </si>
  <si>
    <t>…. Miguel Mar** tm dé lá Fuente, á D. Bruno Conde, Él Rey nuestro Señor se ha servido , á consulta de la Cámara, repone* en las plazas que sirvieron en la chancillería de Giánada á D. Jf aqjuín Lo renzo Mozo y IX Antonio de la Parra; y en atención ál mérito y a las pruebas que han dado de lealtad y patriotismo, baxo la dominación de íoS franceses, hasta que lograron evadir su yugo, no sin riesgo de perder la vi da, y teniendo en consideración…</t>
  </si>
  <si>
    <t>Jfcsejf</t>
  </si>
  <si>
    <t>Dr. Frahclseo Naranjo; efdé capitán á los ténieñtés ti. Slariuef Ñmáñjó, tion Josef Reus y IX Miguel Ricarte; el de tenienté al subtenienté D. Jfcsejf tiiásÉ Capilla ¿ y al sargento primero con grado de subtéiiiérité D. ^icétfté BéjárJ éldesubteniénte á tós cadetes D. Josef Bejar y Dt Férnahdo Moya^p/yídél Rey, y los sargentos primeros D. AntonioOrtiz y D. Teaquin Sánchez; no incluyéndose al subteniente D.…</t>
  </si>
  <si>
    <t>Jiabanesjff</t>
  </si>
  <si>
    <t>…a los partidarios que en ellos se han refugiado, y de lps cuales tres gefes, que son Brice, Virioí y Wolf interceptan y hosti lizan los convoyes. Se espera que, llegue en breve el general Jiabanesjff con f30© hombres para cubrir la retaguardia, y asegurar la comunicación del egército grande. Luego que llegue el teniente general Essen se encargará del bloqueo de Metz. , Idem i$. El general ruso Alopeus ha publicado úna proclama haciendo saber que hallándos…</t>
  </si>
  <si>
    <t>JiinGp, Manuel Mtma</t>
  </si>
  <si>
    <t>Manuel Mtma JiinGp</t>
  </si>
  <si>
    <t>…próximo pasado con.el Escmo. Sr. duque presidente del consejó .supremo de Castilla, y los Sres. ministros D. Ignacio Martínez de Villela, que lo es de dicho tribunal de; Castilla, D. Manuel Mtma JiinGp^dg|Ljje Indias, I). Diego I&lt;ope¿ , y Pedro Nicolás 4el rV^^e&gt; ;delxte Ha¿jehdá¿ Ib^éf5eynúnctá.-át-pribljcb,:pám.'que las; señoras yiudas. comprendi das ,eri éf, y cuantos tengan derecho al monte acudan, como lo jbacian. antes del año &lt;Je í 808, por dicha sec…</t>
  </si>
  <si>
    <t>Jíugent</t>
  </si>
  <si>
    <t>…aumentan nuestras coji^qtif^r^uas allá de l81 j. ss Bianchi y comandante del segundo cue^po-del 0e^refcp o t&gt; í ! íí*í ¿i.. &gt;* ....... &gt;.v editan ¥} eteMa$W',? ! nhí^Ijuegoique el general Jíugent, llegó, ,á,Rpn&amp; $bdj*; 42dfj .corriente tomó Inmediatamente las providencias mas .activa 'projggíf Ipt .seguridad pú blica, que se hallaba amcnajzadaj poríd?^ desertores del egercito napolitano que inféstáb?mr la .caiqpjña'. ¡siguiente^ de su lle gada publicó…</t>
  </si>
  <si>
    <t>JJufont</t>
  </si>
  <si>
    <t>…á favor del honor del cetro de V. M.,de la felicidad de la patria, y de los deberes que corresponden al ijpyo? de Nieves. ^Senpr de V. M. el mas humilde y obediente vasa llo = El conde JJufont. = Orieans 15 de Marzo de 1815 Idem j 8r• .i.....:,/.”.'" EL prefecto de Leop se ha presentado esta noche á S. M. para darle parte de que aquella ciudad había vuelto otra vez g su dominio, y que por todas partes campeaba la escarapela blanca. * . £1^7 acaba d…</t>
  </si>
  <si>
    <t>Jo</t>
  </si>
  <si>
    <t>…o Apellan!?, oidor de la, chan-, ciMéría dé Váíladolid: para el dé Guipúzcoa á D. Ramón Macla de Lieoart: para el de Paradas á D. Francisco Antonio Rodríguez: para el de Alacete á D. Jo .quin de la Escalera Benedicto: para el ae Toledo á D. MaE nuel Ortiz de^Pinedo:para él de Jaén á D. Rafael Amat y Sala: para el de Iniesta y VUlanuevade la Xará á D. Francisco del Castillo Valero: para el de Huete á I). Rafael Abreu:para el de Palencia á D j…</t>
  </si>
  <si>
    <t>…Montijo: para la de Medinasidonia á D. Leo nardo Talens de la Riva: para la de Berlanga á D. Josef Codina y Gómez: para la de Cuellar á D. Gaspar Antero Rochel: para la de Luque á D. Jo sef Carrillo; y para el corregimiento de la Puebla de Alcocer á D. Rafael Mogollon y Negrillo. El Rey ha tenido á bien prorogar hasta el dia 8 de Abril próximo la apertura del concurso 'para la plaza de ayudante del Real estudio de mi neralogía de esta corte.…</t>
  </si>
  <si>
    <t>…rcía, subteniente entonces del batallón de vo luntarios de Avila, D. Félix Frías, D. Zacarías Ruiz Malo, D. Bernardo Hernández, de los batallones de voluntarios de Ciudad Rodrigo, D. Jo sef Serrano, alférez de caballería, y D. Manuel De pis, subteniente de in válidos: de subteniente á los sargentos primeros del Real cuerpo de Artille ría D. Vicente Zaragoza, D* Manuel Sánchez y D. Manuel Sarasa : al de Zapadores D. Manuel Calleja; á los del…</t>
  </si>
  <si>
    <t>…tínez, del de Voluntarios de León; D. Raymundo Provedo, D. Cipriano Alvarez, D. Mariano López y D. Andrés Garrido,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t>
  </si>
  <si>
    <t>…coroneles D. Juan Nepomucerio de ©árdenas, gobernador político y militar del presidio de S Felipe de Bacalar; t). Ignacio Caro ,*comandanté ael castillo de A'¿arefc en la Havana; D. Jo sef Sallent, teniente coronel comandante del batallón de voluntarios de Ma?-. drid , que esistia en Montevideo , D. Francisco Collell , comandante del ter cer batallón del regimiento infantería de la Luisiana, y' I).‘ Felipe Andráde, capitán de dragones d¡e A…</t>
  </si>
  <si>
    <t>…sef M^na Blanco y í). Fulgencio Aicaraz; .: . 1 / Ascenso á oficiales quartos ¿ los quintos D. Josef de Torres Gal vez/ D. Clemente Román y Lobo, D. Antonio de Entrena y Mosquera, D. Jo sef Rodríguez, P. Clemente Losada, D. Josef María Pantoga ,‘D. Matías Ova-, lie, D. Juan Martínez Pozuelo y D. Fulgencio Albacete. Ascenso ¿ oficiales quintos i los meritorios D. Josef Velez Cabo, Doñ Antonio de Casas, D., Josef Valero i D_ Anastasio Ruperto…</t>
  </si>
  <si>
    <t>…Herrera, D. Josef del Calvo, D. Manuel Bar rientes; D. Juan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 D. Francisco Alameda, D..…</t>
  </si>
  <si>
    <t>…de la Fuente en la propia cate dral á D. Josef Antonio Díaz Pallarás, canónigo de la colegiata de Iría Flavia. = La canongía vacante en la iglesia catedral de Gerona por muerte de D. Jo sef Viñas á D. Pedro Toroneíl, capellán párroco del fuerte del Condestable en dicha ciudad: otra canongía de la misma iglesia , vacante por muerte de D. Juan Manegat, á D. Domingo Cassiot, director del hospicio de la espresada ciudad de Gerona: otra canongía…</t>
  </si>
  <si>
    <t>…or fallecimiento de D. Josef Pujante á D. Josef Vivas de Aragón , canónigo de la catedral de Astorgá. =La canon gía de la catedral de Astorga, que resulta vacante por promoción de D. Jo sef Vivas de Aragón á otra de la de Orihuela, á O. Manuel Carro, diácono, subteniente del regimiento infantería de Guadalajara. = La canongía vacante en la catedral de Coria por muerte de D. Sebastian Pineros Albarran á Don Ildefonso Gómez Calama, cura rector…</t>
  </si>
  <si>
    <t>…za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Rafael Solano, Di Josef; Majríaí Prieto , Q¿ Fráncisco Cervera &gt; D. Francisco , Cascos, D. Juan Tejadár, DvBasilioBayoni, D.Joa…</t>
  </si>
  <si>
    <t>Jo, Antonio</t>
  </si>
  <si>
    <t>Antonio Jo</t>
  </si>
  <si>
    <t>…la vara de alcalde mayor de Málaga á D. Vicen te de Tormo y Pont: para la de la Isla de León , de tercera ó superior clase, á D. Ignacio Yañez Rivadeneyra; y para la de Badajoz á D. Antonio Jo sef Galindo: y últimamente se ha servido S. M. reponer á D. Autoría Pier nas en el corregimiento de Montilla para que le sírva por seis años: á Don Josef Pascual Bayot para que continué sirviendo por otros seis la vara de alcalde maypr de la villa de Espejo ;…</t>
  </si>
  <si>
    <t>Jo, Juan</t>
  </si>
  <si>
    <t>Juan Jo</t>
  </si>
  <si>
    <t>…ncia un vale Real de goo pesos, creación de Mayo, señalado con el número 443014, se cita, llama y emplaza á to dos los sugetos comprendidos en los endosos del mismo vale, que son: D. Juan Jo* aef/Moreno; D. Antonio Josef García; D. Ricardo del Pilar; D. Josef Caree, h¡jó j compañía ;'D. Pedro Fermín Hernaez; D. Josef Félix Gómez; D* Diego Gas* támbide; D. Jícóbo Gattens, de Sevilla; D. Rafael de Góngora y Delgado; Do* Ignacio Casal ; D. Andrés Ma…</t>
  </si>
  <si>
    <t>Jo, Pascual</t>
  </si>
  <si>
    <t>Pascual Jo</t>
  </si>
  <si>
    <t>…jo y compañía, Jane, Orbegozo y Castañares, D. Josef de Irunciaga, D. Francisco de Lemonauría, D. Benito Felipe de Gainmde, D. Josef Domingo de Aguirre, D, Mariano Perez 4e;Nemn,, D. Pascual Jo^efde Ardanáz, D. Diego Macmahon, Goossens e mjo, D. ManuelMa* Íía de Aldecóa , D. Antonio Juap de Viidosola, D. Cirilo Perez de Necio* D. Francisco de Lemonauría hijo y D. Juan Laurencio. A fin de que este establecimiento inspire al público toda la confianza…</t>
  </si>
  <si>
    <t>Jo-</t>
  </si>
  <si>
    <t>…muchos años. Madrid 17 de Marzo de 1815. El Rey se ha servido nombrar á D. Manuel de Torres Cónsul, fiscal dél C^n.ejo Real, para plaza del mismo tribunal, y para esta fiscalía á D. Jo-</t>
  </si>
  <si>
    <t>…te por muerte de D. Josef Monedero»i D. Ignacio Fernandez Fuentes. = La abadía que ha vacado en la iglesia colé-' gial dé Jerez de la Frontera por muerte de D. Diego Gómez Recio á D. Jo-1 sef María Alvarez de Palma, canónigo de la misma iglesia; y esta resulta á D. Mañud López Pizano.rrLa dignidad de tesorero de la colegiata de Rázaf vacante por fallecimiento de D, Antonio Mancebo, á D. Juan Antonio Ruiz de Mendoza, canónigo de la propia igle…</t>
  </si>
  <si>
    <t>Jo-, Ventura</t>
  </si>
  <si>
    <t>Ventura Jo-</t>
  </si>
  <si>
    <t>…tull á D. Victoriano Sánchez, cura pár-* róco de los Carabancheles, én el arzobispado de Toledo. = El arcedianato de Alpuente , en ía Catedral de Segorve, vacante por promoción de D. Ventura Jo-" sef Masmirja al dé Llobregat ; á D. Juan Pablo Óonstans, canónigo de Urgel. =Una de las tres canongías que hay vacantes én la iglesia metropolitana de! Tarragona á D. Josef Cañellas y Prats , deán de la villa de Montblanch y sií partido., en la propia dióces…</t>
  </si>
  <si>
    <t>Joa</t>
  </si>
  <si>
    <t>rador francés. En el glorioso día iS de Octubre se decidió la caída del im perio francés; el Rey volvió á sus dominios, é inmediatamente el rey Joa quín renovó la negociación que se había interrumpido, relativa á accederá la alianza europea. Hizo avanzar su exército, y propuso al Austria lá par tición de Italia, debiendo el Po formarlos límites de los dos estados: cor rieron algunos meses en continuas ne…</t>
  </si>
  <si>
    <t>…cura rector del lugar de Valdefuentes. = La cauongía que ha resultado vacante en la catedral de Tuy por promoción de D. Juan Cárlos Vales Baamonde á la metropolitana de Santiago á D. Joa quín de Arévalo.= La canongía que ha vacado en la catedral de Orense por traslación de D. Matías González á la de Ségovia á D. Domingo Rodríguez. = El medio préstamo de Marchámalo, en la diócesis de Toledo, vacante por promoción de D. Vicente de Vega y Castil…</t>
  </si>
  <si>
    <t>…o María Fernandez ,B. Garlos LanzaroteyDofli Miguel Sánchez Barriga, D. Antonio G o va otes, D. Antonio Saliquet,Don Joaquín Escamez, D. Josef García Aparicio, D. Domingo Orejón * D. Joa** quin Casasola, D. F rancisco Javier de Cia, D¿ Manuel de' la Cruz;, .Di Cárlos Viü&amp;padierna^ D- Bernabé Arjranz^ D* Juair derMetidie^í.1^. Aatóriioíde Castro y Tovar, D. Josef 01mo,D. Juan de Arcos ,D.Pedro Recaudo!,pon Miguel Rabe, D. Antonio Josef Royo ,…</t>
  </si>
  <si>
    <t>…cedió á la .adjudicación de premios en la forma siguente: el i.° á D. Fernando Arranz de la Torre: el 2.° á D. Juan Fíepomuceno Magan: el 3.0 á D. Pascual Asensio; y el accessit 2 D. Joa quín Amor. . •; .'i-:.,--La sociedad tuvo la mayor Satisfacción en que los señores asistentes hi ciesen á los opositores varias preguntas , y que estos escribiesen en el encerado cuantas cuestiones tuvieron, á bien proponerles, dando las convenientes es pirac…</t>
  </si>
  <si>
    <t>Joa, Josef</t>
  </si>
  <si>
    <t>Josef Joa</t>
  </si>
  <si>
    <t>…allos, he determinado que se forme una junta, compuesta del presidente de mi Consejo Real el duque del Infantado, y de los consejeros del propio Consejo y de la Cámara de Castilla D. Josef Joa quín Colon de Larreategui y el conde del Pinar, y que por ella se me pro pongan todos los medios conducentes para que con la mayor brevedad posi ble se lleve á efecto dicho mi Real decreto. Y por quanto en esta disposición es mi voluntad que los referidos est…</t>
  </si>
  <si>
    <t>Joa-</t>
  </si>
  <si>
    <t>…Los'ingleses y ¡os austríacos le echan en?cara ai rey Joaquín que tiene el corazón francés, y que es muy adicto á Y. Mv: los revoltosos que mandan ahora en Florencia dicen que el rey Joa-. quin está de inteligencia con los franceses , y que engaña á los italianos.? ,t . „ Atribuyen á mis consejos la inacción de* las tropas napolitanas, que Iqs[) aliados hubieran querido ver-marchar contra el vi rey al momento en r que iba; á ser acometido por…</t>
  </si>
  <si>
    <t>Joaqífin</t>
  </si>
  <si>
    <t>…e, y que era de mucha importancia en lo político. Pero la modera ción y la buena fe son meras palabras á ios ojos de ios príncipes de la nueva dinastía francesa. ,,Sin embargo, el rey Joaqífin en vez de pensar en su propia conser vación, formó ocultamente extensos proyectos para lo futuro, y empleó todos los elementos de una revolución militar y política. Todos sas planes y movimientos no pudieron ocultarse al gabinete austríaco; y á la verdad no e…</t>
  </si>
  <si>
    <t>Joaquin</t>
  </si>
  <si>
    <t>…los socios al desempeño de tan nobles encargos.; - óv-• ** brú : En seguida se presentaron al exámen de matemáticas ciiico jóvenCs Juan Antonio Maestre, D. Manuel María González, *D. Joaquin? Pérez Seoane y D. Ricardo Perez Nogueyra de primer año, y D. Francisco Ma-? ría Urierte de segundo, quienes fueron interrogados respectivamente á dis creción de los&gt;frcunstantes, los quatro primeros en los ramos de aritmética, álgebra, geometría y trigonomet…</t>
  </si>
  <si>
    <t>Joaquín</t>
  </si>
  <si>
    <t>…desea saber el paradero de D. Joaqoin Marti y Sanseverino, oficial del re gimiento de Zapadores, que fue hecho prisionero en el ataque de 'Zaragoza. Quién tuviere noticia de dicho D. Joaquín se servirá comunicárselo en Valencia á su her-’ mana Doña Teresa Marti y Sanseverino,, calle de la Linterna; numeró’ 38, y ea Madrid en la librería de Perez, calle de las Carretas. - ’ . En la villa de Puente la Reyna, que consta de 600 vecino»’, en el reynb…</t>
  </si>
  <si>
    <t>…meros del Real cuerpo de Artille ría D. Vicente Zaragoza, D* Manuel Sánchez y D. Manuel Sarasa : al de Zapadores D. Manuel Calleja; á los del regimiento de infantería de Mallor ca D. Joaquín. Canseco, D. Patricio Fernandez, D. Josef Rodríguez de</t>
  </si>
  <si>
    <t>…ue fue deí del alto Perú: D. Jósef Vázquez Figúeroa, ministro que fue de Marina: D. Juan María Villavicencioj teniente genéfál de marina , y ministro del consejo del Almirantazgo: D. Joaquín de la Pezuelá,-mariscal de campo de los Reales éxércitos, y general en gefe del dél alto Perú:’D. Josef de lá Cruz, maris cal de campo de los Reales éxércitos, y comandante general del nuevo reyno de Galicia; y marques de Feria, gentilhombre de cámara de S. M…</t>
  </si>
  <si>
    <t>…ertos pliegos qne cayeron en manos de los aliados no dexa ron duda de qué Murát tenia ciertas conexiones con el enemigo; Por fin las victorias conseguidas en Francia decidieron al rey Joaquín ; y luego que París fue ocupada por los aliados, el exército napolitano principió su campaña. El convenio de n de Abril de 1814 terminó la guerra contra Na poleón; las negociaciones de París ñxaren las relaciones recíprocas entre Francja y sus últimos enemigo…</t>
  </si>
  <si>
    <t>…fuerzo de tropas á sus dominios de. Italia en auxldb de esta declaración: por parte.de Francia se contento á e«!Ia con la seguridad de que el Rey tío tenia semejante intención. El rey Joaquín no con testó, porque sin duda nó había .llegado aun el tiempo de descubrir sus miras» , - .y, v ...r. v ... .. „E1 f dé Marzo llegaron á Ñapóles las noticias dé ía fuga de Nápoleoir, ~¿ inmediatamente envió á llamar'eTRey ai etnbaxadof de S. M. I., y le decla…</t>
  </si>
  <si>
    <t>…áche un OQjrjteQ á'este Principe y me volví á Luca5 en donde estoy mas seguro ’que en Pratoy.qiie está en estado de insurrección. Los'ingleses y ¡os austríacos le echan en?cara ai rey Joaquín que tiene el corazón francés, y que es muy adicto á Y. Mv: los revoltosos que mandan ahora en Florencia dicen que el rey Joa-. quin está de inteligencia con los franceses , y que engaña á los italianos.? ,t . „ Atribuyen á mis consejos la inacción de* las tro…</t>
  </si>
  <si>
    <t>…ino de Pontremole á Spezia y á la ribera de Genova: „Los proyectos de los ingleses y de los austríacos disipan todas las du das’ que podrían tenerse sobre la conducta personal del rey Joaquín. No de bo ocultar á V. M. qué hé recibido muchas cartas suyas, que están en con tradicción con los movimientos' de sus tropas. ,, Este Rey se halla en un estado violento de agitación, y está admirado5 de que el Vi rey se haya retirado del Adige, y que yo haya…</t>
  </si>
  <si>
    <t>…emnizarme ía falta de la Sicilia con los países situados á esta parte del Po, los cuales S. M. el Emperador de los franceses debe renunciar por la fuerza de las circunstancias. El rey Joaquín añadió que sus intenciones eran puras ; que sü égército nó pelearía nunca contra los franceses; que se acorda ría siempre que era francés, y que no se olvidaría nunca de lo que debia á su.; ilustre cuñado. Espresó el deseó que tenía de que.yo permanecieseerrA…</t>
  </si>
  <si>
    <t>…ción, y al mismo tiempo con mucha:energía; en consecuencia no abrirán la campaña hasta que todos los egércitos lleguen á su destino. Las últimas noticias de Italia anuncian que el rey Joaquín habia abando nado á Áñcona, y refugiádbse en la Apulia. y: Cí;ÍMNA?Í^X?A.--a^; 4 ... Holstein i 8 de Mayo. Las tropas que están en movimiento en Dinamarca se reducen á 13 ba tallones, 14 escuadrones, y 40 piezas 4e artillería. PAISES-BAJOS-UNIDOS. Gante j8 dé…</t>
  </si>
  <si>
    <t>…s nocturnos. La persona que quiera hacer postura á ella acuda ante el referido señor y escribanía de provincia de mi cargo, que sé admitirán las qüe hicieren siendo arregladas. El Sr. D. Joaquín,'Aimázári, dél consejó de S. M., teniente de, corregidor de ésta villa, en providencia de ¿4 del corriente dada por la escribanía def número dé D. Cristóbal de Vicuña, ha señalado él dia 2 de Julio próximo á las 8 de su ma ñana en su posada, calle de Toledo,…</t>
  </si>
  <si>
    <t>…guel Campanon,' D. Josef Patricio Castro, D. Ignacio Truyols, Ó. Josef Mateos, D. Ramón ‘Riotórt, D. Francisco Luis Jácome, D. Josef.Escovar;D.:Santos Leccea£ D. Bernardo Latorre, D. Joaquín de la Cámara, D; Josef HidalgoDon Tpmás Gutiérrez, D. Francisco de Paula Castro, D. Jorge Valderrábano, D. Josef María Palma, D. Marcos de Zeberio y D. Josef Antonio de S. Juan. ( Se continuará.) ' Circular del ministerio dt Guerra. Convencido el Real ánimo d…</t>
  </si>
  <si>
    <t>…rsonas de distinción que concurrió en virtud del anuncio que se" hizo en el diario. . • Por indisposición del Escmo. Sr. Duque de Hijar , director del cuerpo^ presidió la junta el Sr. D. Joaquín de la Croix y Vidal, brigadier de la Real armada , y fiscal militar del supremo consejo de Almirantazgo, como socio más antiguo p que abrió la sesión manifestando verbalmente el objeto de ellav Presentáronse á ser examinados D. Juan Nepomuceno Magan, guardia…</t>
  </si>
  <si>
    <t>…de Farmacia de S. Fernando de esta corte abrirá el curso de sus estudios el lunes 2 del próximo mes" de "Octubre á las 10 de «u ma ñana con una oración inaugural que leerá el Dr. D. Joaquín de la Cueva, Catedrático ¿íe Historia natural, y secretario del mismo colegio, desde cuyo dia hastar fin de Junio continuarán todos los profesores esplicando sus asig naturas en la nueva casa, calle del Barco, núm. 20 j los que quieran matri cularse con arreg…</t>
  </si>
  <si>
    <t>…nerosa oferta. Lo que se man da avisar para que los interesados se dirijan según queda indicado. 1 ..' ' ...1 ‘ ' ' i ' '--- am' T 11 — ■' '■■■■---J' —'■ - — : Por providencia dél Sr. D. Joaquín -Almazan y Gimeno, del consejo de S. M., y teniente de corregidor de esta heroica villa de Madrid, refrendada del Sr. Don García Giménez, secretario de S. M. y escribano del número de la misma,</t>
  </si>
  <si>
    <t>…os autos el Lie. D. Juan Josef Goriiez Palenzuele , D. Pedro Manuel Folgueras, Doña Juana Rodríguez , viu da de D. Pedro Tegeiro, D. Gaspar Eugeni, D. Juan Ruiz Morales, D. Josef, D. Joaquín y D. Bernabé VcladieZ, como herederos del difunto D. Josef Veladiezj</t>
  </si>
  <si>
    <t>…i coaga, ornamentoide los egércitos del Rey y gloria *del suelo peruano. Un hijo suyo sirve á S. M. con mucho honor de'capitán en el egército del Perú al mando del general en-gefe D. Joaquín de la Pezuela.</t>
  </si>
  <si>
    <t>…por tar, logrando por este medio dejar también destruido;aquerestablecimiento* por el cual se comunicaban con los insurgentes del reino' de Mégico.” w En virtud de providencia del Sr. D. Joaquín di^Altrlazan vdél fconsejd dé SKd.? ten rente .corregidor decata villa, su-fecha del corriente , se ha-mandado citar y emplazar por término de.gbdiaá, ¿onudoi* uesde está fecha, á todos los parientes</t>
  </si>
  <si>
    <t>Joaquin, Blas</t>
  </si>
  <si>
    <t>Blas Joaquin</t>
  </si>
  <si>
    <t>…que les toque. En sd consecuencia lo participoá V. &amp;c. Madrid 2 de Marzo de 1815S. M. se ha servido nombrar para la iglesia y obispado de Teruel, va cante por promoción del limo. Sr. D. Blas Joaquin de la Palma al arzobis pado de Granada, á D. Felipe Montoya, canónigo lectoral de la iglesia de Plasencia: .para la capiscolía de la catedral de Vique, vacante por promo ción de D. Francisco Rovira al arcedianato titular de la iglesia metropolita na de Valenc…</t>
  </si>
  <si>
    <t>Joaquín, Dv</t>
  </si>
  <si>
    <t>Dv Joaquín</t>
  </si>
  <si>
    <t>…Real academia y todos los ■Cuales dieron' Uña prueba de su gran aplicación , respondiendo cuantas.,preguntan les hicieron las personas que concurriereAáestOs actosVqoepíésidid el Sr. Dv Joaquín .Alinazao, del consejo de S, Mv, y tenieme corre gidor de esta heroica villa, por indisposición del Excavo; 'Sr. conde de Motezumaquedando todos penetrados del zelo y laboriosidad del catedrático,, de quien se esperan mayores adelantamientos en el próximo-cur…</t>
  </si>
  <si>
    <t>JoaquinAl</t>
  </si>
  <si>
    <t>- Pjar b auíKencia del Sr. D. JoaquinAl mazan, del consejo de S. M., teniente "'corregidor de esta villa» y escribanía de D. Jaeobo Manuel Manrique» se citan si guiendo autos de abintestato á los bienes que han quedado por fallecimiento de *&gt;intoriana Gómez, acaecido en el mes de Junio de 1812 entr…</t>
  </si>
  <si>
    <t>Joaquinas</t>
  </si>
  <si>
    <t>…yer por la tarde. Espero que no añadirá mas agravios á los hechos á V. M. haciendo fuego-á vuestras tropas. „Yo soy con respeto, Señor, &amp;c. = Eugenio Napoleón Carta de Napoleón al rey Joaquinas „ Ño digo nada del descontento que me causa vuestra conducta , que ha sido diametralmente opuesta á vuestro deber. Habéis cedido á la debilidad de vuestra naturaleza: sois un buen sol dado en el campo de batalla; pero fuera de él no teneis ni vigor, ni caráct…</t>
  </si>
  <si>
    <t>JoaqumdeOsma</t>
  </si>
  <si>
    <t>…cips extraordinarios que se, le 4ebea. España. ■_ Madrid 2 g de Enero. ;! ? Ely de,-Agosíprde.l/iñpi próximo pasadlo tuvieron la honra de felicitaí* á S. M. el conde de; Clavija y&gt;D. JoaqumdeOsma,coronel del Real coerpp de Artillería♦ ennoijabre de la villa ¡de. C|a^ijoLíy¿ pueblos cifcjuuvecinos dp la Rioja ; y , el primero dirigió á. S; M., el discurso siguiente:. ,, Señor: la villa de Clavijo felicita á V. M. por su regreso á la penín sula, y tiene…</t>
  </si>
  <si>
    <t>Jócáno, Sebastian de</t>
  </si>
  <si>
    <t>Sebastian de Jócáno</t>
  </si>
  <si>
    <t>…ve Calle de^"Costanilla de los Desamparados, núm. i.°, cuarto segundo. - El ^espíritu de S. Francisco de Sales, obispo y Príncipe de Ginebra, traducido ‘libremente del francés por D. Sebastian de Jócáno: dos-tomos ení8.° -Se hallará en las librerías de Calleja y Davila, calle de las Carretas;¡en Zaragoza en la deMonge, en Granada en la de Gabaldon, en Oviedo enda de Longoria, en Valladolid en.la de Roldan,. y en Bilbao- en la de García. L^ geometría de los n…</t>
  </si>
  <si>
    <t>Joinville</t>
  </si>
  <si>
    <t>…Cástiglione j Mortierj duque de Treviso; tenientes generales los condes Cíaparede ; conde Viílate; conde Maison gobernador dé la primera división militar. El comisario or denador barón Joinville desempeña las funciones de fiscal; el mariscal de campo conde Grundler las de relator, y Mr. Boudin las de secretario. Aseguran que habiendo representado uno de los mariscales motivos de re cusación, que examinará él consejo de guerra antes de entrar en sesió…</t>
  </si>
  <si>
    <t>Jomini</t>
  </si>
  <si>
    <t>Wolkonsky; el teniente general conde GaetnitschefTVy el coronel general Jomini. ;‘&gt;rr De Inglaterra. El Duque de Wellington, Príncipe de Waterloo; lord Hillj lora Apsley; el general Barnet; el coronel Hervey&gt; y el coronel Hamilton. : &gt; : Ademas de los dichos se hallaron también el Príncipe Cárlos de Bavíera; el feld-mariscal Príncipe de…</t>
  </si>
  <si>
    <t>Joneques</t>
  </si>
  <si>
    <t>…se dieron á perseguir al cuerpo franco en todas direcciones, in ternándose hasta eñ los bosques, donde aquel so lia refugiarse. De este modo han Ibgrado destruirle enteramente: su comandante Joneques ha sido hecho prisionero, y conducidoá Metz con algunos de su cuadrilla. Se cree que se rán ajusticiados! • Soissons 14 de Agosto. Las tropas rusas han ocupado hoy esta ciudad en cumplimiento del con venio concluido el 12 entre el f mariscal de campo Grundler…</t>
  </si>
  <si>
    <t>Jones, Manuel</t>
  </si>
  <si>
    <t>Manuel Jones</t>
  </si>
  <si>
    <t>…María de Novoa, Don Miguel Mir, D. Antonio Cidron , D. Santos Cremona, D. Josef Joaquín Ayestáiran, D. Vicente Ordoño, D. Raymundó de Unzaga, D. Manuel Arangu, d: Vicente Agreda , D. Manuel Jones, D. Joaquin Henriquez, D. Isi dro de Diego, D. Silverio López, D. Francisco de Oña, D.. Francisco Antdhio Líbref ; D. Joaquín MuezVD. Juan Ignacio*Cervera, D. Salvador Ce bollino, D. Ventura Córdoba, D.Í Patricio 5alanueva, D. Pedro de la Torre, D. Miguel Oli…</t>
  </si>
  <si>
    <t>Jor, Ignacio</t>
  </si>
  <si>
    <t>Ignacio Jor</t>
  </si>
  <si>
    <t>…miten memoriales, que se dirigirán á su ayunta miento hasta el 24 dq Diciembre, para proveerse el 31 del miismo. , Instituciones de derecho civil español que escribieron los Dres. D. Ignacio Jor dán de Asso y D. Miguel de Manuel, adicionadas y mejoradas con notas en gran número por el Dr. D. Joaquín María Palacios, catedrático de prima de leyes pa trias que fue en la universidad de Huesca, y mandados estudiar en las universidades del reino, según el…</t>
  </si>
  <si>
    <t>Jordán, Francisco</t>
  </si>
  <si>
    <t>Francisco Jordán</t>
  </si>
  <si>
    <t>…rr En el ..mismo almacenase hallarán las dos'estampas nuevas del’ Divino Pastor y Divina Fastora, dibujadas -por D. Vicente López, primer;piptoe de cámara de S. M., y gzibadas por D. Francisco Jordán en medio pliego de. marca mayor én figura oval, á 5 jrs. en negro y.ár 24 iluthinádas cada*una deslías. También bay santos dediferentes ^ciases para registros, médaliones y relicarios., S 1 --—■ ' ——------—~------ :------r ” •. í -—' ÉN LA IMFÍRBNTA-RRÁLí - :…</t>
  </si>
  <si>
    <t>Jordán, Mariano</t>
  </si>
  <si>
    <t>Mariano Jordán</t>
  </si>
  <si>
    <t>…los huérfanos, y 200 rs. por la de rezar diariamente el rosario con sus discípulos. Los pretendientes acudirán al ayuntamiento de la expresada villa. Se desea saber el paradero de D. Mariano Jordán , que salió de esta corte i prime ros de Enero de 1809 con dirección á Sevilla, y después pasó á Cádiz, desde don de se embarcó para América, según algunas noticias. El que lo sepa se servirá co municarlo al P. Fr. Pedro Alcázar, sacristán mayor de religiosos…</t>
  </si>
  <si>
    <t>Jos, Begani y</t>
  </si>
  <si>
    <t>Begani y Jos</t>
  </si>
  <si>
    <t>…destinados ai objeto. De todos estos artículos se* fofniarán inventarios separados, y no se, permitirá :á‘ nadie entrar y salir en la plaza dunanté este tiempo* * ; , . ^ n.: ,,E1 comandante Begani y Jos comisarios encargados de la pla^á se rán responsables de todos los efectos de la pertenencia del Rey y de los de Murát, que se entregarán con toda fidelidad á los comisarios de S. M. 12. Los caballos y coches pertenecientes á la casa Real se entregarán inmedi…</t>
  </si>
  <si>
    <t>José</t>
  </si>
  <si>
    <t>…igencia el que quiera hacer mejora comparezca .pc&gt;r sj, ó por persona^ legítima con suficiente peder ante el mismo intendente, y pGr la escribanía, mayor de su juzgado á cargo: dé D. José. Moreno Muñoz* X.os Sres. D-, Jayine Maaent,, Vidaly compañía,. deF comercio de Valencia,, ' remitieron por el correo ¿le 15 de Octubre último un pliego cerrado, que conte nía a ó vales Reales de'l^o pesos de i .° de Setiembre de 1809, que iban dirigidos á D*…</t>
  </si>
  <si>
    <t>…Mela, D. Felipe San Alberto, D. Pedro García de Várgas ,y D. Agustín Reviila, del de Voluntarios de Avila; á D. Pedro Doz, D. Ignacio Fuerte , D. Josef Gacet, D. Guillermo Dot, y D. José f Villar de Francos, del Provincial de Segovia; á D. Santiago Muriedas, D, Isi doro Moreno, D. Antonio Gallego, D. Juan Calderón, y Di Juan Sierra, del primer Barallon de Voluntarios de Ciudad-Rodrigo; á D. Manuel Ri bero, D. Joaquín Quadrado, D. Francisco Es…</t>
  </si>
  <si>
    <t>Jose</t>
  </si>
  <si>
    <t>…:Clara de esta corte, y á cuyo goce y obtención de dichos patronatos está reservado igualmente el derecho, por la sentencia dé la chanciiiería á los qjie le puedan tener mcjrr que Doña Jose fa Gabriela Valdearenas. La plaza de mélico del real valle, de Mena, en la. provincia de Captabria, del Obispado de Santander , se haíla vacante: tiene de sueldo 5$ rs. anuales y a rs. por visita dentro del mismo valle , en ’el qué se halla, la villa de Vil l…</t>
  </si>
  <si>
    <t>Josef</t>
  </si>
  <si>
    <t>…ro úhtmo7-para^conferirlar‘,plaza'a1~cabo de ellos enr el sófetouentesmasDelgado,¡doñeo, ájuezlos c^múiarios/par^y Franciscoel cLctó,Ana»que lalacié ¡sonVélasco,los señoresregidor.D. Josef</t>
  </si>
  <si>
    <t>…r mino de un mes. / Curiosidades de la naturaleza^ y del arte, ó tratado de agricultura y jardinería en su perfección: escrito en francés por,el abad de Valicmont, y traducido por D. Josef de 0_fguiris quarta impresión*, un tomo en 8.° á 10 rs. en pasta. = Los viages de Rolando y de sus compañeros de fortuna al rededor del mundo: por P. L* F. Jaufret: quatro tomos en 8.° á 48 rs. en pasta, y se darán los tres últi mos tomos sueltos en rústica á…</t>
  </si>
  <si>
    <t>…ioj teniente genéfál de marina , y ministro del consejo del Almirantazgo: D. Joaquín de la Pezuelá,-mariscal de campo de los Reales éxércitos, y general en gefe del dél alto Perú:’D. Josef de lá Cruz, maris cal de campo de los Reales éxércitos, y comandante general del nuevo reyno de Galicia; y marques de Feria, gentilhombre de cámara de S. M. con destino al quárto del Sermo. Sr. Infante D. Cárlos. Componen el capítulo general de .esta orden el…</t>
  </si>
  <si>
    <t>…ntación delqfeustro dé la universidad de Osuna él Excmo. Sr. duque de Osuna su patrono y el Dr. Don Jósef Manuel de Arjona, alcalde de casa y corte, y los Dres. D. Ca yetano Hue y D. Josef dé Záyas, capellanes de honor de S. M.; y el pri*dixo: • ...- ' ' -- ' *• * y \ srdad 'de ípKhietítaríé deiúéncafgo no pueden menos de manifestar á V. M. la justa consideracion y el</t>
  </si>
  <si>
    <t>…del Aguila, coronel de los Reales qxércitos, dueño que antes fue de dicha hacienda, sobre que se: le adjudique esta en parte de pago de 88900 rs. que.se le .están debiendo por el D. Josef, y otras cosas; con apercibimiento que pasado di cho término le parará el perjuicio quehaya lugar. Én virtud de facultad Real y providencia dada á su consecuencia por el Sr. Don Joaquín Aúnazsn y'Ximeno, del consejo de S. M., teniente de corregidor de esta vi…</t>
  </si>
  <si>
    <t>…del Aguila, coronel de loa Reales exércítos, duefio que antes fue de dicha hacienda, sobre que se le adjudique esta en parte de pa go de 88900 rs. que se le están debiendo por el D. Josef, y otras cosas; con aper cibimiento que pasado diclio término le parará el perjuicio que haya lugar* Se vende una imposición de go3 rs. vn. de capital, los 34,111 rs. y 20 mrs. en¡ vales Reales"/ el resto en metálico, con réditos de 4 por 100 , hecha en la di…</t>
  </si>
  <si>
    <t>…mayor á IX Gaspar Estdler, super intendente de la Real casa de moneda de $evilla. Honores .de intendentes de egército á los directores generales de Rentas D. Mateo G,il de Sola y D. Josef dé Imaz ¿ á Di Eugenio Domínguez, ministro He Real hacienda ‘de Menorca; á D. Manuel Oftiz, superintendente de la Real cása de moneda de esta corte; á D. Antonio López, ministro de hacienda mi litar de ésta plaza; á D. Francisco dé Iá Roca y Arredondo y D* Ju…</t>
  </si>
  <si>
    <t>…vedra, D. justo Pasalagua; p. Vicente de Mesa,D. Fulgencio Anríen, D. Josef Carreño, D Manuel. Ümendia, D. Julio Ponce de León, D. Josef Marco y.Espejo, D.^joaguin Vargas Machuca, D. Josef de la Sendéja, D. Andrés Tacón, P. Joaquín Ro dríguez de Ribera , D. Pedro Germán D. Josef de Torre Llobregat, D. An tonio Villavicencio , D. Mauricio Albert, D. Manuel Villavicencio, D. Fran cisco Fernandez dejos Senderos , D. Josef Saravia ,* D. Manuel Vigo…</t>
  </si>
  <si>
    <t>…n * D. Joa** quin Casasola, D. F rancisco Javier de Cia, D¿ Manuel de' la Cruz;, .Di Cárlos Viü&amp;padierna^ D- Bernabé Arjranz^ D* Juair derMetidie^í.1^. Aatóriioíde Castro y Tovar, D. Josef 01mo,D. Juan de Arcos ,D.Pedro Recaudo!,pon Miguel Rabe, D. Antonio Josef Royo , D. Domingo Cheli y D. Cenon Gar cía: á los capitanes marques dé A-yerve , D. Josef Rubio ¡ B. Aníbal Chela, D. Antonio Melgarejo, D. Miguel María Campero, D. Baltasar Belmohte, D…</t>
  </si>
  <si>
    <t>…eras, D. Manuel Auñon, Dt' Josef Palillos, D. Antonio Acosta, D» Francheo Menduiña, D. Julián Senessens^iD* Josef AraüjoyD. Antonio Rute, D. Manuel Santander, D. Josef Domínguez , D. Josef!Montero y D. Pedro .Trasierra , D. Frandsco Olmo:,* Don Fermí n Meneos^ «Dv VénturaiRiesco ,D. Josef Muñoz § D. Luis Gorrichátegui, B; Joaquín Arbizu, D. Francisco Bravo, D. Josef Ausejo, B. Ramón Espona, D. Fráncisco Victoríno, D. Pedro Lechuga, D. Manuel Ar…</t>
  </si>
  <si>
    <t>…plaza y elsuddosenterpdeellajuy ha concedido los honores de ministro del consejo y cámaraí i; *D, ;C*¡Ístóbal Bencomo,: confesor de S. M.j y honores de ministro dél Consejo Real a D. Josef ¿María Despujol, sumiller de cortina de S. _ M. y, capellán mayor de; las Descalzas Reales de esta corte: á D. Joaquín Bernad y t Vargas,,. corregidor político de. la ciudad de Córdoba, honores de ministro de capa y espada del consejo: dedas Orde nes: á. D, M…</t>
  </si>
  <si>
    <t>….................. ....á.D. Ignacio Pcrez. Paca la vara de Ciudad-Rodrigo a ■'©PF'fa'ilcistó'Jayié» García Zamora: para la de Sorbas á D. Eugenio María Alvaréz: para la de Serón á D. Josef a Ganancias : - para 4a :de Grdtavá á l&gt;. Ma^tih ’Varop Oiiváí para la de Puebla de; Santa María de Guadalupe £ D*; Dionisio Apellanizi para la de BurguIIios á D. Cristóbal GonzálezTrigüéros: parala de Sepúfe veda á D. Isidro Preciado: para la de Brihuega á D…</t>
  </si>
  <si>
    <t>•í • 957 «la._D. Josef:Benito Martina*, albacea de D. Miguel González, cuatro Vales Reales de 600 pesos que dono en su testamento.__ La villa y tierra íde Tábara 713464 rs. y 19 mrs., importe de los suministros que ha hecho al egército en la pasada guerra.__ D. Manuel de Zeca y Gal…</t>
  </si>
  <si>
    <t>…usar del derecho que crean asistirles* con apercibimiento que pasado dicho término ,sin haberse presentadores parará el perjucio que. haya lugar. , t En virtud de providencia del Sr. D. Josef* Salvador López del Pan, del consejo de S. M . , su alcalde de casa y corte « refrendada de D. Luis López dé Castró , escri bano de provincia y comisiones en este dia de la fecha, a instancia de losSres. Mar queses de Sta. Colonia se cita, llama i y. emplaza,…</t>
  </si>
  <si>
    <t>…ión es de i3 vecinos. Los pretendientes dirigirán sus memoriales á la justicia y ayuntamiento hasta el dia 25 del corriente. Se desea saber el paradero de los hijos ó herederos de D. Josef lírruela y Montiano, y de su esposa Doña Rosalía Romero, para entregarles unos papeles intere santes á dichos herederos. El que supiere podrá acudir para reintegro al mesón del Peine, almacén de mantas que está á cargo de Josef Antonio Fernandez, que sa biend…</t>
  </si>
  <si>
    <t>…os referidos autos el Lie. D. Juan Josef Goriiez Palenzuele , D. Pedro Manuel Folgueras, Doña Juana Rodríguez , viu da de D. Pedro Tegeiro, D. Gaspar Eugeni, D. Juan Ruiz Morales, D. Josef, D. Joaquín y D. Bernabé VcladieZ, como herederos del difunto D. Josef Veladiezj</t>
  </si>
  <si>
    <t>…Ministerio de Hacienda el reglamento y planta de oficinas de que debe componerse .ésta. Dirección general de Rentas nombrando para Directores generales á Doii Mateo Gil de Sola , D. Josef dé Iniáz Baquedanó y D. Agustín de Samanoj Contador de Rentas generales D. Higinio García de Burunda; Gefe del De partamento del Fomento y Balanza.D. León Gil Muñoz; Contador de Rentas Provinciales D. Tomas de Aja y Pellón; Contador de la Renta del Taba? co D…</t>
  </si>
  <si>
    <t>Josef, Gonzalo</t>
  </si>
  <si>
    <t>Gonzalo Josef</t>
  </si>
  <si>
    <t>…á tener efecto dicha soberana resolución el día i.° de Abril próximo, desde el qual todo lo respectivo al ramo del papel sellado correrá á cargo del Ministro del Consejo y Cámara D. Gonzalo Josef. de Viiches en concepto de tal Subdelegada, cesando para este dia el Ministe rio de V. E. y la Dirección general de Rentas en dar providencias sobre ello; y quiere S. M. que V. E. pase desde luego los avnsos correspondien tes á ía misma Dirección , y á los In…</t>
  </si>
  <si>
    <t>Josef, Ignacio</t>
  </si>
  <si>
    <t>Ignacio Josef</t>
  </si>
  <si>
    <t>…e ancha dé Majaderitosynúm. 6 y 7. Éñ el mismo almacense halla una colección completa de mercurios. : Nota. -En la gaceta del jueves T.° dé Junio, pág. Í94 , línea 27 , donde dice D. Ignacio Josef de. ^ombo, léase D. Josef Ignacio de Pombo¿ . . . . ■■■" . . . . . . . . ■ — 111 » ' ■&gt; i ■■ »' ‘V.-,..- . EN LÁIMPRENTA REAL. :b.;^</t>
  </si>
  <si>
    <t>Josef, Pedro</t>
  </si>
  <si>
    <t>Pedro Josef</t>
  </si>
  <si>
    <t>…D. Josef Roa Rodríguez: para el de Medinaceli á D. Roque Domingo de la Figuera: para el de Becerril de Campos á D. Josef Valentín Rica. Para la vara de alcalde mayor de Fortuna á D. Pedro Josef deíMasegpS*: para la de Rute á D. Manuel de Santo Domingo y Herrera: para la ae lq$. Velez á D. Juan Torrecilla de Robles: para la de Orgiva á D. josef Ruiz Manzano: para la de Huelva á D. Pedro Josef Moyano y Díaz :{ pára la de Valíadolid á D. Fé lix Gallego…</t>
  </si>
  <si>
    <t>Josef-Esterliz</t>
  </si>
  <si>
    <t>te de D. Benito Abad; y para el de Qaintanallabon, que lo está por la de D. Josef-Esterliz, ambos en el arzobispado de Burgos, á D. Bernardo Andrés Perez, racionero mas antiguo de la iglesia catedral de Osma: para otro benególo simple de Sta. María de las Reliquias del castillo de la plaza de Alburquerque, obispado de Badajoz» vacante por muerte de…</t>
  </si>
  <si>
    <t>Josef.Escovar</t>
  </si>
  <si>
    <t>…‘ Moreno, D. Antonio Mercádo, D. Manuel Castilla , D. Miguel Campanon,' D. Josef Patricio Castro, D. Ignacio Truyols, Ó. Josef Mateos, D. Ramón ‘Riotórt, D. Francisco Luis Jácome, D. Josef.Escovar;D.:Santos Leccea£ D. Bernardo Latorre, D. Joaquín de la Cámara, D; Josef HidalgoDon Tpmás Gutiérrez, D. Francisco de Paula Castro, D. Jorge Valderrábano, D. Josef María Palma, D. Marcos de Zeberio y D. Josef Antonio de S. Juan. ( Se continuará.) ' Circular de…</t>
  </si>
  <si>
    <t>Josefa</t>
  </si>
  <si>
    <t>…, de 1809 al intendente D. Vicente .Ma rentes, se ha servido declararle buen l servidor, y fiel á la justa causa de la libertad de su Rey y patria, conforme ha solicitado su viuda Doña Josefa de: la Piedra ; y en consideración ?á los infortunios que esta ha sufrido por la espresada causa, ha tenido á bien S. M. mandar que se la continúe pagando la viudedad de 6600 rs. que disfruta en virtud de orden de la Regencia de 12 de Setiembre de 1812 desde…</t>
  </si>
  <si>
    <t>…ra que ya que no se la iguale en asignación. Con la Doña Catalina, se declare lá espresada pensión de 300. ducados trans misibles por fallecimientp de la agraciada i sus dos bijas Doña Josefa y Doña, Joaquina ^niiéntrás nq tomen ^estado, y se hagan en favor del.D. Bernardo Ja&amp; mismas decláraciones jibqoríftcas que á.D* Josef González, ha tenido á biei» S.Méácceder^f esta pretensión en sü primera parte; mandando igualmente quq Cn la parroquia Qntniüm Sanc…</t>
  </si>
  <si>
    <t>…os, que va rios años antes de la invasión de los enemigos en España vivía en la ciudad de Cá diz, para comunicarles cierta parte de herencia que les pertenece por fallecimiento de Doña Josefa de los Hoyos y Villota y del Lie. D. Domingo de los Hoyos y Viilota, su hijo, de cuyos bienes pende testamentaría en uno de los juzgados de la villa de Madrid, y escribanía de número de ella que egerció D. Sebastian Peñuelas. Maximiliani Stoll: Aforismi de co…</t>
  </si>
  <si>
    <t>JosefCortina</t>
  </si>
  <si>
    <t>…Francisco Javier Sainz. £scaManuel Agüayo y Quevedá, fiscal dé la diócesis de Almería. ’T'®^anongía vacante, én : la catedral de Jaén: por muerte de D. Francisco Mulero 'Delgado á D. JosefCortina; González, racionera de la de Almeríai. 1.a canongía que .ha vacado en la catedral de Gerona,por fallecimiento de D. Josef Subían á D. Tomas Escuer, párroco^rectór de Farlete en el arzo bispado de Zaragoza. ’ _ . , La canongía vacante en ía catedral de Tarazo…</t>
  </si>
  <si>
    <t>Joseflbañez</t>
  </si>
  <si>
    <t>175</t>
  </si>
  <si>
    <t>…eva providencia, que se comunicará á su tiempo, se continúe dando á esos productos la aplicación que está señalada. Lo advierto &amp;c. El Rey en atención á los méritos y servicios de D. Joseflbañez, tenien te honorario del Real cuerpo de Artillería, y dueño de las Reales fábricas de municiones de Sargadelos, en el reyno de Galicia, ha venido en conce derle Cruz supernumeraria de la Real y distinguida orden de Carlos m. , $. M . se ha servido confirmar á…</t>
  </si>
  <si>
    <t>JósérGóinéz</t>
  </si>
  <si>
    <t>…de la En camación de esta corte, se ha servido S. M. -nombrarle juez del tribunal apos tolicé y Real de la gracia del Escusado. 1 V ■Ví' En atención á los/méritos y::ier$icid£ de D. JósérGóinéz^imehez^há ívé-r tildé'£ ÍÁ. én cóncéderle los hpnóresCld¿ coímísáno' de -guerra1 ,dp jós* Reales '/ \tr '■ ? _ 5 j V * Habiéndose sérvido S. M.~ aceptar los siguientes donativos, ha mandado que se den en su Real nombre las gracias á.los sugetos que- los han'…</t>
  </si>
  <si>
    <t>Jostf</t>
  </si>
  <si>
    <t>…licia, que son las designadas en la citada resoljucion. Madrid 25 de Junio de 181 f. Por el presente se cita, haim.y emplaza á Doña Josefa Martínez, natural de esta villa, hija de D. Jostf, qro.urador que fue del número de ella, y heredera única d&gt; D. Francisco Martínez 11 hermano, cuyo paradero y existencia se ignora, t á todos los parientes v dem s p r^onas que puedan tener derecho á los bienes de Í a misma'Doña Josefa Martínez . para que den…</t>
  </si>
  <si>
    <t>Joudan</t>
  </si>
  <si>
    <t>…hasta Pontarlier con cuerpos ligeros, avanzados por su derecha d izquierda, hácia St. Hipólito y Salins. El cuartel general está aun en Neufchatel. Un edecán, enviado aquí por el mariscal Joudan desde Besanzon, ahun-* ció ayer la sumisión de la guarnición de aquella plaza al Rey, ¿ quien pidió que las tropas suizas suspendiesen las hostilidades. El general Castella,gefe del estado mayor suizo, y que se halla aqui, me da á entender que concederá la so…</t>
  </si>
  <si>
    <t>Jourdan</t>
  </si>
  <si>
    <t>…neral Zíethen, que guarnecía á París, ha salido para la Nórmandía. El sesto cuer po de este egército, mandado por el general Trauenzien , ha llegado al depar tamento del Norte. El mariscal Jourdan hizo proclamar el 19 en Besanzon el restableci miento de la autoridad Real3 é inmediatamente toda la guarnición se puso la escarapela blanca. Han llegado á Autun 10$ austríacos, parte del egército de 100© hombres que bajan por el Simplón con toda precipitació…</t>
  </si>
  <si>
    <t>Jover, Gaspar</t>
  </si>
  <si>
    <t>Gaspar Jover</t>
  </si>
  <si>
    <t>…cio Foja, rD. Antonio Marco , D. Ginés 'Rubio, D. Josef Ga vilanes , D Joaquín Aguijar, D. Santiago López Gascón, D. Ambrosio Mar tínez, ÉX C^ayemnp Ojezalde,; D.-Antonio Delgado, D. Gaspar Jover, Don NJarciso,Felipe, IX Josef Vilíavieencio, D. Cristóbal del Aguila, D. Berna-? Fe Chinchilla,, D. Manye! Carrasco, D. Tomas López, D. Miguel Bueno, JX Juliani Lop£z dq Ansó ¿'Di* Antonio Martínez, D. Eleuterio Munida, Don Á^anueí Andrada , !)» Domingo Blan…</t>
  </si>
  <si>
    <t>JpsefíídfrÍA.Casasolai.D</t>
  </si>
  <si>
    <t>…‘-.-fí f -orne! ru l v |: ,:l¡ Grado de teniente coronel á los segundos tenientes D. Juan de Vargas, D. Ramqnde Zujuag^, J&gt;. Josef las Cuevas r D. Francisco Javier de Vallarino|} D. JpsefíídfrÍA.Casasolai.D;; Fernando i JLuis María Montero, e ¡conde, deTprre jon p.¡Ran¡ian Qrpzco!, í&gt;.¡ j^e£ Hezeta* í&gt;. Maijmei.Vazr quez y D.-Francisco Velarde,áe;$te último* ppr gracia particular en cpnsir ^deracion al merito.de su hermano J). Hemeterió.y muerto por las heridas…</t>
  </si>
  <si>
    <t>Jq</t>
  </si>
  <si>
    <t>….. ,-t....................w . Habiendo fallecido abintestado .eft 16 de Eaero.de este año D. Euse&amp;io Ferrer y Novella, menor, se previno dicho abintestato en 2 1 del mismo por el Sr. D. Jq*«f García de la Xojm , del consejo de S. M. y alcalde jen su Real casa y corte, ante el escribano de provincia D.,Cárlos Rodríguez de Moya, en cuya consecuen cia, y mediante lo pedido por el curador ad bona que fue de dicho menor, y de lo</t>
  </si>
  <si>
    <t>Ju</t>
  </si>
  <si>
    <t>…spersó. En el año de 1811 es tuvo én la ciudad de Orense en el regimiento de Malldtca que vino eft quadro á di cha-ciudad.* ta pdrsona que lo sepa se servirá avisarlo á su Hermanó D. Ju an Bravo en el puerto de .Marín.,.reyno de Galicia. ; ; ¿ ^ í í;- : ^ ^ • , Los subscriptores á las memorias para servir á la historia eclesiástica durante el siglo -«yin. acudirán 4í recoger el tomo i.°, .adelantando él precio del 2.® en Madrid en las librer…</t>
  </si>
  <si>
    <t>…, D. Bernardo Miravalles , D. Gerónimo Rodrigo, D. Domingo Chaves y D&lt; Fernando Mateos Mettdez : á los de los batalló-»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Eulogio González, D. Manuel Lúeas…</t>
  </si>
  <si>
    <t>…ronunció por el Sr. Dr. D. Salvador Roca, presbítero, teniente vicario de esta villa dte Madrid y. su partido , y penden por el oficio del notario del número de la misma audiencia D. Ju^n Francisco de Piélagos, para que en el término de un mes, con tado desde-el dia de la pubjicacion^de este aviso, comparezcan en el expresado tri bunal por sí ó .¡por sus respectivos apoderados &lt;?on los documentos necesarios a la '‘continuación desdichos auto…</t>
  </si>
  <si>
    <t>Ju-, Andrés</t>
  </si>
  <si>
    <t>Andrés Ju-</t>
  </si>
  <si>
    <t>…traduciendo en varios autores latinos de prosa y verso, y dando razón de. cuanto^en tejías había digno de ser notado. &gt; Concluido esto á las I 2 y media de la mañana el bachiller D. Andrés Ju-* rado Roldan y Montenegro, maestro de escribir del establecimiento , dio en.un discurso castellano en nombre de los,discípulos y de ios demas catedráticos y maestros las gracias al concurso. Aunque todos los niños dieron con su instrucción pruebas nada equívo…</t>
  </si>
  <si>
    <t>Juaa</t>
  </si>
  <si>
    <t>…igadier dedos Reales exércitos; * ' ^ • : :Del «mismo q»0¿0 Ha nombrado S.^M. para el .gobierno militar y político de te provincia de Guayaquil, en el Perú, al coronel de exército D. Juaa, Manuel Meodikuow t w ^ _ . ! i í '.- ¡ ' . i* Li-jiiiyi</t>
  </si>
  <si>
    <t>JuáA</t>
  </si>
  <si>
    <t>…capitán de dragones d¡e Ateico.: - r r ¡r; h. ¡01 Tenientes coroneles á tí. Vicente Llórente^ sargento mayor del fuerte de S. Garlos de Peróte en Nüéya-Espáña; y lá los caóitánés D. JuáA cl^Dios Ayala, gobernador de la provincia de Costa-Rica;, D* ManueíOchóáj eapi*^ - tari del depósito de Ultramar, D&lt; Josef María Hérrera ídem del * regimiento' Infantería Ordenes Militares, D; Lorenzo López de Moría y Virues, idem dé! de voluntarios de Madrid…</t>
  </si>
  <si>
    <t>JuairSenen</t>
  </si>
  <si>
    <t>…p &lt;¿¡ i r-;: f. i.‘ . v üi i i; Ijj i 'J . .jfi wJ T ol-- 1» A f!r&gt;;.J&gt;í,,j V AGTSPRJ-O; i:, j li 1&gt;i¡ j'i i :'i íi'»c» _■• l &gt; i;é Circulares delhnir&amp;iimo de Querrá. Al teniente general D. JuairSenen;derContreras, gobernador que fue de |a plaza,de,'farragonar, cqnp(umco, con.esta fecha lo siguientes .. ...j- /— ,V vrPor Ja e?poacipí&gt; que ;ha íjecho É. al Rey nuestro Señor se ha eq^ reniño S. M. fiel valor con, que s^e portp Ja guarnición de Tarragona en s…</t>
  </si>
  <si>
    <t>Juan</t>
  </si>
  <si>
    <t>…a de los Reales exérciro:; D. Juan Amonio Barona y D. Josef León de Madrazb , montero de cámara de S. M.; regidores perpetuos D. Jacinto. Cilleruelo , D. Josef Rodrí guez Cermeño, D. Juan? Alonso de Prado, y D. Pío Rníz; diputados del común D. Manuel de Quevedo y D. Manuel Ignacio López; procuradores síndicos generales; El. Vicente de Mariscal y £&gt;.. Francisco Sanz Escolar, escribanos propietario y teniente del ¡lustre ayuntamiento, y los seño…</t>
  </si>
  <si>
    <t>…ular*’* ^ ; . - ESPAÑA. ' Madrid 6 d? Febrera El día 29 de Setiembre último felicitaron á S. M. énnombre de los ca bildos eclesiástico• y. secular de la ciudad de Barbastro el Dr. D. Juan de - Lera y Cano, cura de S, Salvador de Madrid , • y obispo electo de aquel obispada; D. Joaquiii Palacio, ministro dé la Rota* y D. Pedro de Loscer-, tales , cabatlero del estado noble , y secretario del ayontamieoto de aquella ciudad; de los&gt;quáles el prim…</t>
  </si>
  <si>
    <t>…uel Alvarez, D. Gregorio Baeza, D. Francisco La-Reguera y D. Vicente Aneses ; subtenientes de cazadores á D. Domingo Miranda y D. Juan Manuel Piedra, y 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t>
  </si>
  <si>
    <t>…glesas y portuguesas, hace presente al público haber fixado su residencia en Lisboa, donde actualmente están las comisa rías principales. Las personas que quieran valerse de dicho D. Juan para el desem peño de esta clase de asuntos, pod an acudir en Madrid á su hermano D. Manuel, del comercio de sedas mayores, que vive portales de Guadalaxara, núm. 28, el qual instruirá á los interesados de los documentos que han de acompañar á los cré ditos,…</t>
  </si>
  <si>
    <t>…s, D. Cristóbal Martin, D. Joaquín Serrano y D. Amonio Pinalero2.a Enterado el Rey nuestro Señor del mérito que contraxo la División expedicionaria del mandó del Mariscal de Campo D. Juan de la Cruz Mourgeon en la reconquista dé Sevilla , verificada el día tj de Agosto del año de 1812 , como también del de&lt;eo que han manifestado algunos Gefes y Ofi ciales de la misma División de obtener, como en señal de haber sido grato este servicio á S. M,,…</t>
  </si>
  <si>
    <t>…n tonio Villavicencio , D. Mauricio Albert, D. Manuel Villavicencio, D. Fran cisco Fernandez dejos Senderos , D. Josef Saravia ,* D. Manuel Vigo, Don Gaspar Pineda, D. Josef Mozo, D. Juan de* la Cueva, D. Juan Delgado,: D. josef Febrer , D; Mariano Henarejos, D; Ciríaco Mella , D. Juan Sanjurjo, D. Ignacio Cuadrado,: D. Juan Aleson, D. Honorio Siréra ; D. Pedro Vizcarrondo, D. Josef Guimbarda, D. Juan Sotélo, D¿ Tiburdo Basanta, p. Rodrigo Tav…</t>
  </si>
  <si>
    <t>…Salazar, Canónigo y dignidad de maestrescuela de la de Mondoñedo*: *bara 'otra canongía de la misma catedral de Lugci ¿ vacante por fallecimiento de D.Francisco Pelaeé CaUOedo y á D. Juan1 Cnácón&gt;. para otracanongíádé (la - íglésia: Catedral dé Ciudad-Rodrigó j que 'resulta vacante por prófnocíoh &lt;dé -D. Miguel Uria á la abadía de Santa María de Jares en el obispado de Astorga , á D. Fernando'Manuel de la Concha, cura párroco del lugar de Só*b…</t>
  </si>
  <si>
    <t>…n,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Cayetano Salcedo, Dw Andrés Nieto.-, B; Manuel Nifo, D. Juan Ltiis&gt; Astraudi yB* Martin d…</t>
  </si>
  <si>
    <t>…ln: á alféreces vivos y efectivos de caballería, Cón süéldó de talesjy grado de tenientes, á los guardias D. Jiian Soto , D/Vicente Hore , D. Estéban Sarrie, D. Siiñpií Bañuelos , D. Juan de la Cruz González , D. Antonio Gárcía Prado, D/ Ju lián Villacampa y D. Manuel Ubi ría : grado de tenientes á los guardias Dori Juan Nepbmuceno Roldan, D. Laureano Melena, D. Josef Sandoval, t). An&gt; • tonio Megía, É). • Eugenio Ábergoza , D. Francisco Aguír…</t>
  </si>
  <si>
    <t>…D. Juan Fernandez ,D.Gil Garande, D. Josef Castro, Don Josef Morales, D. Joaquín Soravilla , D. Francisco,Mora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 los sargentos primeros D. Ju…</t>
  </si>
  <si>
    <t>…s parientes hasta el tercer grado de la Sra. Doña Agustina Larraz, natural de Zamora, hija de D. Josef Larraz y de Doña María Francisca de Arriaga, y á los del coronel de egército D. Juan de. Ayssa, gobernador que fue de la provincia de León de Ni caragua, en el reino de Góatemata, natural de.Huesca , hijo del teniente coronel Don Juan de Ayssa y Doña Merarda de Aróstegui. Hasta ahora solo han ocurrido los del Sr. Ayssa, y ninguno de los de la…</t>
  </si>
  <si>
    <t>…Istmo de Panamá, comunica con fecha de 23 de Junio desde Patnamá al St. secretario del Despacho universal de la Guerra, que la división de tropas destinadas al Perú, al mando del brigadier D. Juan■ Manuel Peres-</t>
  </si>
  <si>
    <t>…acerca de la digestión, y ofrece muchasconsideracio nes importantes ai fisiólogo y al médico, aun en el-caso legal qíie representé* Se ha llará dé venta en Madrid en el almacén de D. Juan !Rqmeró¿ baile del Príncipe, f én Cádiz en lá de lá Carne, ,núm. 172, con una explicación én idioma vulgar. z' EN LA IMPRENTA REAL*</t>
  </si>
  <si>
    <t>Juan, Salvador S.</t>
  </si>
  <si>
    <t>Salvador S. Juan</t>
  </si>
  <si>
    <t>…reno, D. Antonio Gallego, D. Juan Calderón, y Di Juan Sierra, del primer Barallon de Voluntarios de Ciudad-Rodrigo; á D. Manuel Ri bero, D. Joaquín Quadrado, D. Francisco Escovar, D. Salvador S. Juan, y D. Josef Renau, del segundo Batallón de idem;á D. Joaquín Rodríguez, 0. Vicente González , D. Fabian de Saave4xa, D. Casimiro Vinuesa, y D. Santiago Gómez, del tercer Batallón de ídem; á D. Francisco Topete y D. Juan de Acuña , Ayudantes de dicha plaza ; á…</t>
  </si>
  <si>
    <t>Juana, Pedro Pcrcz</t>
  </si>
  <si>
    <t>Pedro Pcrcz Juana</t>
  </si>
  <si>
    <t>…otras cosas lo siguiente: Los acreedores nombraron por comisionados en el concepto de síndicos de dicha testamentaría y sus incidencias a! Li;, D. Juan Ma nuel Aparicio, y al Dr. D. Pedro Pcrcz Juana, con amplías facultades para que, en unión, de'los apoderados de los herederos, traten de.liquidar y clasificar los cré ditos en pro y en contra. Asimismo seyeñaló para la celebración de otra junta el día 9 de Julio del presante año á las ocho de la mañana en…</t>
  </si>
  <si>
    <t>JuanOliver</t>
  </si>
  <si>
    <t>…os de tenientes coroneles de infantería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 Sisto Fajardo, D. Ma-„ miel Fernandez Rey na, D. F ra…</t>
  </si>
  <si>
    <t>JuanPerez</t>
  </si>
  <si>
    <t>En r. vio k; * nl¡ En Guadalajara. D. Joaquín Veladiez. * tJ« Toledo.......,.."-‘D:! 'Francisco Pérez! oh ?. • ' n Murcia..,....». D. Josef Ubach. " En Oviedo... '....... D. JuanPerez. 2í * Ciudad ^.Real.r D.MateoGasado y Romero. I 1 r • ■ : - i i4 .En Jaén..... .^.;..;i I&gt;^ Frane¿sGb^Lopíez Zavala. &gt; ■'! - i. *¡ " Q’.» EnSegovia.,...}.... Señores ■viuda deRamií*o y Mesa. ' En Cuenca........... D. Josef Escolar y Noriega. , Mallirca...:...…</t>
  </si>
  <si>
    <t>Juan’Gon</t>
  </si>
  <si>
    <t>…las cuatro memorias siguientes sé servirá comunicarla al colector generalde la Redención de cautivos ,* calle Heí Ba ño , núm. 8 , cuarto segundo. Memoria de Uzqueta: sú fundador D. Juan’Gon zález Uzqueta y Valdes, del consejo y cámara de Castilla,-año de 16^3‘. patronos los dos señores decanos de Castilla é Indias con el vicario eclesiástico *d¿ Madrid, M etnoriá de Mendieta: su fundador D. Lo’pe de Mehdieta en Sevillá: sus patronos los tres señ…</t>
  </si>
  <si>
    <t>Juári</t>
  </si>
  <si>
    <t>…; ^ Ascenso á tenientes de fragata A los alféreces de navio D. Josef Rodríguez, D. Francisco.; Guiral, D. Ignacio de Rojas, D¿ Antonio Garrapedo, D. Fran-t pisco Ruiz Caballero;, D. Juári. Villavrcencio, D. Alejandro Beyens, D. Vi-, pente Méndez-, ,D..Ántontp del- Corro, Di Antonio Roso, D. Juan Robion, I&gt;. Josef Car rabedo, D. Francisco: del Moyo, D. Josef del Rio, D. Domin go Monduiña , D. Manuel Diaz Herrera, D. Josef del Calvo, D. Manuel B…</t>
  </si>
  <si>
    <t>Julia, Francisco</t>
  </si>
  <si>
    <t>Francisco Julia</t>
  </si>
  <si>
    <t>…nio Alonso Isla, del de Voluntarios de León; D. Ma riano Alonso y D. Francisco Osorio, del Depósito general de Infantería; P. Alexandro Benisia, de la escuela militar de Santiago; D. Francisco Julia, de Cazadores Extrangeros, y D. Pablo Puente, del Real Cuerpo de Artillería: grado de Capitán á D. Antonio Salazar, D. Antonio Toxo, Don Xavier Pimentel y D. Ramón Osores, del Provincial de Santiago; D. Ber nardo Becerra, del de Betanzos; D. Joaquín López Var…</t>
  </si>
  <si>
    <t>Julián</t>
  </si>
  <si>
    <t>…muerte de D. Francisco Herme negildo Corchado, á D. Francisco Martin Escudero: para otro beneficio de Adanero, en la diócesis de Avila, vacante por muerte de D. Antonio Tor res, á D. Julián de la Peña: para otro beneficio simple de Santa María de Atienza de ia ciudad de Huete, en el obispado de Cuenca, vacante por di misión de D. Francisco Fernandez, í D. Isidoro Salazar, con retención del de Adamuz en la diócesis de.Córdoba; y para el arciprest…</t>
  </si>
  <si>
    <t>…hacer el mas justo elogio ert abono de la firme y circunspecta constancia del Sr. D. Ramón González de Bernedo, coronel del primer regí{ciento, de su muy benemérito comandante el coronel D. Julián de la Llave, y sargento mayor del mismo el de igual clase D. Mariano Novoa, como tam bién del , singular porte del capellán presbítero D. Tomas Zúñiga, pues han sellado honrosamente ia noble opinión que les distingue: igualmente que el recomendable' coronel D…</t>
  </si>
  <si>
    <t>…n guiteros. ' Biblioteca df buena educación, ó el amante de la niñez y de la juventud, saca da de; las dbr¿ que escribió en, francés él célebre Berguin, y puesta en castellano por D. Julián difVelasco. Si como no puede dudarse, la educación de la juventud debe ser uño dé smestrós primeros cuidados, no podrá menos de ser muy recomendable el mérito de esÉa obra, en dónde sé .encuentra lo mas escogido de lo que escribió Mr. Berguin, tan célébre en…</t>
  </si>
  <si>
    <t>Julián, Pedro</t>
  </si>
  <si>
    <t>Pedro Julián</t>
  </si>
  <si>
    <t>…guarde á Vi. S. muchos auos. Madridaó de Marzo • 1 :&lt;í* --i ■ ' • Jli Teniendo el Rey en consideración los méritos literarios y 'particulares servicios patrióticos del piresbíterb D. Pedro Julián .Lppéz , individuo del co^ legio de S. Camilo de Lelis del Corazón de Jesús, de padres agonizantes dé México, se ha dignado concederle plaza honoraria de predicador de S. M. , y este con éste motivo ha tenido la honra''débesar jaRpal minó de S. M. por sí y en…</t>
  </si>
  <si>
    <t>Julián, Simón</t>
  </si>
  <si>
    <t>Simón Julián</t>
  </si>
  <si>
    <t>…, D. Onorio Sierra y D. Justo Pasalagua, el alférez de fragata D. Josef Baldasano, el graduado, práctico mayor del puerto D* Manuel Hornigo, y los pilotos habilitados de oficiales D. Simón Julián y D. Francisco Morales, los cuales recomiendo á V. S. con particular empeño y eficacia, para que se sirva elevar al conocimiento de la superioridad el zelo, actividad, denuedo y serenidad de estos oficiales, ya que por mi parte no puedo darles otra prueba mas relevante de mi apreci…</t>
  </si>
  <si>
    <t>Junco, Manuel María</t>
  </si>
  <si>
    <t>Manuel María Junco</t>
  </si>
  <si>
    <t>…itar á $. M. por su restitución á España, á nombre del Real cabildo de Caballeros Cofrades, sito en el hospital de Santa María de Esgoeva de la ciudad de Valladolid» su cofrade el Sr. D. Manuel María Junco, del consejo de S. M. en el Real y Supremo de Indias, el qual, acompañado del conde de Polentinos, dixo: ,, Señor: la Real cofradía de Santa María de Esgueva, que goza el ho nor de tener por su patrono á V. M., se presenta á felicitar su regreso al trono de s…</t>
  </si>
  <si>
    <t>Jurado, Josef Eulogio</t>
  </si>
  <si>
    <t>Josef Eulogio Jurado</t>
  </si>
  <si>
    <t>…ción se tenga por adicional á las Reales Ordenanzas del Egército. Dios guarde á V. mu chos años. Madrid 20 de Setiembre de 181 j. Habiéndose dignado el Rey nuestro Señor admitir á D. Josef Eulogio Jurado, vecino de la ciudad de Baeza, el donativo que ha hecho de 1$778 rs. y 2 mrs. ,.en que alcanza á la Real Hacienda por suministros y dos caballos facilitados para los egércitos, se ha servido S. M. mandar que se publique en la gaceta este rasgo de generosidad…</t>
  </si>
  <si>
    <t>Jurado, Manuel María Truxíllo y</t>
  </si>
  <si>
    <t>Manuel María Truxíllo y Jurado</t>
  </si>
  <si>
    <t>…e nos convida nuestro suelo. Dios guarde á V. muchos años. Madrid 13 de Marzo de i8if. El Rey se ha servido nombrar para la abadía de Alcalá la Real, vacan te por fallecimiento de D. Manuel María Truxíllo y Jurado, á D. Manuel Cayetano Muñoz, obispo de Lecó polis, auxiliar de Sevilla: para la dignidad de arcediano de Galatrava, dignidad dé la iglesia primada de Toledo, va cante por muerte de D. Alfonso Aguado y Xarava, obispo de Augustdpolís, y auxiliar de dicha ciudad…</t>
  </si>
  <si>
    <t>JVieriáge</t>
  </si>
  <si>
    <t>…o de infantería ligera ttímó con tanta prontitud ; la cabeza del puente de Sargueminesy qué no dio tiempo al enemigo para levantar el puente levadizo. Este entonces mandado por el general JVieriáge opuso en Sarbruck una resistencia estraordínaria; sin embargo el general Beckers consi guió apoderarse de la ciudad por asalto, y le arrojó al otro lado del puente, haciéndole prisioneros cuatro oficiales y 70 soldados. Nuestra pérdida en esta acción consiste…</t>
  </si>
  <si>
    <t>Kapzeuiteh</t>
  </si>
  <si>
    <t>…e listado del egército que marcha d las órdenes del mariscal Barclay de TollL Tercer cuerpo, general en gefe el teniente general Dokloroff._— 7.3 divi sión de infantería, teniente general Kapzeuiteh___ 24.a división id., teniente general Radls__ -27.a división id., el teniente general Berosdin____3.a divi sión, de dragones , mayor general Alereyelf. Este cuerpo compone la derecha, y marcha sobre Francfort y Maguncia. Las .cabezas de estas columnas están…</t>
  </si>
  <si>
    <t>Keating</t>
  </si>
  <si>
    <t>…ul es muy perjudicial y destructora: ya hemos enviado dos divisiones del regimiento 79.0» y la última partirá mañana. Ade mas de las tropas que han salido de la isla de Francia el coronel Keating, último gobernadór de la isla de Borbori , entregada á los franceses el 6 . de Abril, salió con sus tropas pata Bengala, desde donde se dirigirá al Napaul-.4” t</t>
  </si>
  <si>
    <t>Kellerman</t>
  </si>
  <si>
    <t>…. „ A este tiempo comenzó el enemigo un ataque contra el príncipe Blucher con todas sus fuerzas, escepto los cuerpos primero y segundo, y un cuerpo de caballería á das órdenes del general Kellerman, con el q'uál atacó nuestro puesto de Quatre-Bras. ,,El egército prusiano mantuvo su posición con su acostumbrado valor y constancia contra un número muy desigual, 4. pesar de que no se le había reunido el cuarto cuerpo de su egército á las órdenes del genera…</t>
  </si>
  <si>
    <t>Kenáisehau</t>
  </si>
  <si>
    <t>…s los militares están én movimiento , y no se ve por todas partes mas qae aprestos de guerra. Todos los cuerpos que se iban acantonan do en Prusia están en marcha para Saxonia. £1 general Kenáisehau» cuyos talentos han tenido tanta parte en las glorias de la campaña última baxo el mando del príncipe ffucher» marchó anteayer para Maguncia , y se cree que el príncipe marchará en breve»según las primeras noticias que Kenaisenau envie de su arribo. La Prusia…</t>
  </si>
  <si>
    <t>Kennedy, Roberto Hugo</t>
  </si>
  <si>
    <t>Roberto Hugo Kennedy</t>
  </si>
  <si>
    <t>…poli-? tana de Burgos. &lt; : ^ i ; ; ’ . Habiendo hecho los mayores? servicios en beneficio de los ¡exércitos y va sallos de S. M. los intendentes generales del exército bntánÉÍc.o, D. Roberto Hugo Kennedy y D. Carlos Dalryrnple, y queriendo el Rey-manifestarles:, su.Real aprecio, se ha;servido concederles la gracia de cruz supernumeraria de la Real y distinguida orden española de Carlos ni. . En atención á Jos disti.ngqidos méritos y servicios de D. Francisco Xa vier Manzano, admini…</t>
  </si>
  <si>
    <t>Kleist</t>
  </si>
  <si>
    <t>Núm. 47. quartos.] 597 GACETA DE MADRID DEL MARTES 18 DE ABRIL DE 181J. á BELGICA. Brusélas 23 de Marzo. El exército prusiano á las órdenes dé! general Kleist está marchando desde las márgenes del Rhi-n hacia las fronteras de Francia; y acá esperamos a! duque de W eliington ,que viene á tomar el mando del exército que se re úne ya para operar por la Bélgica, en donde entre otras tropas se deben re unir 30$ suecos.…</t>
  </si>
  <si>
    <t>…as órdenes del mariscal Blucher, manda dos por los generales Wintzingefodéy Wozonyott y .Yerinoloft. £1 cuerpo de ,$oQ prusianos 9 ó acaso de mas 9 situado en el Ruin ai mando del general Kleist 9 está ya pronto á obrar. i £1 público está aquí muy contento con saber que en Viena han firmado los Soberanos la cesion.de toda la Saxonia, que era su objeto favorito* des pués de haber rehusado el rey de Saxonia y sujiermano firmar el conve nio : sin embarg…</t>
  </si>
  <si>
    <t>Kotzebue</t>
  </si>
  <si>
    <t>…erá por el de Toares al Cabo de Buena-Esperanza;; de modo que probablemente estará de vuelta en Cronstadt por el mes de Agosto de 1818. oin embargo, se ha dejado-al Arbi trio, del comandante Kotzebue el detenerse un año mas en el viage, si lo cre yese necesario, para desempeñar mejor el objeto de la espedicion , cuyo plati ha sido proyectado por Mr. de Krusenstern. Es de esperar que esta espedi cion dé nonor á nuestra patria y al conde Romanzow, á quien t…</t>
  </si>
  <si>
    <t>Kriegelstein, Binder de</t>
  </si>
  <si>
    <t>Binder de Kriegelstein</t>
  </si>
  <si>
    <t>…ines de Abril. Acom pañarán al Emperador su augusta esposa, el príncipe Real y la archiduque sa Beatriz. Se habla de algunos nombramientos en el cuerpo diplomático, tales co mo el barón Binder de Kriegelstein para Holanda; el conde de Appony pa ra Florencia, y el conde Lutzou para Stuttgardt. Los mismos motivos que habían determinado áS. M. á licenciar los ba tallones de la landwher, le habían hecho tomar también la resolución de li cenciar las 24 divisiones de v…</t>
  </si>
  <si>
    <t>…6co £1 conde de Kungl, general al servicio del-Austria, y comisario especial de los Soberanos aliados, pasó ayer por aquí con dirección á Maguncia. El dia 2 llegó i esta ciudad el barón Binder de Kriegelstein , ministro ple nipotenciario del Austria cerca de S. M. el rey de los Paises-Baxos. , Idem 8. \ Ayer volvió aquí el duque de Wellington de su víage á Gante después de haber tenido una conferencia con S. M. Luis xvm. No se sabe cuando saldrá para el egercito.…</t>
  </si>
  <si>
    <t>Kruse</t>
  </si>
  <si>
    <t>…el el honorable S.í Alejártaró Go r-don ;que ha muerto d&amp; susvherida&amp;,era un ofieiáb-qtié prometía mucho, y asi su muerte es una .grave pérdida para el servicia dé fe M. roí vi Si general Kruse, al servicio dé Nassau, se condujo también^ fiitiy á sa tisfacción mía; 3lo mismo que el general Trip, que mandaba la * brigada dé balíería pesada, y del general'jVanliope, comandante de la brigada de iáfantería del Rey de los Países-Bajos. -supí , ' s.*i :j…</t>
  </si>
  <si>
    <t>Krusenstern</t>
  </si>
  <si>
    <t>…llevar la bandera militar rusa. Va mandado el navio por el teniente de la armada imperial Kotzebue, hijo del célebre escritor de este nombre, que ha dado ya vuelta al mundo con el capitán Krusenstern„en el tfadeshda. Hay á bordo del Rurik otros dos tenientes de navio, uno de los cuales,aunque mas antiguo en el servicio que Kotzebue,ha consentido en ser virá sus órdenes. Van también en laespedicion el Dr. Eschholtz, de la univer sidad de Dorpat, químico, c…</t>
  </si>
  <si>
    <t>L, M. M.</t>
  </si>
  <si>
    <t>M. M. L</t>
  </si>
  <si>
    <t>…dé las Carretas; .de Barco, carrera de S. Gerónimo, y de Villa., plazuela de Sto: Domingo. Loa que en celebridad del cumpleaños de) Serino. Sr. Infante D. Carlos pre sentó á S. A. Doña M. M. L. tJ. Se hallará en la librería de Dávila, calle de las . Carretas, y de Ranz, calle del Pozo: su precio 1 2 quartos. Puede ir en carta. Memorial en verso presentado á $. M. y AA. por un brigadier de caballería, expresando sus servicios desde el año de 1769, y…</t>
  </si>
  <si>
    <t>Lá</t>
  </si>
  <si>
    <t>…do de Osma, á D. Blas Rubio, presbítero, en premio de sus servicios en la última guerra contra el usurpador del trono. Habiéndose dignado S. M. admitir los donativos que hanhhecho D. Lá zaro Carvajal, asentista de varias brigadas de los Reales exércitos, de 580 reales'vellón, y D. Alonso Macías Olano, capellán de exército retirado, dé Su sueldo por entero, y el rédito desde 23 dé Junio'‘-de 1808 de uti capital de 44® reales vellón pertenecie…</t>
  </si>
  <si>
    <t>La-Reguera, Francisco</t>
  </si>
  <si>
    <t>Francisco La-Reguera</t>
  </si>
  <si>
    <t>…ores á D. Ramón Lorente; idem de fusileros á D, Josef Salazar, D. Ra fael Galdia, D. Jo.ef Tucar, D. Juan Mijares, D. Tomas Agudo, Don Francisco Manuel Alvarez, D. Gregorio Baeza, D. Francisco La-Reguera y D. Vicente Aneses ; subtenientes de cazadores á D. Domingo Miranda y D. Juan Manuel Piedra, y subtenientes de fusileros á D. Juan de la Rosa, D. Julián Conde , D. Josef García, D. Antonio García, D. Francisco Gu tiérrez Miera , D. Josef Gutiérrez, D. Antonio María Palomo, D. J…</t>
  </si>
  <si>
    <t>La-Rus</t>
  </si>
  <si>
    <t>…abrá impedido el suceso si guiente: Como por el Cauca podían bajar tropas de Ánrioquía, que desde luego enviaría al socorro de Mompox el congreso , y por otro lado mi ayu dante el capitán La-Rus podía ser atacado dentro de la isla por los pueblos de Magangue, Yati y otros , en donde ya había fuerzas insurgentes, salió di cho comandante en persona á verificar el importante reconocimiento del cau daloso Cauca y de los puntos insinuados. Se halló delant…</t>
  </si>
  <si>
    <t>La-Rus, Ignacio</t>
  </si>
  <si>
    <t>Ignacio La-Rus</t>
  </si>
  <si>
    <t>…paso á nuestras embarcaciones, y hacían continuos desembarcos en el pueblo de S. Antonio, en nuestras riberas, que forma la otra parte del estrecho---- . íjíl 3 de Abril asaltó el capitán D. Ignacio La-Rus el peñón. Los malvados que se abrigaban en él habían quemado pocos dias antes el pueblo de Chimíchagua, y ademas de que era justo escarmentarlos, con venia quitar aquel es torbo á nuestra posición. La-Rus atravesó en pequeñas barqueras el César, y salió al Ma…</t>
  </si>
  <si>
    <t>…por donde conducen los barcos menores desde Cartagena, con lo que les privaré hasta de la esperanza de tener la mas pequeña influencia en el Magdalena__ _A este tiempo el bizarro capitán D. Ignacio La-Rus marchaba á egecutar mis órdenes sobre Mompox. La división volante de su mando compuesta de di ferentes compañías urbanas, que él mismo ha disciplinado de paisanos de Ghiriguana y parte del Hacha, y de una lucida y valiente oficialidad, «e apodero de aquella h…</t>
  </si>
  <si>
    <t>…cimiento tan grande por la opor tunidad en que se :ha verificado, como por lo bien dispuesto y equipado de la .espedicion-----.Recomiendo á V. E. ai. capitán del segundo Americano D. Ignacio La-Rus , par el valor , sagacidad y talento militar con que se ha portado en la egecucion de mis órdenes y en jas distintas acciones que ha te nido , saliendo victorioso de todas, y cogiendo oportunamente el fruto deellas: por lo cual, y señaladamente por la roma de…</t>
  </si>
  <si>
    <t>Labandeyra, Francisco</t>
  </si>
  <si>
    <t>Francisco Labandeyra</t>
  </si>
  <si>
    <t>…Lobo , D. Joaquín Delgado , D. Benito Basabe, D.Márcos Guruceta, D. Roque Guruceta ,D. Pedro Nuñez , D: Tomas Urreclia, D. 'Joaquín Blan co oMaldoñádoy;D. - Tobías Blanco Cabrera, D. Francisco Labandeyra, Doh Andrés Fernandez Caballero y D. Diego Prieto. - ; Ascenso á capitanes de fragata á los tenientes de navio D. Ramón de Eulate , D. Tomas Cortés, D. Pedro Bucheli, D. Sebastian Paez de la Cadena, D. Francisco Lafita » D. Joaquín Gil de Bernabé, D. Gregorio…</t>
  </si>
  <si>
    <t>Labedoyere</t>
  </si>
  <si>
    <t>…os departamentos de ¥ rancia una contribución &lt;estraordinaria de ioo millones de francos para gastos i de guerra. (Idem 18. r Hoy se ha visto en publico y sentenciado la causa del coronel Labedoyere. El salo'n del conse ja de íguerra estába llenó de personas; principales y, de estrangeros, distinguiéndosé entre estos el Príncipe heredero de. Oran ge, ei; Principé Real de Wurtemberg yí ebPríncipe^Guillermo de-Brusía. Bresidia el. tribunal el coronel. Bert…</t>
  </si>
  <si>
    <t>Labiaga, Miguel</t>
  </si>
  <si>
    <t>Miguel Labiaga</t>
  </si>
  <si>
    <t>…Baltasar Jalón, D. Josef Rizó , D. Manuel Santos, D. Gregorio Losada ,D. Francisco Silva &gt; D- Josef Duran, D. Rafael* Máhi,D. Juan Sentmauat, D.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t>
  </si>
  <si>
    <t>Laborda, Francisco</t>
  </si>
  <si>
    <t>Francisco Laborda</t>
  </si>
  <si>
    <t>…Pascual Menacho, D. Cárlos Teodoro,Gil, D. Claudio Vinuesa, D. Juan Qüirante, D. Josef María Muñdz*, D. Francisco Ocaña, IX Antonio Gayosrí ,. D. Antonio García, D. Víctor Perez, D. Francisco Laborda, D. Antonio Echavarri, I). Josef Valcárcel 'yRosique, D. Josef Gómez Arteche , D. Joséf Gutiérrez, D. Josef B en i tez Cafrípou ,D. Segundo Ulibarri, D. Miguel Párraga, D- Juan Amonio Pereyra, D. Pablo Ortiga Samaniego, D. Joséf Valcárcel y Arias, D. Francisc…</t>
  </si>
  <si>
    <t>Laborda, Nicolás</t>
  </si>
  <si>
    <t>Nicolás Laborda</t>
  </si>
  <si>
    <t>…nez, IX Rufino; Andinql IX Antonio la Rosa i D. Pedro Albo, D. Nicolás Giezar, DvJuanVicente , D. Eduardo Paules , ,D. Francisco Sánchez, D. Josef de Castro, D. Venancio, Garnez , D. Nicolás Laborda, D. Manuel 1 aborda*, D. Nicolao Ribera, D. Gregorio Dalmao ; D. Francisco Navas., D. Filiberto Malus, D.;/Josef •¡Blanco*L). Mariano Córdoba * P. Josef Ferrer, D. Ca yetano Vivar , P,; JqseJ de^fcuenca, EX Francisco Caso, D. Felipe Mendicuti, í). Baltasar Go…</t>
  </si>
  <si>
    <t>Labrador</t>
  </si>
  <si>
    <t>…repentina invasión de Bonaparte en Francia, y «ucesos extraordinarios que la siguieron ; pero restituido al trono de áqüella monarquía su legítimo Soberano, volvió a practicar el Sr. Labrador las mas activas diligencias en órden á la expresada reclamación, como igualmente ct Ministro de S. M. cer^ C¿ del Rey de los Paiseis-Bajos D. Miguel’! de Alava , ' quién participo en el mes de Setiembre último haberse encargado, con-arreglo á las instruccione…</t>
  </si>
  <si>
    <t>Labrador, Bartblómd</t>
  </si>
  <si>
    <t>Bartblómd Labrador</t>
  </si>
  <si>
    <t>7X9 Josef Saavedra , D. Maimel del Barrio, D. Bartblómd Labrador, D. Raimun do Marín, D. Josef Fernandez de los Muros, D. Fernando Plaza, D. Isidro Cifuentes, O. Antonio Montesinos, D. Lorenzo García, D. Miguel1 Blanco* D. Francisco Sancha, D.-AntonioEstevezyD; Ildefonso Mansilla, D. Gre-f gOrio Pieoir, D. Cristóbal Bermej…</t>
  </si>
  <si>
    <t>Labrador, Pedro</t>
  </si>
  <si>
    <t>Pedro Labrador</t>
  </si>
  <si>
    <t>…en este caso muchas preciosidades del Real gabinete de Historia natural, se pasó en el propio mes por la primera secretaría de Estado una nota circuns tanciada de ellas al Excmo. Sr. D. Pedro Labrador, con las mas eficaces ór denes para, reclamarlas y remitirlas á España.</t>
  </si>
  <si>
    <t>Lacepede</t>
  </si>
  <si>
    <t>…udet, el conde de Aboville, el mariscal duque de Dantzick ( Lefevre), el conde de Croix, el conde Dedelei-de-Agier, el conde Dejean, el conde Fabre del Aude, el conde Gassendi, el conde Lacepede, el conde Látour-Maugbourg, el duque de Praslin, el duque de Plasencia, el mariscal duque de Elchingen (Ney ),.el mariscal Suchet, el mariscal duque de Conegliano (Moncey), el mariscal duque de Treviso ('M^rtier), el conde de Barral, arzobispo de Tours, el co…</t>
  </si>
  <si>
    <t>Lacketl</t>
  </si>
  <si>
    <t>…división .id»., el teniente general Olsoufieff.___3.a división de húsares, teniente general Ezaplitz.»__ Ochenta y quatro cañones.. . i . ■.»; ...• &gt; v; Ouinto cuerno de egército, general Lacketl._ 12.* división de infantería;*■ 1 u ' u general el conde Woronzóff.-i-15 .a división id.,í teniente general MarkofE— 26.a división id., general Emme._-2.a de dragones, el general RosíL — Ciento veinte piezas de artillería. Este cuerpo forma el centro , y mar…</t>
  </si>
  <si>
    <t>Lacy, Juan Tirry y</t>
  </si>
  <si>
    <t>Juan Tirry y Lacy</t>
  </si>
  <si>
    <t>¿OÍ general Morillo; Di Luis Roca de Togafefc y Juan, comándame délcástillo de ia Cabana en la Havana; D. Juan Tirry y Lacy y D. Anastasio Fráncisco-Armenteros, coroneles agregados al escuadrón de dragones dé América lijo de aquella plaza; D. Ensebio Escudero, gobernador de Cuba ; D. Cárlós May nez, comandante general que ha sido del istmo de Panamá; D. Ricar do O-Farril, teniente coronel del regimiento darm¡líelas…</t>
  </si>
  <si>
    <t>Lado, Pedro</t>
  </si>
  <si>
    <t>Pedro Lado</t>
  </si>
  <si>
    <t>…a,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Manuel Martínez y D. Francisco Espiñeyra , del de Lu go; D. Pedro Tineo, D. Juan Puente…</t>
  </si>
  <si>
    <t>Ladrón, Josef Herrera</t>
  </si>
  <si>
    <t>Josef Herrera Ladrón</t>
  </si>
  <si>
    <t>…a de Segovia, el privilegio que tiene de exención de pe chos y otras libertades y franquezas. "V . —■ ■ 11 " - ■ ■ ■■■ ■ ■ 11 ~ "" 1 """ .......................... v v IM * ' ' *" D. Josef Herrera Ladrón, natural de la villa de Castroxeriz, provincia dé Búr-t gos, teniente del regimiento provincial de la misma, en Octubre de 1807 pasó con su compañía á la artillería de Barcelona, donde permaneció hasta que á ios enemigos se les dio el fuerte de Monjuíen el de…</t>
  </si>
  <si>
    <t>Lafita, Francisco</t>
  </si>
  <si>
    <t>Francisco Lafita</t>
  </si>
  <si>
    <t>…ez Caballero y D. Diego Prieto. - ; Ascenso á capitanes de fragata á los tenientes de navio D. Ramón de Eulate , D. Tomas Cortés, D. Pedro Bucheli, D. Sebastian Paez de la Cadena, D. Francisco Lafita » D. Joaquín Gil de Bernabé, D. Gregorio Roldan , Don Redro de Nava, iD; Miguel Araoz, D.: Juan Echenique, *6/ Vicente Varela, D. Agustín Blondo, D. Agustwt Wautersy D. Ramón Allendey-D» BenitoOirtiz, D/ Manuel Soli$y D. Nieblas Meñaca, D¿ 'Ignacio ValleMarim…</t>
  </si>
  <si>
    <t>Lafuente, Juan</t>
  </si>
  <si>
    <t>Juan Lafuente</t>
  </si>
  <si>
    <t>…er muerto de balazo so marido D. Félix Perez» Teniente Coronel del Regimiento de Voluntarios de León: su ascenso in mediato al Escribiente del ramo de Cuenta y Razón de Artillería D. Juan Lafuente, y al Cirujano de Voluntarios de León D. Angel Vicente: hono res de Médico consultor á D. Enoch Herrero; y permite S. M. el uso de la referida Cruz concedida á la guarnición al padre ó pariente mas inmediato de D. Valentín Santogo, D. Carlos Quiñones, D. Manu…</t>
  </si>
  <si>
    <t>Lagarde-enNimes</t>
  </si>
  <si>
    <t>…xtendido en lengua francesa. , El Príncipe de Hardemberg ha salida hoy para Berlin. Mr. de Humboldlfc marcha mañana con dirección á Francfort. íí ; ; El 12 de este mesfueherido&lt;el general Lagarde-enNimes por algunos revoltosos. -, ... En vista de un atentado tan atroz ^ ha expedido el Rey una* or den, con fecha de 2í? dél mismo^oviembre y mandando proceder InaíedláM- meóte contra los -culpables y y que ¡marche ái Nimes Un número suíiciente de</t>
  </si>
  <si>
    <t>Lagasca, Mariano de</t>
  </si>
  <si>
    <t>Mariano de Lagasca</t>
  </si>
  <si>
    <t>…rno. -- ■ * • •- ‘ ’-J-'. f ,á rj. i,.\ - •• _ ’ El dia 20 del cérirleneé tuvieron ía honra el Excmo. Sr. conde deClavijo, D. Juan de Palareá, brigadier de los Reales egércitos, y D. Mariano de Lagasca, profesor y director del Real jardín botánico de esta corte, de presen tarse á S. M., y besar su Real mano en nombre de la academia médica da Murcia , y el primero de ellos arengó á S. M. en los términos siguientes : ,,Señor: La academia médica ae vuestra ciu…</t>
  </si>
  <si>
    <t>Lago, Diego Piñeyro y</t>
  </si>
  <si>
    <t>Diego Piñeyro y Lago</t>
  </si>
  <si>
    <t>…gaceta para cono cimiento del público* áqtfien se oculta el nombre de este digno empleado á petición del mismo. •' 1 : ó Asimismo habiéndose dignado admitir el Rey nuestro Señor á D. Diego Piñeyro y Lago, administrador de Rentas de los partidos de Corcubion y Vimiazo, en el reyno de Galicia, el donativo de 2200 rs. vn. remitidos en una letra pagadera á la vista en esta corte, ha tenido á bien mandar S. M. ..que sede den las gracias en su Real nombre, y que se…</t>
  </si>
  <si>
    <t>Lagu, Antonio Vargas</t>
  </si>
  <si>
    <t>Antonio Vargas Lagu</t>
  </si>
  <si>
    <t>…on cuya explicación ha remitido al Rey nuestro Señor este con venio, firmado de su Real mano , sellado con su sello, y refrendado y sella do también con su sello particular por el Sr. D. Antonio Vargas Lagu na, consejero de Estado y ministro plenipotenciario del Rey nuestro Se ñor cerca de la Santa Sede,de quién el Rey Padre ha querido yaierse, coa-* cediéndole para este caso las facultades de secretario suyo. Esta solemne ratificación ha tenido la satisfacción…</t>
  </si>
  <si>
    <t>Laguna, Antonio Vargas y</t>
  </si>
  <si>
    <t>Antonio Vargas y Laguna</t>
  </si>
  <si>
    <t>…a, obispo de San-' tander, marques de Sta. Cruz , duque de Medinaceli , conde de Torrejón, du que de Alagon, D». Francisco Saavedra, conde de Ezpeleta , D. Pedro^Gó mez Labrador y D. Antonio Vargas y Laguna. 1 De número, pequeña á D. Francisco Ortiz de Taranco. &gt; Supernumerarias á D. Gaspar Zurita, D. Ignacio Acha,D. Vicente Alzaybár., D. Josef Vareta y Montero, Barón de Gastellnou de Momech , Don Burges Camac, D. Josef Montenegro , D. Ventura Malibran, D. Pedro…</t>
  </si>
  <si>
    <t>Lagunez, Pedro</t>
  </si>
  <si>
    <t>Pedro Lagunez</t>
  </si>
  <si>
    <t>Se cítá, llama y emplaza ¿ la persona que sea inmediato poseedor del víncutoque en la villa, de. M,uduex, .provincia de Guada laxara, mandó fundar el Lie. Don Pedro Lagunez, presbítero, cura que fue de la iglesia parroquial de la villa de la Toba, que posee Doña Juliana de Tapia, para que en el término perentorio de 15 diatf^se presente por sí ó por procurador con suficiente poder ante el Sr. D. Luis Gabaldon y López, del consej…</t>
  </si>
  <si>
    <t>Laiitte</t>
  </si>
  <si>
    <t>…íacos, piamonteses c ingleses. ir; ; v - , FRANCIA, JFoix 11 'de Mayo. En» Ax se habían hecho i preparativos de defensa; pero los desertores que quisieron reunir parí* oponerse al general Laiitte, siendo en menor número quedos que le acompañaban, determinaron huirr,y el restó se dispersó en las montañas.' ■ ;'f ■■■*■■ ' • f: i k.;: &lt;/,, ' Mr. Castellet, principal motor de esta reunión, tenia en su casa los fusíles y municiones que se repartieron ¿ los…</t>
  </si>
  <si>
    <t>Lamarque</t>
  </si>
  <si>
    <t>…ones rigurosas ha dado lugar la imprevista venida de algunos militares que formaban parte del egército deí Loira, y cuya presencia ha po dido inspirar alguna inquietud. . &gt; . v El general Lamarque se ha entregado á disposición del gobierno. : ídem iá. . El mariscal Briine i qüe había salido de Tolon con pasaporte de Mr. de Riviere, fue conocido en Aviñon por el pueblo, y esteisé álboíotó inmedia ta mente* Bru ne ■ ba jó- del: coche y se refugió eti ,u…</t>
  </si>
  <si>
    <t>Lámarque'</t>
  </si>
  <si>
    <t>…. /, .• . . : En el O. el combate de4^ Rpcáserviere hadado un; golpe mortal á la in surrección. Muchos militares insurgentes han caído en manos de nuestros sol* dados. El teniente general Lámarque' cree que los gefes de. los insurgentes no esten muy tranquilos cualquiera que sea la influencia de los últimos acón* tecimientos. .. La ciudad de Nantes ha decretado, un préstamo de 200® francos para po* nerse en estado de defensa y equipar ja guardia naciona…</t>
  </si>
  <si>
    <t>Lambarri, Francisco Rodríguez</t>
  </si>
  <si>
    <t>Francisco Rodríguez Lambarri</t>
  </si>
  <si>
    <t>…raxo en lareconquhfc? de la plaza de Sto,*Domingo; grado de tenientecoronebér* el regimiento infante^ xia de la Ha va na alcapitandegranaderos IXPedroGastilla ¿grado de capi tán á D. Francisco Rodríguez Lambarri, teniente delrégimierttó infámerm do ’ la Luisiatia ícodipañfía de milicias á D. Luis Gáy ámyteniéhtedfel regimiento de la Lüjsiana t grado dé 'coronel á‘ DlTOgüet PálatínO^ comandante^,del iM cér batiilon dél fisto5 de Puerto-Rico i gh do deienifeiite' coron…</t>
  </si>
  <si>
    <t>Lamben</t>
  </si>
  <si>
    <t>…ciembre se había construido una batería de 30 cañones á una legua de la Nueva-Or— teans,- y quelél enemigo tenia 12© hombres mandados por el general Jackson. El 29 de Diciembre el general Lamben desembarcó dos regimientos que habían llegado de Inglaterra. — El 5 de Enero la artillería inglesa ba tía en brecha un fuerte que se debía escalar en la misma noche, y cuya to ma debía hacer dueño al almirante ingles de la Nueva- Orleans. Idem 2 i. En la cáma…</t>
  </si>
  <si>
    <t>Lana, Juan de Vargas</t>
  </si>
  <si>
    <t>Juan de Vargas Lana</t>
  </si>
  <si>
    <t>…do, D. Fermín Esterripa y D. Francisco de Paula Osorio. -Ascenso á capitanes de navio áTos de fragata D. Francisco Man¡on, Don Faustino Gnimii,: D. Rafael• Lobo, D. Pedro Acevedo, D. Juan de Vargas Lana, D. Jacinto Rotnarate,: ¡ DJ Eduardo Briant, D. Ramón Ortiz Otañez, Dv Miguel Palacios Ruiz, D^ Ramón Aguí lar, D. • Josef del:Camino y Cami no, D. Felipe Perez Acevedo, D. Ramón de la Sierra , D. Alejo Gutiérrez de Rübalcava, D. Luís Moreno ,D. Ignacio Acedo…</t>
  </si>
  <si>
    <t>Lanao, Josef</t>
  </si>
  <si>
    <t>Josef Lanao</t>
  </si>
  <si>
    <t>…btenientes de bandera á D, Manuel Gil, D. Josef Nicolás Esre’Ia, D. Ignacio Alcázar y D. Jacinto del Rico: con la de 30 de Enero último capitán de granaderos en el propio cuerpo á D. Josef Lanao ; ídem de fusi leros á D. Josef Bello y D. Ignacio Saenz; ayudante maj'or del primer batallón á D. Josef Moreno; teniente de granaderos á D. Josef Agustín Zavala ; idem de fusileros á D. Hermenegildo Herrera y D. Manuel Guerra; Subtenientes de bandera á D. Ve…</t>
  </si>
  <si>
    <t>Landa, Pío Agustín de</t>
  </si>
  <si>
    <t>Pío Agustín de Landa</t>
  </si>
  <si>
    <t>…cruz supernumeraria de !a Real y distinguida orden española de Carlos iii. , &gt; Enterado el Rey nuestro Señor de los distinguidos servicios que ha con traído durante su cautividad D. Pío Agustín de Landa, su secretario con exercicio de decretos, y comisario ordenador de sus Reales exércitos, ha venido en condecorarlo con la cruz supernumeraria de la Real y distinguida orden de Carlos iii. D. Miguel de Rivas, cura y beneficiado propio de la iglesia mayor de St…</t>
  </si>
  <si>
    <t>Landavese, Josef de</t>
  </si>
  <si>
    <t>Josef de Landavese</t>
  </si>
  <si>
    <t>, 233 capitán de infantería de Buencs-Ayres, y á D. Josef de Landavese, te niente coronel del cuerpo de la Concordia de la Paz en el Perú; y de ca pitán á D. Jorge Cámara, D. Diego Ballesteros y D. Juan Gerónimo Suarez , los dos primeros tenientes de infantería de Buenos- Ayres , y el último de blandengues de Montevideo. Asimism…</t>
  </si>
  <si>
    <t>Landazuri, Nicolás</t>
  </si>
  <si>
    <t>Nicolás Landazuri</t>
  </si>
  <si>
    <t>…Losada ,D. Francisco Silva &gt; D- Josef Duran, D. Rafael* Máhi,D. Juan Sentmauat, D.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Enfy, D. Josef Aguilar, D.” Juan de DiosVaidivia,D. Lázaro Caballer…</t>
  </si>
  <si>
    <t>Landecho, Luciana</t>
  </si>
  <si>
    <t>Luciana Landecho</t>
  </si>
  <si>
    <t>…os seis siguientes de 150 pesos, números 152143, 198245, 209740, 168209, 180801 y 148792. Estos siete vales se remitieron por el correo del 23 del mismo tnes en carta franqueada á Doña Luciana Landecho, vecina de Bilbao, á quien estan endosados; y habiéndose extraviado se suplica al que los tenga se sirva entre garlos en Madrid al referido D. Antonio Elola, que vive calle de los Preciados, casa números 14 y 15, quarto principal, ó en Bilbao á Doña Luciana L…</t>
  </si>
  <si>
    <t>Lángara, Juan</t>
  </si>
  <si>
    <t>Juan Lángara</t>
  </si>
  <si>
    <t>…recido reiteradamente su conducta la aprobación de S. M. Siguió posterior mente sus servicios en la guerra sucesiva con Inglaterra, mandando el navio S. Vicente de la escuadra del general D. Juan Lángara, con la que fondeó en Tolon , pasando á Cádiz á encargarse del de S. Josef, que á su llegada supo habiari apresado los ingléses. En la serie de su dilatada carrera fue promovi do á los empleos correspondientes hasta el de teniente general, que obtuvo en Novie…</t>
  </si>
  <si>
    <t>Langeroh</t>
  </si>
  <si>
    <t>…t. ' El i.° es del lord Stewart desde el cuartel general imperial de Manheim de 25 de Junio, y en el refiere los diferentes movimientos hechos poe el mariscal bávaro Wrede, por el conde Langeroh, por los rusos, por el Príncipe Wurtemberg y el Archiduque Fernando , todos los cuales debían re unirse en Nanci. El 2.0, de la misma fecha,comunica la toma de Saaregemines y deSaarbruck por el Príncipe Wrede. » , ■ El 3.0 , con fecha del 26 de Junio , partic…</t>
  </si>
  <si>
    <t>Langeron</t>
  </si>
  <si>
    <t>…certar fel plan de operaciones que ha de adoptarse en la Italia: se cree que pasará tam bién á Francfort. ' • * El dia'3 llegó ya á Lamberg la columna de tropas rusas que manda el general Langeron. El cuerpo de tropas también rusas que está ahora cruzan^ do por la Franconia es probable que se concentre sobre el Mein. 1 . ; • ' - ............. ' ' ESPAÑA. ' ‘ ‘ 'Vitoria &lt;io de Junio, - Para prueba del alto grado á que el gobierno de Napoleón lleva el es…</t>
  </si>
  <si>
    <t>…los ,males, inseparables de la guerra, en cuyo caso nó dejará por su parte de auxiliar y proteger á todos. .;■■■■ ■ k-vi ■ Laóts j6de Julio* &gt;;■'. ;Pdr una orden del dia del feld-mariscal Langeron se ha enarbolado'hoy en esta ciudad la bandera blanca; pero como prueba de .sumisión solamente al Rey , y con esclusion de todas la$ fuerzas aliadas. / Burdeos 2$ de Julio, Mr. de Tounon, nombrado prefecto del departamento del Gironda por S. M., llegó ayer á…</t>
  </si>
  <si>
    <t>…teatro , donde se jrer doblaron los aplausos y aclamaciones. í; l FRANCIA. Wehsémbiorgo. 22 de\Setlembrs. Por. aqui transitan en muy Crecido número tropas .rusas del egército del general Langeron y las cuáles llegan por diferentes caminos de las montañas que separan la A isa da de la Lirena, y se dirigen todas bada Neustadt y Tujrkheim, de. donde, pasan, i iMajiheimv.Al tiempo, deda Regada de las dos paneras cóíunraas ’iiisás «¿tó,/bástante trabajolel…</t>
  </si>
  <si>
    <t>Lape, Tomas</t>
  </si>
  <si>
    <t>Tomas Lape</t>
  </si>
  <si>
    <t>…nando de Hoces , ca pellán de honor, le ha concedido el Rey la gracia de cruz supernumeraria de la misma., ' : • &gt; 1 . - - ¡i: - &lt; , .j-, f. Igual gracia ha concedido S. M. al Dr. D. Tomas Lape ña, teniente de vicario de los Reales exércitos, y canónigo jubilado de la iglesia metrópoli-? tana de Burgos. &lt; : ^ i ; ; ’ . Habiendo hecho los mayores? servicios en beneficio de los ¡exércitos y va sallos de S. M. los intendentes generales del exército bnt…</t>
  </si>
  <si>
    <t>Lapeña</t>
  </si>
  <si>
    <t>1304</t>
  </si>
  <si>
    <t>…y el abordáge que preparaban contra las fuerzas sutiles que de fendían la punta de la Cantera. Etas mismas noticias sirvieron también para que nuestro cuarto egército al mando del general Lapeña y el de nuestros alia dos consiguiesen el triunfo de los campos; de Chiclana; ademas- de lo cual* dio otros avisos de la mayor importancia. La correspondencia de Sobral con el go bierno era diaria,y en los casos de ataque en algún punto de la línea las re pet…</t>
  </si>
  <si>
    <t>Lapeña, Manuel</t>
  </si>
  <si>
    <t>Manuel Lapeña</t>
  </si>
  <si>
    <t>…uientet..Vcon igual iriotivo tuvo la misma honra - una .diputación de fá villa de Puente la Reina en el reino de Navarra , compuesta del presbíte ro D. Ramón Eyaraluz y del Escmo. Sr. D. Manuel Lapeña , teniente genejal de* los ¡ Reales egércitos,,de los cuales el primerd. éspuso Jos ¿-sentimientos que&lt; han animado y animan á los vecin'osnde aquella ijfillai en favor de S. y jos servicios últimamente hechos en. Su defensa.; , y - ^ r . 11 Asimlsuió éí día…</t>
  </si>
  <si>
    <t>Lapeña, Tomas</t>
  </si>
  <si>
    <t>Tomas Lapeña</t>
  </si>
  <si>
    <t>…iento de la misma hasta el 30 de Enero, y la oposidon se hará el 8 de Febrero. Ensayo sobre la historia de la filosofía desde el principio del mundo hasta nues tros dias: su autor D. Tomas Lapeña, canónigo de Ja santa iglesia de Búrgos. Esta obra original es del mayor interés para toda clase de personas, y necesaria i los literatos,pues presenta con, precisión y claridad los sistemas filosóficos de los pue blos y dé los filósofos desdé Adan hasta ahor…</t>
  </si>
  <si>
    <t>Lapi</t>
  </si>
  <si>
    <t>…Hungría. Llevan mucha co mitiva y ocho coches: no hacen noche sino en donde hay bucOa guarnición. En su comitiva se encuentra el marques Lucchesini. También va preso i Hungría el general Lapi, que se halló eri Portoferrayo. El cuartel general del principe Schwart2enbetg salió el día 8, y llegará á Ratisbona el 24. El 20 partirá de esta capital dicho Príncipe—Continua mente pasan per aquí regimientos qae .vienen de Cxallitzja y de Moravia.</t>
  </si>
  <si>
    <t>Lara, Francisca Manrique de</t>
  </si>
  <si>
    <t>Francisca Manrique de Lara</t>
  </si>
  <si>
    <t>…, núm. 9, quarto baxo, con los documentos que justifiquen sus créditos. Para asuntos de alguna consideración é ínteres que hay que comunicarles se de* sean hallar los herederos de Doña Francisca Manrique de Lara y del señor conde de Lavania, vecinos de esta corte. La persona ó personas que puedan legitimar di cha representación podrán acudir en ella á D. Miguel de Náxera, agente de los del número de Indias, calle del Arenal, núm. 21, y en Sevilla al presbítero D. Gon…</t>
  </si>
  <si>
    <t>Lara, Josef Serafín de</t>
  </si>
  <si>
    <t>Josef Serafín de Lara</t>
  </si>
  <si>
    <t>…y re tención de la capellanía de altar que sirve en dicha Real capilla: para otra de la iglesia catedral de Jaén, vacante por fallecimiento de D. Francisco Xavier Tristan, á Frey D. Josef Serafín de Lara, cura rector de la parro quial de Martos en el mismo obispado: para otra de la de Lugo * vacante por muerte de D. Miguel Uñarte, á D. Tomas Cuellar, medio-racionero dé la de Segovia: para otra canongía de la iglesia catedral de Zamora, qne re sultará vacante…</t>
  </si>
  <si>
    <t>Lara, Tomas de</t>
  </si>
  <si>
    <t>Tomas de Lara</t>
  </si>
  <si>
    <t>…gel Santa María, cuyo pa radera se ignora, del subteniente de granaderos de la Union D. Ramón Abois, del sargento primero de la misma Francisco Qimenéé^ .del condestable del navio D. Tomas de Lara , y en general'de todos los oficiales y guardias ma rinas, contramaestres y patrones. Mí segundo .comandante con una lancha particular, atracándose á la proa dél navio , formó un puente con los demas izotes flecheras, que acudieron al socorro Con la mayor act…</t>
  </si>
  <si>
    <t>Lardizabaf, Miguel de</t>
  </si>
  <si>
    <t>Miguel de Lardizabaf</t>
  </si>
  <si>
    <t>…elipe,' se hallará toda la obra i 50 rs; en rústica y 60 tu pasta can los preciosos retratos del Rey nuestro Señor , de los Sres. Infantes D. Carlos y O. Antonio, y del Excmo. Sr¿ D. Miguel de Lardizabaf. Esta historia, tan útil en estas circunstancias ,ha merecido singular aprecio de S. M. y AA., y de un crecido número de subscriptores por la idea tan completa que da de toda la revolución hasta U entrada del Sr. D. Fernando vxt en Madrid , f por. estar escri…</t>
  </si>
  <si>
    <t>Lardizabal</t>
  </si>
  <si>
    <t>…mplar á manos del sugeto,que lo ha hecho reimpri mir , y no había podido hasta ahora satisfacer su deseo de tenerle. Por el tribunal especial erigido por las Cortes para juzgar al señor Lardizabal y á 14 de los seño res consejeros y camaristas de Castilla, y después por un juez de Alicante, se hi cieron las mas exquisitas diligencias, y aun se procesó á un sugeto muy conocido, de quien sospecharon , para descubrir el autor; pero por gran fortuna de él…</t>
  </si>
  <si>
    <t>…su manifiesto se quemasen por mano del egecutor de justicia1 en una de las plazas públicas de Cádiz. En consecuencia de lo dicho S. M. ha aprobado los tres escudos de armas que el señor Lardizabal le presentó numerados, declarando que tales cuales están representados, y con la conveniente esplicacion de los símbolos» figuras, colores y metales de que se componen, pertenecen en propiedad, el primero á D. Miguel Jbaqúin de Lardizabal y Amezquet^, como po…</t>
  </si>
  <si>
    <t>Lardizabal, Miguel de</t>
  </si>
  <si>
    <t>Miguel de Lardizabal</t>
  </si>
  <si>
    <t>…as, calle de las Carretas, á las nueve en punto de la mañana, presidiéndola conforme á su instituto la junta de gobierno de la misma compañía, y ambas su presidente nato el Excmo. Sr. D. Miguel de Lardizabal, secretario de Estado y del Despacho Universa! de Indias, si sus ocupaciones se lo permitiesen. Los accionistas qué tuvieren 20 ó mas accio nes propias deberán hacerlo constar en lá secretaría de la compañía} exhi biendo ¡as acciones, ó entregando testimonio…</t>
  </si>
  <si>
    <t>f Al $r. D. Miguel de Lardizabal ha-concedido el Rey que añada á las an tiguas armas dé las casas de Lardizabal y de Uribe un cuartel representando dos brazos qué salen como arrojados del mar * y están sosteniendo una coro na Real, y por orla esta leyenda: Fluctibus reipublhae expulsas; alu…</t>
  </si>
  <si>
    <t>…lll ARTICULO DE OFICIO» El Viréy del Perú, Marques de la Concordia, ha dirigido con fecha 15 de Abril último al Escrno. Sr. Secretario de Estado y del Despacho universal de Indias D. Miguel de Lardizabal el parte siguiente* Escrno. Sr.: En 28 del pasado con el num. 34 comuniqué á V. E. que la división del mariscal de campo D. Juan Ramírez quedaba en Ayaviri pró ximo á llegar,á las manosJcon el egército revolucionario del Cuzco, como ¡se verificó el i 1 del co…</t>
  </si>
  <si>
    <t>…oficiales de la secretaría uni versal de Indias, que queda suprimida, los que se consideren aptos y nece sarios en cada uno. Y atendiendo á los distinguidos servicios y méritos de D. Miguel de Lardizabal, mi Secretario de Estado y del Despacho universal de Indias, he venido en conservarle la plaza en mi Consejo de Estado, con el sueldo y goces correspondientes á este empleo, según lo disfrutan los de mas de su clase.Terídreislo entendido, y lo comunicareis á…</t>
  </si>
  <si>
    <t>Larena, Josef</t>
  </si>
  <si>
    <t>Josef Larena</t>
  </si>
  <si>
    <t>…opolitana por muerte de D. Julián García de Paredes, á D. Francisco Calvo Ruiperez; y para una media ración de esta propia igle sia , vacante por muerte de D. Rafael del Mármol, á D. Josef Larena. El Rey nuestro Señor se ha dignado conceder grado de coronel de exército al teniente coronel D. Msteo Ballesteros, comandante del tercer batallón del regimiento infantería de Buenos-Ay res, agregado á la expedi ción del Rio de la Plata: idem de teniente coro…</t>
  </si>
  <si>
    <t>Larraz, Agustina</t>
  </si>
  <si>
    <t>Agustina Larraz</t>
  </si>
  <si>
    <t>…igencia, y para que contribuya á tan. recomendables objetos. En la gaceta núm. 64 de 30 de Abril del año pasado de 1814 se convocó á los parientes hasta el tercer grado de la Sra. Doña Agustina Larraz, natural de Zamora, hija de D. Josef Larraz y de Doña María Francisca de Arriaga, y á los del coronel de egército D. Juan de. Ayssa, gobernador que fue de la provincia de León de Ni caragua, en el reino de Góatemata, natural de.Huesca , hijo del teniente coro…</t>
  </si>
  <si>
    <t>Larraz, Josef</t>
  </si>
  <si>
    <t>Josef Larraz</t>
  </si>
  <si>
    <t>…es objetos. En la gaceta núm. 64 de 30 de Abril del año pasado de 1814 se convocó á los parientes hasta el tercer grado de la Sra. Doña Agustina Larraz, natural de Zamora, hija de D. Josef Larraz y de Doña María Francisca de Arriaga, y á los del coronel de egército D. Juan de. Ayssa, gobernador que fue de la provincia de León de Ni caragua, en el reino de Góatemata, natural de.Huesca , hijo del teniente coronel Don Juan de Ayssa y Doña Merarda de Arós…</t>
  </si>
  <si>
    <t>Larreategui, Antonio.de</t>
  </si>
  <si>
    <t>Antonio.de Larreategui</t>
  </si>
  <si>
    <t>…a del Campo, diócesis de Cuenca, vacante por muerte de Don Lucas Munguía, á D. Josef Antonio García Poyatos: para la prestamera de Villanueva de Alarcon» que vacó por haber muerto D. Antonio.de Larreategui, y la del lugar de Chillaron, vacante también por fallecimiento de L&gt;. Franci seo de Figueroa, las dos en el expresado obispado de Cuenca, á D. Eusebio Hernández: para otro beneficio de S. Esteban de la ciudad de Cuenca, vacante por muerre de D. Eusebio María…</t>
  </si>
  <si>
    <t>Larrua, Juan</t>
  </si>
  <si>
    <t>Juan Larrua</t>
  </si>
  <si>
    <t>…cisco de Mena, D. Nicolás Landazuri, D. Manuel Sayago, D. Jldefonso Nieto, D. Cristóbal Giménez, D. Miguel de Torres, D. R.afael Sánchez Sáravia, D. Ramón Polo, D. Miguel Linares, D. Juan Larrua , D. .Tomas Montero ,'D. Antonio Enfy, D. Josef Aguilar, D.” Juan de DiosVaidivia,D. Lázaro Caballero ,D. Antonio Floran, D.'Manuel García SegóVia,D. AntonioCarly , D. Mariano Baeza, D. Josef Liaño, D. Gonzalo Sóusá ,D. Bartolomé Leal ,D. Maniiel Rodríguez ,D…</t>
  </si>
  <si>
    <t>Larrumbide, Eugenio de</t>
  </si>
  <si>
    <t>Eugenio de Larrumbide</t>
  </si>
  <si>
    <t>…TorreV: pára Oidores; de la áudieñ. ciá de Sevilla á D . Josef Miér, D. Pédro Simo y D: Francisco Ola va rrieta ; y pará alcaldes de la qnadra de 'éUa’á ■ D. josef Santa 1 María, Don Eugenio de Larrumbide y- D. Manuel "Victoriano Moyaíios. Asimismo' ha conferido el empleo de juez civil de Cádiz á D. Hermenegildo Rodriguéis oidor de la audiencia de Sevilla; y la alcaldía mayor criminal y dé pólibía dé aquella ciudad I D. Diego de la Peña;: el corregimiento de V…</t>
  </si>
  <si>
    <t>Lartiga, Manuel</t>
  </si>
  <si>
    <t>Manuel Lartiga</t>
  </si>
  <si>
    <t>…decretos, y oficial de la se¿ret.aríá del despacho de Hacienda, se ha dignado concederle la plaza de fiscal del consejo ae Hacienda, que ha resultado vacante por fa llecimiento de D. Manuel Lartiga , libre del derecho de medía anata: asi mismo, atendiendo S. M. á Ips mérítos"y servicios de D. Vicente ¡de Tormo ■ y Podt, alcalde mayor electo de la ciudad de Málaga &gt; se ha servido conce derle los honores de alcalde dél crimen de ia chancillería de Granada…</t>
  </si>
  <si>
    <t>Lasala, Joséf</t>
  </si>
  <si>
    <t>Joséf Lasala</t>
  </si>
  <si>
    <t>…e en el lugar de Goyaz, provincia de Guipúzcoa» por fallecimiento dé Doña'María deJa Concepción de Lili. El Rey nuestro Señor se ha servido promover á brigadier de sus exércltos á D. Joséf Lasala, exento del Real cuerpo de Guardias de su Real ’ Persona. i . -i. - ✓ ' • El Rey nuestro Señor se ha servido, á consulta de la Cámara, reponer á D. Juan Florencio de GuzUian en el corregimiento délas quatro villas de lá Hoya de Málaga para el que fue nombrado…</t>
  </si>
  <si>
    <t>Lasauca, Antonio</t>
  </si>
  <si>
    <t>Antonio Lasauca</t>
  </si>
  <si>
    <t>…Arbizu; y .á los yapítanes prlmeros iS. josef Giraldo,D. Juan Carmqna, p. Josef Montes y Flores,;!). Pedro Bringas, D^ Bartolomé Amat, Don Mariano Albo, J). Salvador Mamullares , D. Antonio Lasauca, D. Pablo ipacdgalupi , D. Domingo Ranee! y D. Manuel Toro: grados de capitanes á los tenientes D. Josef Fernandez de Apero, D. Vicente Herrera y D. Lufs Garcíay. grados de tenientes; á los subtenientes D. Pedro* Pirez &gt; D.-Manuel Angusaao y D/ Francisco Luqu…</t>
  </si>
  <si>
    <t>Laskewitz</t>
  </si>
  <si>
    <t>…ualmente que el cuarto, forman la izquierda del egército, y marchan por Nuremberg:sobre Maouheim. . ; La reservada CormaniaiSégu^da divisioniidev granaderos al mando del te niente general Laskewitz. 3.a división ídem,teniente general Rolh. „ 2.a di visión de coraceros', teniente general fKretoff.-í-i. 3.adivision id. 4 teniente gene ral Dauka.___2.a división de huíanos, teniente general, conde Orousko.——3.a</t>
  </si>
  <si>
    <t>Laso, Josef</t>
  </si>
  <si>
    <t>Josef Laso</t>
  </si>
  <si>
    <t>4^4 nio Perez, D. Fidel Provecho, D. Francisco Masías, D. Antonio Fernan dez, D. Valentín Roxo, D* Carlos Osorio y D. Josef Laso de la Vega, del de Voluntarios de León; D. Pedro Valcárcel, D. Manuel González Campillo, D. Juan Villapaderna, D. Juan Manuel Mancebo, D. Francis co Diez Sopeña, D. Josef Provedo, del de Voluntarios del Ribero; Don Gerónimo Roxo, del de Cazadores del Rey; D.…</t>
  </si>
  <si>
    <t>Laso, Manuel</t>
  </si>
  <si>
    <t>Manuel Laso</t>
  </si>
  <si>
    <t>…sber, D. Mariano Rodríguez, D. Eusebio Gavilanes, D. Juan Polo, D. Josef Baeza, D; Josef Dávila , D. Francis co Frades., D* Josef Urbiña, D. Antoiiio Valdivieso, D. Juan Sánchez , Don Manuel Laso, D. Domingo Cepeda, D. Mariano Mayor&gt; D*5Juan Bastos,</t>
  </si>
  <si>
    <t>Lasqueti, Juan</t>
  </si>
  <si>
    <t>Juan Lasqueti</t>
  </si>
  <si>
    <t>….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Riquélme- ; ^ Ascenso á tenientes de fragata A los alféreces de navio…</t>
  </si>
  <si>
    <t>Lassounski</t>
  </si>
  <si>
    <t>…húmv 59 dél periódico* Intitulado Correó del Norte"se- ha insertado Ud artículo &gt; cuyo extracto es como Sigue i Sihlusselbufgo 16 dé Julio* El ministró dei Interior acompañado del Sr. Lassounski, gentilhombre dé cámara, llegó aquí el 16 dé este mes, y -sé ha detenido dos días. S. E deseaba examinad por sí mismo la fabrica de in dianas de este pueblo, y hacerse cargo de las ventajas debidas á las máquinas de nuevá invención que se han adoptadoen ellá.…</t>
  </si>
  <si>
    <t>Lastiri, Miguel González</t>
  </si>
  <si>
    <t>Miguel González Lastiri</t>
  </si>
  <si>
    <t>…sa municipal: se le saludó con las mayores demostraciones de amor y las salvas deí rito militar, y á mocion de los mismos Sres. Argaiz y Pache co se traxo de la del regidor decano D. Miguel González Lastiri el Real pendón, que los tres conduxeron &gt;con la escolta correspondiente á so deco ro, seguidos de un inmenso gentío, que exhalaba por todas partes patriotis mo. Enarbolada la Real insignia se sacó con el soberano busto, y acomjpañado delfeñor capitán general…</t>
  </si>
  <si>
    <t>Lastortras, Pedro</t>
  </si>
  <si>
    <t>Pedro Lastortras</t>
  </si>
  <si>
    <t>…ería de Soria, D. Juan Massana, oficial de la Consolidación de vales Reales, D. Salvador Aulet, co merciante , D. Ramón Mas, carpintero de ribera , D. Julián Portet, espar tero, y D. Pedro Lastortras. El público expresó con sentimientos de ternu ra la dulce emoción de su voluntad. ,,El día 15 por la mañana fueron conducidos los cadáveres desde la Real iglesia de la ciudadela al lugar mismo donde la crueldad habia egecutado la sentencia mas inicua. Ocho ma…</t>
  </si>
  <si>
    <t>Lastra, Fabian de</t>
  </si>
  <si>
    <t>Fabian de Lastra</t>
  </si>
  <si>
    <t>…l Hueso, D. Fránciscp-Yarto, D. Mariano Rosas,. D. Henrique Puga, y D. Carlos ViHarejo, del Regimiento de Mallorca; D. Ignacio Llánderas , D. Miguel Moretid, D. Gregorio del Pozo, D. Fabian de Lastra, 0. Ricardo Rey roso, Don Víctor Cabeza de Vaca, D. Casimiro Salcedo, y D. Miguel González, del de Voluntarios de Avila; D. Francisco Herranz ,'D. Angel Díaz, y Don Vicente Tomes, del Provincial de Segovia; D. Pedro NuñeZ;, D. Manuel Calderón, D. Matías Frade…</t>
  </si>
  <si>
    <t>Lasu</t>
  </si>
  <si>
    <t>…tió á la función. El duque de. Saxonia* Weimar está yaaqui de vuelta de su viage á Buda. PI AMONTE.. G inova 11 de Marzo^ En la isla de Elba ha quedado gobernador por Bonaparte el general Lasu camarero y corregidor que era de Porto-Ferrayo. Han quedado igualmente en la misma isla su .madre Leticia y una de sus hermanas, de las qu.ales, se asegura que van embarcando poco á poco sus efectos. Alexandria de la Palla jj de Marzo. Las tropas austríacas q…</t>
  </si>
  <si>
    <t>Lasuen, Cecilio</t>
  </si>
  <si>
    <t>Cecilio Lasuen</t>
  </si>
  <si>
    <t>Vez de Marbanen la! propia diócesis: para!ad^oidaddete$oren&gt;*vacante en la iglesia colegial de Logroño por fallecimiento de H^Tibufcio An-Í tjpnio Badaran á D. Cecilio Lasuen r para el beoeficio/préstanu&gt;deOfccP Á querías? en el obispado de Cartagena &gt; yacanterpoi rénunctzáeJD.iJosef! Trigueros,.^ D¿ Antonio María Saint dcAa^Mata^para el beneficiosérvi-T de.ro de ja iglesia parroquial dé la villa dé Sotillo * obispad©-de Osroa,va-…</t>
  </si>
  <si>
    <t>Latas, Luis de</t>
  </si>
  <si>
    <t>Luis de Latas</t>
  </si>
  <si>
    <t>…Wolfango Vicente de Hore á D. Manuel López Morcillo. . . , Vr La canongía vacante en Ia: colegiata dé Sta. Mana de irianavia/ctel Pa— dron, arzobispado de Santiago, por muerte de D. Luis de Latas á 0. Junan pinera y Escaño» y para la que ha vacado en la propia colegiata por falte-</t>
  </si>
  <si>
    <t>Latas, Ramón de</t>
  </si>
  <si>
    <t>Ramón de Latas</t>
  </si>
  <si>
    <t>…es. D. Pascual Navarro, pensionado por la Real hacienda, natural de la ciudad de Huesca en Aragón, vecino de esta corte, al presidio de Melilla por seis años, y del mismo medo. *• D. Ramón de Latas, teniente que fue del regimiento infantería de Pla&gt;sencia, desertor de las banderas españolas, y licenciado por el gobierno in</t>
  </si>
  <si>
    <t>Latorre, Bernardo</t>
  </si>
  <si>
    <t>Bernardo Latorre</t>
  </si>
  <si>
    <t>…nuel Castilla , D. Miguel Campanon,' D. Josef Patricio Castro, D. Ignacio Truyols, Ó. Josef Mateos, D. Ramón ‘Riotórt, D. Francisco Luis Jácome, D. Josef.Escovar;D.:Santos Leccea£ D. Bernardo Latorre, D. Joaquín de la Cámara, D; Josef HidalgoDon Tpmás Gutiérrez, D. Francisco de Paula Castro, D. Jorge Valderrábano, D. Josef María Palma, D. Marcos de Zeberio y D. Josef Antonio de S. Juan. ( Se continuará.) ' Circular del ministerio dt Guerra. Convencido el…</t>
  </si>
  <si>
    <t>Látour-Maugbourg</t>
  </si>
  <si>
    <t>…boville, el mariscal duque de Dantzick ( Lefevre), el conde de Croix, el conde Dedelei-de-Agier, el conde Dejean, el conde Fabre del Aude, el conde Gassendi, el conde Lacepede, el conde Látour-Maugbourg, el duque de Praslin, el duque de Plasencia, el mariscal duque de Elchingen (Ney ),.el mariscal Suchet, el mariscal duque de Conegliano (Moncey), el mariscal duque de Treviso ('M^rtier), el conde de Barral, arzobispo de Tours, el conde Boissi-de-Anglais , el…</t>
  </si>
  <si>
    <t>Lauer</t>
  </si>
  <si>
    <t>…uí algunos regimientos de Hungría y de Transilvauia para reemplazar los italianos. ITALIA. Ndjfoles yo de Julio. A pesar del fuego que hacia la plaza deGaeta, el general austríaco barón Lauer supo vencer todos los obstáculos que presentaban las baterías; y ha biéndose puesto de acuerdo con el comandante de marina ingles, sostenido pór el valiente coronel Robinson, empezó en la mañana del 17 el bombar deo por todos los puntos. —Mas de 200 bocas de…</t>
  </si>
  <si>
    <t>Laurencio, Juan</t>
  </si>
  <si>
    <t>Juan Laurencio</t>
  </si>
  <si>
    <t>…Pascual Jo^efde Ardanáz, D. Diego Macmahon, Goossens e mjo, D. ManuelMa* Íía de Aldecóa , D. Antonio Juap de Viidosola, D. Cirilo Perez de Necio* D. Francisco de Lemonauría hijo y D. Juan Laurencio. A fin de que este establecimiento inspire al público toda la confianza posible» no conten tándose los accionistas con el buen crédito de que gozan cada uno de por si, han depositado desde luego en poder de los directores un millón de reales en efectivo, V ha…</t>
  </si>
  <si>
    <t>Laurent</t>
  </si>
  <si>
    <t>…nte de Blisberckenyse hallaba también en Rítche. El general ha1 tomado; providencias para cortar estos movimientos. ; El general &lt; Dumonceaü anuncia , con referencia á un paite el general Laurent, que un cuerpo de hesesses se hallaba el 22 á tres leguas de Mont^ medy; pero que se hallaba dispuesto á oponerse á sus progresos, y esperaba buen éxito de las providencias que había tomado, c El enemigo parece qué se acerca también a Sedan. EGERCITO DEL RHIN…</t>
  </si>
  <si>
    <t>Lauriston</t>
  </si>
  <si>
    <t>…las plazas fuertes han recibido intimaciones de rendirse al Rey por los oficiales del egército de S. M. Mr. de Bourmont y el Príncipe de Sore intimaron la rendición á Lila r y el general Lauriston á Valencienes. Quesnoi, Landrecies', Arras, Douai &amp;c. han recibido igualmente intimaciones que les han hecho ea nombre del Rey otros generales; y sin embargo la residencia dé estás ciuda des se ha prolongado , y en algunas dura todavía, viéndose los habitante…</t>
  </si>
  <si>
    <t>Lav, Pedro Alcántara Diez de</t>
  </si>
  <si>
    <t>Pedro Alcántara Diez de Lav</t>
  </si>
  <si>
    <t>…Salazar, se ha dignado S. 1VL concederle la gracia de cruz supernumeraria de la Real y distinguida orden española de Cárlos m. En atención á la lealtad y distinguidos servicios de D. Pedro Alcántara Diez de Lav^ndero, le ha concedido S. M. la gracia de cruz supernumera-r ria de la Real y distinguida orden de Cárlos m. En atención al distinguido mérito, literatura: y demas qualidades que adornan al Dr. D. Josef María Rodríguez y Romero, presbítero de la ciu dad de Se…</t>
  </si>
  <si>
    <t>Lavál</t>
  </si>
  <si>
    <t>…didncia 5' 'pejro.no.solo no lo pudie ron icojAsegúirv$m© ¡qué «tuvieron que fimr después aeuhaber quedado grave mente herido uno &lt;le sus oficiales; En virtiid de esto'el teniente general Lavál «ha prohibido, bajo las penas mas rigurosas, el uso de cualquiera otra esca rapela qué la tricolor, y en especial de lá blanca y de la. flor de lis en el ojal de la casaca, qfle es el distintiva:que llevaban aquéllos; . Escriben de Nantes que esperan alíi una…</t>
  </si>
  <si>
    <t>Lavalle, Juan Bautista de</t>
  </si>
  <si>
    <t>Juan Bautista de Lavalle</t>
  </si>
  <si>
    <t>…su vez á merecer la es pecial benevolencia y protección de V. M. para el fomento de su industria y premio de sus beneméritos hijos, entre los quales se ha señalado su presi dente D. Juan Bautista de Lavalle, esperando el cabildo acceda V. M. á la solicitud que tiene hecha en su favor. ,, Dios guarde la importante vida de V. M. los machos años que necesi ta la monarquía para su felicidad y engrandecimiento. Sala capitular de Li ma 2 de Octubre de i8i4.= Señor.= E…</t>
  </si>
  <si>
    <t>Lavandero, Nicolás Diaz</t>
  </si>
  <si>
    <t>Nicolás Diaz Lavandero</t>
  </si>
  <si>
    <t>…objeto de ellav Presentáronse á ser examinados D. Juan Nepomuceno Magan, guardia su pernumerario de menor edad de la Real Persona, D. Pascual Asensio, Don Josef Figuez y Cubero., D. Nicolás Diaz Lavandero, D. Manuel Batanero, D. Fernando Arranz de la Torre y D. Joaquín Amor, quienes hicieron los «pércidos que prescribe-el reglamento de esta escuela, en cuyo intermedio el*</t>
  </si>
  <si>
    <t>Lavaysse</t>
  </si>
  <si>
    <t>…os bancos de Terranova. El navio perdió el bauprés, y sufrió averías considerables: encontró á la corbeta la Favorita que llevaba á América la ratificación del tratad &gt; de paz. El general Lavaysse acaba de llegar de Jamayca. Se dice que le hicieron salir de Puerto Príncipe, y que Patios le habia hecho saber que no darla</t>
  </si>
  <si>
    <t>Lavaysse, Dauxion de</t>
  </si>
  <si>
    <t>Dauxion de Lavaysse</t>
  </si>
  <si>
    <t>…Febrero. Se ha hablado mucho en los periódicos de esta capital de la isla de San to Domingo y de las miras del gobierno francés sobre aquella colonia, asi como de la comisión del coronel Dauxion de Lavaysse; y con este motivo se han publicado como documentos de oficio una carta de dicho coronel á Cristóbal, una sesión del consejo de Estado de este negro, y una proclama dirigida á sus vasallos. Los agentes de Cristóbal en Londres temen proba blemente que los gran…</t>
  </si>
  <si>
    <t>Lavedan, Antonio</t>
  </si>
  <si>
    <t>Antonio Lavedan</t>
  </si>
  <si>
    <t>…lignas, contagiosas y pes tilentes, y de la fiebre comunmente ‘llamada amarilla, la disenteria 5cc.: traducido y recopilado de los profesores mas acreditados de Europa, por el Dr. D. Antonio Lavedan, profesor de medicina y cirugía &amp;c. Esta obra está dividida en cuatro par tes. La primera trata de la teoría de las enfermedades epidémicas, si es ó no posible preverlas y precaverlas; cuales son los medios mas á propósito para libertar ide sus estragos á un…</t>
  </si>
  <si>
    <t>Laya, Mateo de</t>
  </si>
  <si>
    <t>Mateo de Laya</t>
  </si>
  <si>
    <t>…, la del pasmo de Sicilia, por Rafael Urbino, el retrato de nuestro amado Soberano Fernan do vii siendo Príncipe de Asturias, el de Magallanes, los de los heroes de nuestra marina D. Mateo de Laya, Tjuán Sebastian Delcano, D. Miguel de Oquendo, y otro D. Miguel de Oquendo , y en fin todas sus demas obras de grabado, de que Jos primeros profesores y aficionados á Selma formaron y conservan una exquisita colección, manifiestan el aprecio1 que han hecho y…</t>
  </si>
  <si>
    <t>Lázaro, Juan</t>
  </si>
  <si>
    <t>Juan Lázaro</t>
  </si>
  <si>
    <t>…natural de Madrid-, se desea saber su paradero. La persona que supiere de él dará razón al canónigo D. Félix Roco en la misma ciudad de Burgos, ó en Madrid en la impren ta Real á D. Juan Lázaro. Se desea saber el paradero ó existencia del soldado ó guardia de artillería An tonio Correa Lorente, que agregado á ella fue hecho prisionero en la toma de Va lencia, y conducido á Francia, natural de Pesquera, en la provincia de Cuenca. La persona que supie…</t>
  </si>
  <si>
    <t>Lazaro, Juan</t>
  </si>
  <si>
    <t>Juan Lazaro</t>
  </si>
  <si>
    <t>…, vecino y -del comercio que fue de Cádiz &lt;en los años de 1804 y 1805, para comunicarle no ticias que le interesan. El que lo supiere lo avisará al regente de la Real calcogra fía D. Juan Lazaro, en la imprenta Real, qme le enterará de cuanto le conviene. Se desea saber el paradero de Doña Juana de Escarza, ama que fue de go bierno de D. Pedro González, comandante del résguardo en Vitoria en el año de *1808. La persóna &lt;jue lo supiese se servirá avis…</t>
  </si>
  <si>
    <t>Lazon, Tadeo</t>
  </si>
  <si>
    <t>Tadeo Lazon</t>
  </si>
  <si>
    <t>…es y dos cañones: todo:¡está concluido* y para auxilio de ésta dispuesta defensa vinieron de Huánta, Loricocha y Huaníanguilla 500 indios lanceros , dignos de recomendación, y mas D. Tadeo Lazon, alcalde de Huantá , y el cura de Loricocha D. Eduardo de la Piedra, quienes los reunieron y trajeron á! su costa á :esta ciudad, en donde están á sueldo y al mando del teniente coronel D. Antonio Barreda, sin que debamos omitir el mérito del Dr. D. Manuel Na…</t>
  </si>
  <si>
    <t>Le</t>
  </si>
  <si>
    <t>1293</t>
  </si>
  <si>
    <t>…las demas plazas fuertes, de la iFlandes francesa y del 1 Artois no tendrán otra guarnición que la'guardia nacional. . En la noche del 22 al .23 de este;mes falleció en;Befort el general Le: courbe á la edad de 5 .5 años, cuya muerte ha sido miiy .sentida de los valien tes que han servido á sus órdenes, _y de tódos los fraiiCeses Ique saben apreciar el verdadero mérito militar. Los generales extrangeros éoatra quienes ha combatido , le han hecho…</t>
  </si>
  <si>
    <t>Leaké</t>
  </si>
  <si>
    <t>…. Es j -----1 ----------------------------- ¿ ícada uno loque que ha sido ,;:Se han irédbidq oficios‘del honorable WJ Hill, 'ministró ¡de S: M. en la iorté dé^TuHn^y del teniente ¡coronel Leaké, cuyoestraCto es el siguiente Turin 2 de Julh de 1815. Milord: tengo la honra de incluir á V. H. la HÍgniérité cohia del oficiO que he recibido de Mr. Fielding, agregado ai cuar tel general del contingente piamontes. Cuartel general de Aiguebelle 50 de Junto…</t>
  </si>
  <si>
    <t>Leal, Alonso</t>
  </si>
  <si>
    <t>Alonso Leal</t>
  </si>
  <si>
    <t>1220</t>
  </si>
  <si>
    <t>…Circular del Ministerio de Guerra. AI Secretario dei Consejo Supremo de la Guerra comunico con esta fe cha lo siguiente: He dado cuenta al Rbt nnestro Señor de la causa formada á D. Alonso Leal, Capitán del Regimiento de Infantería segundo de Jaén, acusado.de falta, de cumplimiento á sus deberes en la gloriosa batalla del 21 de Junio de -1813 en las inmediaciones de Vitoria , habiéndose adelantado y dirigido á adicha ciudad con los dispersos que se…</t>
  </si>
  <si>
    <t>Leal, Bartolomé</t>
  </si>
  <si>
    <t>Bartolomé Leal</t>
  </si>
  <si>
    <t>…, D. Josef Aguilar, 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t>
  </si>
  <si>
    <t>Lean</t>
  </si>
  <si>
    <t>…D. Tomas Orive, 0. Ma« jnuel Cayaleri , D. Agustín del Barco, D. Francisco Andrada, D. Juan Ltí« »ás,D. Joaquín ALvarez Maldbnado, 0. Rodrigo Sánchez Airona, D. RaU* hiel Arango, D. Lean. Grl de Palacio, D. Joaquín Villaba, 0. Antonia ¡Sén quera, 0. Manuel Zacates, D. Pedro de la Llave, 0. Josef Mariano dél Puk ar, D. Josef Arias Saavedra, 0. Antonio Hoscoso , Salvador Moreno* Vicente Vázquez, D. Tomas Dolagaray, D. Silvestre Blanco , D.&lt; Ped…</t>
  </si>
  <si>
    <t>Lebd</t>
  </si>
  <si>
    <t>…para seis meses, y ha hecho salir de la ciudad á los extrangeros. Marsella 1.° de Abril. £1 29 del pasado S. A. R. el duque de Angulema entró en Montelimar, y al dia siguiente el general Lebd intimó al gobernador que se sometiese al usurpador. £1 conde Descras, que era el comandante, salió con 1200 hombres de las guardias nacionales y cazadores del regimiento número 14. y con dos piezas de artillería, y derrotó á la tropa de Lebel, arrojándole di.…</t>
  </si>
  <si>
    <t>Lechuga, Antonio Manuel de Gamez y</t>
  </si>
  <si>
    <t>Antonio Manuel de Gamez y Lechuga</t>
  </si>
  <si>
    <t>…x y Monda á D. Juan Tomas Encina: para la de la Puebla de Cazalla á D. Josef Aguilar Gaioete: para la de Valverde del Camino á D. Francisco de Paula Escudero: para la de OI vera á D. Antonio Manuel de Gamez y Lechuga: para la de Lezuza á D. Alfonso Josef de Soto: para la de Carvajales á D. Juan Villa y Trigueros: para la de Tiedra á D. Juan Padilla: para la de Gausin á D. Manuel Medi na y Giménez; yapara la primera de Granada á D. Manuel Alonso Her nández. - ■ ' &lt; ■ • •</t>
  </si>
  <si>
    <t>Lechuga, Pedro</t>
  </si>
  <si>
    <t>Pedro Lechuga</t>
  </si>
  <si>
    <t>…,* Don Fermí n Meneos^ «Dv VénturaiRiesco ,D. Josef Muñoz § D. Luis Gorrichátegui,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t>
  </si>
  <si>
    <t>Leclerc</t>
  </si>
  <si>
    <t>…outard, gefe de las guardias nacio nales de la misma plaza; del teniente general conde Lemarrois, comandante superior de las divisiones militares 14.a y 15.a; dél teniente general conde Leclerc; del teniente general Ronciere, inspector de caballería, ; comandante de los depósitos de Poitiers y de Niort, y de ótrosvarios.' ' m Las personas de la familia de Bonaparte que habián quedado en París ; se • .v r.v ,a . ¿por:lian-ausentado'al: finí •' - ^ v;…</t>
  </si>
  <si>
    <t>Lecoc</t>
  </si>
  <si>
    <t>…erales sazones han accedido a| nuevo gobierno en virtud de las ventajas que les han prometido; perq otros muchos permanecen fi.eles á su Reyentre los cuales se¡ cuenta el valeroso general Lecoc, que ha ido á Presburgo á asegurar á su Soberano su adhe sión particular. . Siete divisiones prusianas,que componen 40© hombres, han recibido or den de dirigirse hacia el Rhin para ocupar las; provincias de ,1a ¡zqqjerda de este rio cedidas á la Prusia. r , h…</t>
  </si>
  <si>
    <t>Leconthe</t>
  </si>
  <si>
    <t>…á pasado ya ei Meurthe y el alto Alósela, y se encontrará en Nanci; S; A.'R. el Archiduque Fernando pasó ei Rhin eí 26 cerca de Basilex y de Rheinfel, enya marcha quiso impedir el general Leconthe, presentándole mucha resistencia en Bourg-Libre, Burgféld y Neudorf; pero en todas par tes lo derrotó, y la fortaleza deHuninga, adonde se refugió con sus tropas está cercada. El general de artillería conde de Colloredo ha marchado con tra Befort y Montbeliar…</t>
  </si>
  <si>
    <t>Lecourbe</t>
  </si>
  <si>
    <t>…ins. El teniente general Gerard ha ido sobre Toul, de donde podrá tener .cor* lespondencia con él general Beliarcl. ' Los austríacos y los badeses han pasado por Basilea el 26. El general Lecourbe se há adelantado hácia Altkirck, y creía que le atacasen al dia si guiente. Si el enemigo recibe refuerzos, nuestras tropas tendrán que retirarse inmediatamente al campo de Befort. El general austríaco, á quien.el duque de la Albufera propuso hacer un armisti…</t>
  </si>
  <si>
    <t>…e de Thihdle,y trasladado con una gran escolta, al cuartel gene ral de Berna, en donde permanece preso con centinelas dé vistas. Por oficios recibidos de Berna hemos sabido que el general Lecourbe hx escrito al: coronel d!Aify 3 que habiendo el Emperador Napoleón, abdicado la corona , y las cámaras enviado comisionados á las potencias aliadas para tratar de paz , esperaba que los egéfeitos suizos no obrarían; hostilmente has-* ta que se supiese cual ha…</t>
  </si>
  <si>
    <t>…y al co ronel Poaüni, dél.44.0 ¿.'.'j &gt; '•&lt;;&gt;... -y-n ", Se. han hecho en estas dos acciones muchos prisioneros , y tomado unos &gt; '■ . • ■ •• ' • 1© caballos. ; :u' i, El teniente general Lecourbe fue atacado el 27 en Dannemaire y Chavan* nes; perp: el enemigo fue rechazado. ^ ¡: GRAN BRETAÑA. -•rio ;■:&gt; Londres gjf de Junio. ' b ■" r .-Y. o;; El gobibrno ha fdespífecikdo las; proposiciones de Mr. Otto ,que estaba eii* «cargado de;eatrar * en negociaci…</t>
  </si>
  <si>
    <t>Lecourve</t>
  </si>
  <si>
    <t>…Fernando, que- tenia el 9 su cuartel general en -Jóinvüíe.» iñjbrmd ¿4 Príncipeide un ventajoso- ataque hecho por el mariscal conde Colloredo-contra 4a-1 poSiclóii fortificada del general Lecourve en si campo atrincherado delante ae Beíbrt. Este ataque completó el entero blo queo de aquella fortaleza. Habría sido, imposible apoderarse de esta posición, á no ser por las juiciosas disposiciones del general comandante f y del valor de las tropas empleadas…</t>
  </si>
  <si>
    <t>…spués la gracia de"res tituirles sus empleos; bien entendido que este tiempo no se les considerará como de servicio. . : ALEMANIA. / 5 Francfort 8 de Julio* r Habiendo recibido él general Lecourve¡ un refuerzo de 12© hombres ata có el 2^1 de Junio.al Conde de Colloredo ; pero este le rechazo completamen te. Los paisanos de la A Isacia continúan cometiendo todp género de escesqs contra' las tropas aliadaslo que obliga á estas á multiplicar los egemplas§…</t>
  </si>
  <si>
    <t>…ntonces saquearon ó incendiaron éste pueblo tan distinguido por sus manu facturas'. Basilea 18 de Julio. Se han recibido avisos del cuartel general del Archiduque Juan , de que el general Lecourve, después de una larga y sangrienta resistencia, había aban donado el campo atrincherado cerca de Befortretirándose á esta fortaleza. Es de creer que allí haya habido terribles combates, pues han llegado aquí en estas tres últimas noches multitud de heridos. E…</t>
  </si>
  <si>
    <t>Ledener</t>
  </si>
  <si>
    <t>…erte de Montbeillard, en donde se hallaron siete ca ñones y gran cantidad de pertrechos: el número de prisioneros era grande, y de hora en hora iba aumentándose. La vanguardia del general Ledener atacó el 27 una parte del cuerpo de Lecourve compuesta de unos 3® hombres, y los arrojó á Donnemarie: la pérdida austríaca fue de siete oficiales y algunos centenares de hombres. El enemigo reunió en la noche del 28 8® infantes y 300 caballos cerca de Chavann…</t>
  </si>
  <si>
    <t>Ledke</t>
  </si>
  <si>
    <t>…mas de S-el Rey dé Prusia. ! GR A N BÍET A Ñ A. ' ’ . , - ' Londres 2 6 de Julio. En los periódicos de está capital se ha publicado el siguiente Extracto de un oficio del teniente coronel Ledke al vizconde Castlereagh, desde Pontarlier el 12 de Julio de 181$. /.Estando pronto á salir un. correo para el Príncipe Talldrand y aprovecho* esta ocasión para informar á V. E. que las fuerzas suizas en numeró de zi-Sh hombres, y qué diariamente se aumentan,…</t>
  </si>
  <si>
    <t>Lefebvre-Desnoüettcs</t>
  </si>
  <si>
    <t>…cido con tropit hasta, la frontera* El general Drouet (conde de Erlón) ha abandonado repentinamente su cuerpo de egército, por librarse de la egecucion del decreto ael Rey... . El general Lefebvre-Desnoüettcs, que al principio daba muestras de em prender la vida de partidario, salid del acantonamiento qué ocupaba en el Berry, y desde el 31 de Julio no ha habido noticia alguna de la dirección que na tomado. . í Escriben de Tours que éstos últimos días ha desapareci…</t>
  </si>
  <si>
    <t>Lefebvre-Desnouettes</t>
  </si>
  <si>
    <t>…ach (gran ducado de Badén) se ha publicado últimamente una orden dirigida á que se cele la conducta de varios sugetos que se han escapa do de Francia, entre los cuáles se halla el general Lefebvre-Desnouettes. El cuartel general del Príncipe de Schwartzemberg debe llegar en breve á esta ciudad. - * : ' El Príncipe Real de Wurtemberg ha pasado hoy poraqui con dirección á Stutrgardt, donde se le espera con impaciencia. GRAN BRETAÑA. Londres 12 de Octubre. ^ . / b La…</t>
  </si>
  <si>
    <t>Lefevre-Desnouettes</t>
  </si>
  <si>
    <t>…deado del amor de sus pueblos ; bien enten déis la expresión.” Todos los concurrentes se enternecieron. S. M. ha condecorado con la cruz de S. Luis á tres oficiales del cuerpo del general Lefevre-Desnouettes, que llegaron á prestarle juramento de fi delidad. Ayer vino una diputación de la ciudad de Orleans á manifestar al Rey la adhesión de todos sus conciudadanos, que fue presentada á S. M. á la» dos de la tarde. El regimiento de lanceros,de que es coronel Mr. C…</t>
  </si>
  <si>
    <t>…ahaut se han establecido en Effiat de Auvernia, dentro de un castillo susceptible de alguna defensa,con 800 hombres poco mas ó menos, y que tienen aterrados aquellos contornos. El general Lefevre-Desnouettes ha hecho otro tanto en una casa de campo de Mr. de la Trimomlle cerca de Cosne. El resto de aquella parte del egcrcito francés que entró en la Auvernia manifiesta por el contrario los mayores de seos de someterse á Luis xvm. El cardenal Fesch, pasando á Bourg…</t>
  </si>
  <si>
    <t>Legpbien, Rafael</t>
  </si>
  <si>
    <t>Rafael Legpbien</t>
  </si>
  <si>
    <t>…Cárdenas, D..Andrés Maymo, D&lt; Clemente Gutiérrez, D, Vicente Rodríguez, D. Pedro Pilón; D: Luis Polo de Bernabé , D. Josef García Ibarguen, D. Juan Soüoso, D. Francisco Garnica , D. Rafael Legpbien, D. Miguel Roldan , D, Rafael Aristegui y Don Josef Estrada. - Grado de. intendente de marina á los comisarios ordenadores D, Domingo CarruagatovD; Juan Nieto y D. Antonio Ventura Cincúnegui. 1 Gradó; de. comisarios de marina ordenadores á lps de guerra D. An…</t>
  </si>
  <si>
    <t>Leija, Josef Eusebio</t>
  </si>
  <si>
    <t>Josef Eusebio Leija</t>
  </si>
  <si>
    <t>…o vivamente no tener ocasión de obrar. En el escuadrón del mando del capitán Mendoza, á cuya frente cargué personal mente, se distinguieron particularmente su comandante, el porta D. Josef Eusebio Leija, teniente D. Nicolás Zarzosa, sargento Josef Puente, cabos Alejandro Soto, Juan JosefMeave, Encarnación Martínez y Francisco Paez* el soldado Josef María Zapata, y el padre capellán Fr. Manuel Cabrera, y sobre todos el citado cabo Martínez. De los demas cuerp…</t>
  </si>
  <si>
    <t>Leith, Sír James</t>
  </si>
  <si>
    <t>Sír James Leith</t>
  </si>
  <si>
    <t>…o misarios nombrados por S. M. el Emperador de Austria han tomado posesión de ellas en nombre ae este Monarca. Idem 1$. La isla de Guadalupe se rindió á las tropas mandadas por el general Sír James Leith y por el almirante .Duruham. El sábado llegaron los pliegos cf$ estos dos Comandantes, y poco después se publicó el boletín siguiente: 7 „E1 teniente capitán Wemyss ha llegado al almirantazgo con pliegos del vice-almirante Duruham , dirigidos á Sir Crokor, an…</t>
  </si>
  <si>
    <t>Leiva, Alfonso</t>
  </si>
  <si>
    <t>Alfonso Leiva</t>
  </si>
  <si>
    <t>…a. Grados de tenientes coroneles, a los subrtgadieres D.Luls Fernandez Li nares , D.'Miguel Santiago, D. Benito Vallejo, D. Bernardo Cantero', Don Fernando Orozco, D. Julián Cano, D. Alfonso Leiva, D. Manuel Martínez de Velasco y D. Francisco Vaca: á subrigadieres del cuerpo al cadete Don Luis del Panva Cadétés supernumerarios á los guardias DV Ráfaél de Córdo ba y D. Josef Ponce de León i á tenientes vivos y efectivos de caballería ; eo¿ sueldo y anti…</t>
  </si>
  <si>
    <t>Lemarrois</t>
  </si>
  <si>
    <t>…nte generál conde de Lapóipe, gobernador de Lila y. de su guarnición ; del teniente general barón Coutard, gefe de las guardias nacio nales de la misma plaza; del teniente general conde Lemarrois, comandante superior de las divisiones militares 14.a y 15.a; dél teniente general conde Leclerc; del teniente general Ronciere, inspector de caballería, ; comandante de los depósitos de Poitiers y de Niort, y de ótrosvarios.' ' m Las personas de la familia d…</t>
  </si>
  <si>
    <t>Lemaur, Francisco</t>
  </si>
  <si>
    <t>Francisco Lemaur</t>
  </si>
  <si>
    <t>…bnispectores aí coronel 0. Fermín Montano y al brigadier 0. Pedro Me lina: á coroneles; á los tenientes coroneles 0. Josef Martínez , 0. Juan Josef de León , gra duado de coronel, D. Francisco Lemaur, D. Francisco, Mendizábal y ;0on Anastasio Araogo. - .. "o ¿;' a'- ;.-b : . -.2 •••.. :*) iirj/- •/ ' ns , r :n\ ;-¡h ■:!;:) gr:. ¿ r ? ‘* v . '.. *" Por resoiucioB de 17 de Febrero último se felrvió cI Ret nuestro Señor* conceder los hnnorbs de ibtfendefttfe…</t>
  </si>
  <si>
    <t>Lemonauría, Francisco de</t>
  </si>
  <si>
    <t>Francisco de Lemonauría</t>
  </si>
  <si>
    <t>…n 50 accione*, repartidas entre los sugetos siguientes: los Sres. Uhagon hermanos, Manzarraga y Usarte, Bayo é hijo y compañía, Jane, Orbegozo y Castañares, D. Josef de Irunciaga, D. Francisco de Lemonauría, D. Benito Felipe de Gainmde, D. Josef Domingo de Aguirre, D, Mariano Perez 4e;Nemn,, D. Pascual Jo^efde Ardanáz, D. Diego Macmahon, Goossens e mjo, D. ManuelMa* Íía de Aldecóa , D. Antonio Juap de Viidosola, D. Cirilo Perez de Necio* D. Francisco de Lemonaur…</t>
  </si>
  <si>
    <t>Lence, Antonio de</t>
  </si>
  <si>
    <t>Antonio de Lence</t>
  </si>
  <si>
    <t>…a de Granada, vacante por muerte de D. Miguel Craoyvinguel, á D. Josef Alonso Montoya, deán de la iglesia catedral de Almería: para el de la de Lugo , vacante por fallecimiento de D. Antonio de Lence, á D. Manuel Fernandez Varela, prior de Accba, y canónigo de la misma catedral: para una canongía de la iglesia catedral d.e Ceuta,, vacan-, te por muerte dé D. Juan Duran, á D. Juan Hernández de Prado, ración ñero de la misma; y para una capellanía titulada…</t>
  </si>
  <si>
    <t>Leo</t>
  </si>
  <si>
    <t>…la de la villa de Haro á D. Antonio Guar dilla: para la de Aguilar de Córdoba á D. Blas Josef de Martos: para la de Moron á D. Manuel Sotillos Montijo: para la de Medinasidonia á D. Leo nardo Talens de la Riva: para la de Berlanga á D. Josef Codina y Gómez: para la de Cuellar á D. Gaspar Antero Rochel: para la de Luque á D. Jo sef Carrillo; y para el corregimiento de la Puebla de Alcocer á D. Rafael Mogollon y Negrillo. El Rey ha tenido á bi…</t>
  </si>
  <si>
    <t>León</t>
  </si>
  <si>
    <t>…de esta villa, y dexar dos de dichas judicaturas, para qoe en conformidad de las reglas prescritas en aquel, exerzan sus funciones, vengo en nbmbrar para las citadas dos plazas á D. León de la Cantara Cano y á D. Joaquín Almazan , con la dotación anual de 36® rs. á cada uno, la qual será señalada en lo sucesivo á todos los tenientes que obtengan las mtndo'nadas plazas,.Interin no recayga otra resolución ; y es mi Real voluntad que los tres qu…</t>
  </si>
  <si>
    <t>…n de se manifestarán sus condiciones. A instancia de los síndicos de la quiebra de la casa titulada viuda de Balbi, hi jos y compañía de esta corté, y en virtud de providencia dél Sr. D. León de la Cámara Cano ¿ del consejo de S. M. . teniente corregidor de esta villa de Madrid, se, ha señalado para nueva junta de acreedores de la misma casa el día 24; del cor riente a las tres y media de su tarde en la posada de S.8*; lo que se hace saber á dicho…</t>
  </si>
  <si>
    <t>…estados de Mora* que coirStis aprovechamientosydenm~qiié tiene está tasada;ear2r4&amp;o9&gt; rs- vtt- en monada nvetáüca , que-se subasta éh’ v*rtudndé'facültad:Réal por la audiencia del Sr. D. León de la' Cámara Cañó, del consejo de£. M-&gt;f fenrféTUe' ^ corregidor de esta villa, porcia escribanía vacante que sirvió D* Julián González.^ Sstcz,, ydespacha, EX,JapobOfcManuel Manrique , se ha mandadopublicarpor 15 ‘dias mas contados desde el del anuncio en C…</t>
  </si>
  <si>
    <t>…mentaría de D. Josef Lombardo Perez de Tejada para la junta de los acreedores á la misma, que ha de celebrarse el martes ¿i del presente á las nueve de su mañana en la posa da del Sr. D. León de la Cámara Cano, del cornejo de S. M., primer teniente cor regidor de esta hcroyca villa, ante el escribano del número de la misma, en virtud de Real habilitación, D. Bernardo Díaz de Amonara. Estando comisionado D. Juan Pico Santistéban por varios pueblos…</t>
  </si>
  <si>
    <t>…éitacion , para qué dotíi^iránV'plcvltíiétldófés qué loqucsc acórrate y résólvíefe por los concurrentes lc^parará él perjuicio qde Haya lugar. . &gt; ' E'n virtud dé~ providencia del Sr. D. León dé la Cámara Cañó', del'consejo de S. M», y teniente primero dé corregidor de ésta heroycsí villa', su fécha gdélcoiv* riente , se ha señalado el día 14-dtíl mismo á laS nueve de su mañana en &gt;á pósadidé S. S. para nueva junta de acreedores á ios bienes de D.…</t>
  </si>
  <si>
    <t>…acuerdo hecho por lo* acreedores á la casa viuda de Balbi, hijos y compañía, del comercio que fue de esta, en junta general de los mismos, ce lebrada en 24 del presente ante elSr. D. León de la Cámara Cano, teniente corre* gidor de esta heroyca villa, y escribanía del número de D. Miguel Gonzalo, se ser virán acudir á cobrar lo que á cada uno les corresponde desde este dia de la fecha de doce á dos de la mañana y de quatro á cinco de la tarde…</t>
  </si>
  <si>
    <t>…incia y de esta comisión á pedir lo que les convenga en el término de 30 días; baxo la calidad que pasados procederá en los autos como hallare por conveniente. Por providincia del Sr. D. León de la Cámara Cano, del consejo de S. M., te niente corregidor de esta villa, ante D. Casimiro Antonio Gómez, escribano de su número, se ha señalado el día 9 de Abril próximo á las 10 de la mañana en las salas consistoriales del Excmo. Sr. ayuntamiento de esta…</t>
  </si>
  <si>
    <t>…tán á guerra por S. M. de la ciudad de Patencia, refrendado del escribano de ella D. Vicente ;Mate, fecha á 21 de Febrero próximo pasado, y cumplimentado en 8 del corriente por el Sr. D. León de la Cámara Cano, del consejo de S. M., primer teniente corregidor de esta heroyca villa, por testimonio de D. Claudio Sanz, es cribano del número, se cita y emplaza á las personas que pretendan tener derecho a la sucesión de un vínculo fundado en aquella ci…</t>
  </si>
  <si>
    <t>…dos de Mora,, qüe cor sus aproveü’hámicntos-está tasadiijeo la cantidad de a*40'b^.rs^&gt;n.\m6riedáJátiétaí¡ca *';-y":se iuéiasiía'^eh, vbtúa-'^a¿ Real facultad p¡ t U audiencia del Sr. D. León de la Cámara C ¡no , uniente primero de corregidor de esta villa, por la escri ba ní,i yacanteque sirvió D. Juian González Sa¿z, y despa cha D. Jacobo Manuel Manrique , ff,,ha|&gt;,eqaÍado p^ra su remete .el jdiá 29 deí cor,Tiente a lás í"2 de su mañ^na^en la au…</t>
  </si>
  <si>
    <t>…se ha dignado conceder su permiso á la Real maestranza de caba llería de Ronda para que sus individuos usen la escarapela roxa, como an tes lo hacían. Kn virtud de providencia del Sr. D. León de la Cámara Cano, del consejo de S.M. , teniente primero de coxregidox.de esta villa, ante e! escribano de su núme</t>
  </si>
  <si>
    <t>…uis Perez Peñuelas, vecino que fue de esta corte, para que por sí ó por medio de procurador se presenten en el término de 15 dias precisos, contados desde este de la fecha ante el Sr. D. León de la Cámara Cano, deí consejo de S. M., y teniente de corregidor de esta villa, por la escribanía del número de D. Joaquín González de Castro, ó ante los síndi cos nombrados á deducir y liquidar sus respectivos créditos; en la inteligencia de que pasado dich…</t>
  </si>
  <si>
    <t>…ransporte de América á España. , Continuación dejas sentencias dadas por la comisión nombrada por S. M. Vén dese á 4 quartos en el despacho de la imprenta Real. Por el juzgado del Sr. D. León de la Cámara Cano, del consejo de S. M , pal mer teniente corregidor de/esta villa, y por la escribanía del número de D. Jaco— bo Manuel Manrique, en el dia 31 del pasado Marzo ha hecho D. Francisco Amé^ 11er, vecino y del comercio de esta villa, dimisión de…</t>
  </si>
  <si>
    <t>…que con arreglo á lo que se halla prevenido por Reales órdenes esta sola es la que debe regir, y por la que deben arreglarse en toda la nación los precios de los medicamentos. El señor D. León de la Camara Cano, del consejo de S. M., teniente de cor regidor de esta heroyea villade Madrid, en cuyo juzgado y escribanía numeraria de Don Tomas deSancha pende la testamentaría de la Excma. Sra. Dona Teresa de SaJazar y Mora'es , marquesa que fue deSomeru…</t>
  </si>
  <si>
    <t>…lcalde mayor de Almcndralejo, que se halla comisionado para dicha subasta; en la inteligencia que está señalado el dia último de Abril para su remate. En virtud de providencia del Sr. D. León de la Cámara Cano, del consejo de S. M., primer teniente corregidor de esta villa, se cita y emplaza á D. Tomas de Valderrama y Manuel Tamayo , pura que en el término de 20 dias contados desde el 6 del corriente acudan á su juzgado y escribanía del número de…</t>
  </si>
  <si>
    <t>…a, mandando que en su Real nombre se le den las gracias, y se publique en la gaceta el patriotismo y noble desprendimien to de este digno eclesiástico. Por auto que ha proveído el Sr. D. León de la Cámara Cano, del consejo de S. M., teniente primero de corregidor de esta heroyca villa, refrendado de Dtm Claudio Sanz, escribano de su número, en 14 del corriente , se hace saber á todos los acreedores del Excrno. Sr. marques de Astorga, conde de Alta…</t>
  </si>
  <si>
    <t>…egue á noticia de todos., y pue dan concurrir los interesados, se ha mandado insertar en la gaceta y diario en vir tud‘'de'pro videncia dada^ por; el señor teniente efe corregidor D. León de ia Cámara Cano ,)»ntCiD. Casimiro Antonio Gómez, escribano del número. Se vende una casa sita en esta corte y su calle de Buena vista, señalada con el. aánú 6 de la manzana gg, que comprehetide »3ia pies, y está tasada en 29234 rs* vn. Quien quisiere hacer…</t>
  </si>
  <si>
    <t>…otros 15,dias. más, ,que; pasados se execute nuevo remate, y se dé cuenta á ydicho supremo tribunal; en su cumplimiento se anuncia asi al público en virtud de pro videncia deí $r. D. León de la Cámara Cano, primer teniente de corregidor de es ta villa, y por, la escribanía del número de D. Jacobo Manuel Manrique, habien do señalado para el nuevo remate el miércoles 17 de Mayo en su audiencia desde bs 12 de la mañana en adelante. . En del $r. D…</t>
  </si>
  <si>
    <t>…ar sus derechos; en la inteligencia que pasado este término les parará todo perjuicio. Habiéndose celebrado junta pór los acreedores de D. Tiburéto Al faro 4 la pre sencia del Sr, D. León de la Cámara Cano, juez que conoce de los autos de- con curso del nmmo , en 23 de Abril próximo pasado se acordó entre otras cosas que dichos acreedores acudan á legitimar sus créditos ante el comisionado nombrado al efecto D. Vicente Trancho Gutiérrez, que v…</t>
  </si>
  <si>
    <t>…Ra.tncn de Milla Cuellar la dimisión de bienes hecha por la casa de comercio d«:P- Francisco Sacristana é hijos de esta corte, se ha mandado convocar á junta de acreedores,por el Sr. Don León de la Cámara Cano, del consejo de S. M., y teniente primero de corregidor, .Señalando para ella el domingo 4 de Junio próximo en las casas de habitación de S. S. á las nueve de su mañana. Lo que se anuncia por medio de este periódico pa ra que llegue á notici…</t>
  </si>
  <si>
    <t>…a iglesia catedral de Calahorra. Nota. Estos baños se hallan ya abiertos para el público desde principió del corriente mes, y lo estarán hasta fines de Octubre. Por el juzgado del Sr. D. León de la Cámara Cano, y escribanía numeraria de D. Tomas de Sancha y Prado, penden autos promovidos por D. Bonifacio Doz j la Cerda, vecino de la ciudad de Tarazona, quien ha reclamado cinco vales Reales de la creación de i.° de Enero de 1808, señalado» con lo»…</t>
  </si>
  <si>
    <t>6o4 f El .Sí. D. León &lt;!c la Cá máraf Caco eoiisejó dé S.iMv,prím¿f tenrentKcorregidor de esta heroica villa , cn auto dc ^a del pasado, urefreifidado de DI Claú* dio Sanz, escribano del húmero, ha &lt; señalado el domingo i r de l. corriente jí las ocho de la mañana en $u posada par…</t>
  </si>
  <si>
    <t>…ado el dia de nuestra Señora de Agos to,.sin franquicia de derechos, y con la duración de solos ocho días de los que pénala el mismo privilegio^ " , - En virtud do providencia del Sr. D. León de la Cimara Cano, deí consejo dfe S. M.t teniente de corregidor dé esta villa, juez que conoce de los autos de testa—'</t>
  </si>
  <si>
    <t>…una casa solar sita en esta corte y su calle de la Puebla, señalada con los números 21 y 23 de la manzana 554, tasada en ¡ipo^d rs. vn. Quien quisiere hacer postura acuda ante el Sr. D. León de la Cámá* ra Cano, del consejo de S. M., teniente corregidor de esta villa, por la .escribanía de su número que egerce D. Juan Raya. r Se halla vacante la plaza de maestro de primeras letras del valle de Aramayona, provincia de Alava, que debe proveerse en…</t>
  </si>
  <si>
    <t>…personas que quieran tratar de ajuste. ; Jan Jqhtaj geftepilcfe acreedores álatestsmenUinade D. MaurÓ Lope?, vecino y labrador qué fue én esta corté, celebrada a la presencié del Sr. D. León de la Ca«aaraGáno v del conté\o «le-S. Manteniente corregidor de -esta-heroica villa-, por an te el escribano dél núraeto DJ jCftaudio Sañz, en *1 dél xorriente se acordó que to-</t>
  </si>
  <si>
    <t>…________Paula Rodríguez/ viuda que fue de Francisco Carrasco, para que en el término preciso y perentorio^ de 30 dias, contados desde el 19 del comente, acudan á deducirle ante el Sr. Don León de la Cámara Cano, del consejo de S. M., primer teniente corregidor de esta heroica villa. En virtud de providencia del Sr. D. León de la Cámara Cano, del cdnsejo dé S~. M. , primer teniente corregidor de esta villa, se ha mandado sacar á pública su-basta dos…</t>
  </si>
  <si>
    <t>…su favor desde el año de 1807 hasta hn de Abril de íi8,I4 , mandando S. M. se le dep .gracias , y publique e;n la gaceta .este acto de generosidad patriótica. ; En el juzgado del Sr. D. León de la Cámara Cano , del consejo de S. M., te niente primero de corregidor de esta villa, y por la escribanía numeraria de D. To mas de Sancha y Prado , penden autos promovidos por D. Pedro#Man.uel Rojo so bre aprobación de la cuenta que ha presentado como adm…</t>
  </si>
  <si>
    <t>…postura á la mitad de una casa , sita en esta corte y su ca lle deí Pozo, señalada con el núm. 19 de la manzana 457, con 12654 pies, tasa-^ da toda en 32240 rs. vn., acuda ante el Sr. D. León de la Cámara Cano, del con sejo de S. M. y teniente corregidor de esta villa , por la escribanía de número que egerce D. Juan Raya. Se vende una imposición de 50® rs. vn. de capital, los 34111 rs. 20 mrs. en* vales rs. ,y el resto en metálico, c.on réditos de…</t>
  </si>
  <si>
    <t>…erechos que les competa; entendidos que de no hacerlo les parará el perjuicio que haya lugar , . 1 En la escribanía del ‘número de D. Santiago de :Estepár,íy áiidi encíadel Sejnor D. León de la Cámara Cano, del consejo de $. Mm tenientercorregidor d¿ est^ vi lla, está radicada la testamentaría dp t^óíía Teresa Santpyp, vec ina'qué .'Fue de ellá, y resultando cierto legado ^ftaÍt£íb' á"favor dé‘Dbfñá’^íáríá Sánchez CagtdeVsu cHada anciana, no s…</t>
  </si>
  <si>
    <t>…, 10 y 11 de la manz. 508, esquina á la del Rosal, que tiene de sitio 32 27f- pies cuadra dos superficiales, tasada en 165685 rs. Quien quisiere hacer postura á ella acuda ante él Sr. D. León dé Ja Cámara Cano, del consejo de S. M., primer teniente cor regidor de esta villa, por Ja escribanía de número de D. Antonio López de Salazar, que se admitirán siendo arregladas.</t>
  </si>
  <si>
    <t>Por providencia de 5 del corriente del Sr. D. León de la Cámara Cano» del consejo de S; M.;, primer teniente corregidor detesta heroica villa de Madrid, refren dada de D. Antonio López de Salazar., escribano del número de la misma, se man da sacar á pública subasta por término de 30 días, contados.desde esta…</t>
  </si>
  <si>
    <t>…manencia de las tropas inglesa* éfi el territorio español, que deben acudir inmediatamente á Lisboa á deducir sus reclamaciones y liquidar sus cuentas. A virtud de providencia del Sr. D. León de la Cámara Cano, del consejo de 5. M., teniente corregidor de esta villa, y escribanía del numero de D. Tomas de Sancha y Prado se venden dos casas sitas en esta corte, la una en la calle de la In quisición, señalada con el núm. 9, manz. 495, tasada en 1597…</t>
  </si>
  <si>
    <t>…7&amp;193 rs. vií. 4 y está ‘ rematada en 64® en metálico¿í pagar de pronto 15520^., 20 mrs. y los gastos del pleito que motiva la venta. Quien quisiere hacer mejora acuda ante el Sr.,D. León de la.Cá mara Cano , del consejo de S. M.,.teniente corregidor de es.ta villa; en cuya a\tdienr ■ cía se ha de celebrar el segundo remate en el día 15 del corriente á las 1 2 por ante el escribano del número D. Juan Raya. * • f ■ r Én virlu(d dé providencia d…</t>
  </si>
  <si>
    <t>…de esta corte» señalada con los números a a y ag de la manzana 554, tasada en. 19056 rs. vn., y para su remate se ha señalado el día 16 del corriente á las 12 en Ja audiencia del Sr. D. León de la Cámara Cano, del consejo de S. M., teniente corregidor de esta villa» ante el escribano de su numero D. Juan Raya. En virtud de providencia del Sr. D. JoseT Salvador López dei Pan, del conse jo de S. M., su alcalde de casa y corte» dada en 23 del pasado…</t>
  </si>
  <si>
    <t>…y eá el regular a 30 en pasta y 24 en papel. Los tomos 3.0 y 4.0 á 26 rs. cada uno en papel y 34 en pasta. Véndese en el despacho de la imprenta Real. En virtud de providencia del Sr. D. León de la Cámara Cano, del consejo de S. M., primer teniente corregidor de esta villa, refrendada por D. Alfonso de Yévenes, escribano del número de la misma, su fecha 25 del pasado, se manda á los que se hallen con derecho al patronato de las capillas y oratorio…</t>
  </si>
  <si>
    <t>1230</t>
  </si>
  <si>
    <t>…su calle de Cabestreros, señalada con el número 8, manzana 66, que contiene de aerea 190$! pies , y está tasada en 44249 rs. vn.: el que quiera hacer postura ¿ ella acuda ante el Sr. D. León de la Cámara Cano, del consejo de S. M., teniente corregidor de esta villa, por la escri banía dé su número que égerce D. Juan Raya, dentro de 30 dias.^ Materia Criminal forense, ó tratado universal, teórico y práctico dé los delitos y delincuentes', en^géner…</t>
  </si>
  <si>
    <t>…n, en Lisboa, se recibiré 11 para su liquidación hasta el diat 30 dél mismo mes de Noviembre i pasada cuya época no serán admitidas poy motivo alguño. í Por la audiencia dfel Sr.« D. León de la Cámara C"and , AeÍ consejo de S , rúente corregidor de esta villa, y escribanía del número de D.-Círsí-miré Arrtrtnia* Gómez, dei propio consejo, secretario del Rex nuestro Señor, se-~hailarrpenditro»</t>
  </si>
  <si>
    <t>…cho juzgado-y escribanía á legitimar su derecho, pues de lo contrario les parará perjuicio/y se invertirán aquellos cau dales en el destino prescrito. En virtud de providencia del Sr. D. León de la Cámara Cano , del consejo de S. M., teniente corregidor de esta heroica villa, refrendadá de D. Pascual Seco; es cribano de S. M. y del número de ella, se ha;mandado sacar á pública subasta poí término de 30 dias la casa qué en la cálle de Cabestreros s…</t>
  </si>
  <si>
    <t>…aber de D. Antonio de la Fuente, mercader de lienzos, que vivió en la callé de Postas frente aja callejuela de S. Cristóbal; de su muger Doña María Vicénta Jáúregüi, ¡y de su hijo D. León. Cualquiera de ellos ó sus legítimos here deros .se servirán alisar de su existencia y paradero á D.1 Pedro Pablo Tettámanzy, Vecino y del comercio de lá Coruñá/ quien tiene asuntos interesantes que comuni carles. . • ■ ;' !1 La persona que supiere del parade…</t>
  </si>
  <si>
    <t>…en los mismos ocho dias de este aviso cierren sus tiendas y quiten sus puestos j y de 110 verificarlo asi los primeros como los segundos les parará eL perjuicio que haya lugar. El Sr. D. León de la Cámara Cano-, del consejo de S. M.teniente primero decorregidor de esta heroica, villa, en cuyo juzgado y escribanía numeraria de D. To mas de Sancha pende la testamentaría de la Excma. Sra. Doña Teresa de Saiazar y Morales, marquesa que fue de Soásente…</t>
  </si>
  <si>
    <t>…ando pbr- sí*Sola'ííijéis:ó menos la máquina , si es que por ventura no resulta cierta cosa todavía-ma yor* Al mismo tiempo dará una idea 'sencilla -para que cóftcltñdáf Wmolienda D. León de la Cámara Cano, del consejo de 5. M., oidor de la Real ¿hanciilería de Valladolid, delegado de la Real regalía de aposento , subdelegado de la Real junta de Comercio y Moneda, regidor honorario del Excmo. ayuntamiento de esta heroica villa de Madrid, tenie…</t>
  </si>
  <si>
    <t>…l j á liquidar y percibir después en metálico del señor tesorero D. Manuel de la Viña la anualidad, que cumpli rá en fin de este año. ; TT" , } .Fn. virtud* de provipe^ia del Sr.j D. León dé la Cámara Cano de 27 deNoviembre,úipmq. Ve cita. y. emplaza a. D.,Ildefonso López-del Barrio, del comerció que fue de está corte, para que en el término de 20 dias comparezca á su juzgado y es cribanía del número de D. Antonio Lopez.de Salazar por sí ó por…</t>
  </si>
  <si>
    <t>…e este aviso en el referido periódico; con apercibimiento que pasado dicho término se procederá eñ su rebeldía á lo que corresponda según las leyes. ■ En virtud de providencia del Sr. D. León de la Cámara Cano , del consejó de S. teniente corregidor de esta villa, y por la escribanía del número de Don Pascual Seco, se ha mandado sacar á publica subasta por término de 30 dias k casa que en la calle de Santiago el Verde-se distingue con el núm. ig d…</t>
  </si>
  <si>
    <t>…le de la Puebla, señalada con los números 22 y 33 de la manzana 554 , tasada-en 19056 rs. va.; y para su remate está señalado el dia 22 de este mes á las 1 2. en la audiencia. del Sr. D. León de la Cámara Cano, del consejo de S. M., teniente cor regidor de esta villa, ante el escribano de su número D. Juan Raya; En la villa de Reinosa, provincia de Patencia, se halla vacante la plaza de mó dico titular de la misma, con la dotación de 700 ducados a…</t>
  </si>
  <si>
    <t>…Francisco Marín. =±D. Manuel de Torres. = D. Ramón López P¿legrin. = Re gistradas Aquilino Escudero.—Teniente de Canciller mayor, Aquilino Es cudero. En virtud de providencia del Sr. D. León de la Cámara Cano, dei consejo de S. "M., teniente primero de corregidor efe esta heroica villa , refrendada de D. Clau dio Sanz, escribano del numero, su fecha’ 1 2 del corriente, se hace saber á todos los acreedores de la testamentaría del Exorno. Sr. D. Ma…</t>
  </si>
  <si>
    <t>A virtud de providencia del Sr. D. León :de la Cámara Caño; del consejo'dc S. M. , teniente corregidor de esta villa, refrendada de D. Tomas de Sancha y Pra-¿ do, escribano del número de ella, se ha mandado sacar, á subasta, por término de, 30 días contados desde el 12 del corriente mes, una casa s…</t>
  </si>
  <si>
    <t>León, DI</t>
  </si>
  <si>
    <t>DI León</t>
  </si>
  <si>
    <t>…en el despacho de la imprenta Real. Se subscribe en dicho despacho, ye a las provincias en todas lasádÉainistraciones principales y agregadas de correos. r ) ' Por providencia del Sr. DI León de la Cámara Cano,' teniente corregidor de Ma drid ,Sse cifa; llama y emplaza á todas las personas que presuman tener derecho á los bienes que han quedado por fallecimiento de Doña Francisca Martínez de Mendizabál i víudá.qiíé-era de D. Dom ingo Rodríguez Var…</t>
  </si>
  <si>
    <t>León, Diego Crespo de</t>
  </si>
  <si>
    <t>Diego Crespo de León</t>
  </si>
  <si>
    <t>…riz: de Daymiel al honorario de la cámara de Comptos D. Juan Ramón de Ibarra: de Mérida á D. Joaquín María de Egui^uren: de Dos-Barrios á D. Jorge Ferrer: de Segura de la Sierra á D. Diego Crespo de León! de Porcuna á D. Josef Antonio de Oscoz y Recarte: de Totana y Aledo á D. Ignacio María de Funes y Ulloa; y para el corregimiento de Guadalcanal á D. Gaspar Armengol.</t>
  </si>
  <si>
    <t>…el territorio de las Or denes Militares para la vara de alcalde mayor de la villa de Hornachos 2 D. Manuel Manso y Tejada: para la de Segura de la Sierra, vacante por promoctQn de D. Diego Crespo de León á la de las nuevas poblaciones de Sierra Morena, á D. Joaquín Gonzalo Ramírez de Arellano: para la de fa ciudad de Alcañiz á D. Fabian Dórente; y para la de los Santos, vacante pór renuncia de D. Josef Antonio Martin Palomino, á D. Francisco Javier Ló pez Duq…</t>
  </si>
  <si>
    <t>León, Domingo Crespo de</t>
  </si>
  <si>
    <t>Domingo Crespo de León</t>
  </si>
  <si>
    <t>…o y Cote; y para el corregimiento político de Eciia á D. Juan Antonio Ruano y Aguilera. Para la vara de Alcalde mayor de ]as Poblaciones de Sierramorena, su capital la Carolina, á D. Domingo Crespo de León: para la de Campana á D. Josef Domingo Casaux: para la de Fuentidueña á D. Mariano Vergara Perez: para la de Almázan á D. Agus tín Medina y Lavalle: para la de Zafra á D. Juan Crisóstomo de la Peña: para la de Cazorla á D. Manuel María de Peralta: para la de…</t>
  </si>
  <si>
    <t>León, Felipe López de</t>
  </si>
  <si>
    <t>Felipe López de León</t>
  </si>
  <si>
    <t>…Pedroso de Plasencia en Estremadura: su dotación son 3© rs. anuales. Los que quieran pretenderle dirigirán su solicitud á la justicia de dicho pueblo, ó la éntregarán en Madrid á D. Felipe López de León, que vive calle de la Magdalena baja, casa entre los números 8 y 9. En la villa de Mináya, partido de S. Clemente y provincia dé Cuenca,; se halla vacante la plaza de maestro de primeras letras: su dotación 300 ducados anuales con exención de todas cargas, y…</t>
  </si>
  <si>
    <t>León, Josef Ponce de</t>
  </si>
  <si>
    <t>Josef Ponce de León</t>
  </si>
  <si>
    <t>…so Leiva, D. Manuel Martínez de Velasco y D. Francisco Vaca: á subrigadieres del cuerpo al cadete Don Luis del Panva Cadétés supernumerarios á los guardias DV Ráfaél de Córdo ba y D. Josef Ponce de León i á tenientes vivos y efectivos de caballería ; eo¿ sueldo y antigüedad de tales, á los guardias D. Diego Vallejo, D. Gabriel VallejoDi Pedro Lüengó Alderéte^ y D. Dámaso Ghamoohln: á alféreces vivos y efectivos de caballería, Cón süéldó de talesjy grado de t…</t>
  </si>
  <si>
    <t>León, Julio Ponce de</t>
  </si>
  <si>
    <t>Julio Ponce de León</t>
  </si>
  <si>
    <t>…Gadea, D. Antonio Mella, Don Josef Barros, D., Alonso Butrón, D.•Felipe Saavedra, D. justo Pasalagua; p. Vicente de Mesa,D. Fulgencio Anríen, D. Josef Carreño, D Manuel. Ümendia, D. Julio Ponce de León, D. Josef Marco y.Espejo, D.^joaguin Vargas Machuca, D. Josef de la Sendéja, D. Andrés Tacón, P. Joaquín Ro dríguez de Ribera , D. Pedro Germán D. Josef de Torre Llobregat, D. An tonio Villavicencio , D. Mauricio Albert, D. Manuel Villavicencio, D. Fran cisco…</t>
  </si>
  <si>
    <t>León, Pedro</t>
  </si>
  <si>
    <t>Pedro León</t>
  </si>
  <si>
    <t>…ngo Fer nandez : para la de Soto-Palacios á D. Juan González Bravo: para Gober nador Justicia mayor de Valde-Caballeros, y Juez privativo ae las Reales dehesas de los Guadalupes á D. Pedro León de la Plaza Segura: para la de Portillo á D. Garlos Covarrubias: para la de Gimena á D. Josef Mateos y Valle: para la de Garrobillas á D. Dionisio Marcelino Angulo: para la de Cuevas de Vera á D. Josef Vicente de Castro: para la de Benvipre á Don Josef Ruvial…</t>
  </si>
  <si>
    <t>LeonardaXjil</t>
  </si>
  <si>
    <t>…srfpor menores»,de ja ganaderíar.Wj zocon suafabnidadearacterístiea'varias preguníasá Ibs pastores, de cuyas sencilííastespuestais qufdó sumámenterc©mpljadde¿;; r -■» &gt; , í •-?A . D. LeonardaXjil de la Cuesta.» ganadero vocal ,íyfiscal en el idia dej bonfadoíConcejo^ espuso'con este motivo el estado decadente de este 'faino tan precioso © interesante , las causas de que dimana, y los medios de restar blecerle con¿íitilidad.del estado : S. M. ©yo con g…</t>
  </si>
  <si>
    <t>Leonés, Martin</t>
  </si>
  <si>
    <t>Martin Leonés</t>
  </si>
  <si>
    <t>…amiento, ídem..__ La redo: su ayun tamiento* ídem._-León: el ayuntamiento* cabildo eclesiástica y el ae íá iglesia de S. Marcos 3300 rs.^—Lqfca : el cabildo eclesiástico 200 rs. £ Don Martin Leonés 300.,__Málaga r su coronel el brigadier. D-Carlos Cambantes costea el total importe de ia construcción dé la bandera. ___ Mondoñedo : eí ilustrísimo obispo y cabildo eclesiástico y señores del ayuntamiento, ídem* —Murcia: los geres y oficiales de él, Ídem-—Ov…</t>
  </si>
  <si>
    <t>Leopoldo</t>
  </si>
  <si>
    <t>…rador de A os- 5 tria destinó i que hiciesen mas solemne esta augusta ceremonia, á la que •: asistió vestido de luto con toda.su familia y los empleados de I3 corte. . S. A. R. el príncipe Leopoldo y el conde de la Tour-du-Pin, ministro de Francia , .recibieron eq la tribuna imperial á SS. MM. el emperador de Rusia y lps reyes de Prusia, Dinamarca , Ba viera, y á los detnas príncipes so- , beranos que había en Viéna, que asistieron con todas las persona…</t>
  </si>
  <si>
    <t>…ido. Sobre todo se débe«refrenar mm. y la. u&amp;liná(ciórv alreaqupóíque reiné í!en lá cíase tt^asWrtíkrQsa dé 'está ciudad*,, -;1-/ f'■ ' 'ro^-:C'- f.sv ,, La llegada de S. A. R. el príncipe Leopoldo de las Dos Siciliás, verifi cada el 22 , fiie acompañada de un jubilo. tan general cual nunca SC podía esperar. j. ... /;.‘V ,.V ’ ,. /' ‘ fi,'’'rconseguido' sé la l pérmitá. rétírat$é „ La thuger de. Xiurát Ha pedido y h^ ; c y: i44^^ y :yyc,.'; ...,ywy;. y.…</t>
  </si>
  <si>
    <t>Leótt</t>
  </si>
  <si>
    <t>…etición dei magistrado de la villa de Gran ei) Hungría. j j ■■■. ¡. .------- - -- -- -- -- -- -- -- -- -- -- i------- -tLLhm.-ií-,;,: ■ ; ‘él r ’ ' ----- ■■■ --Poé pVovidenciá del Sr. D. Leótt de la Cámara Capo, del consejo de S. M. primer ten i ente corregidor dé r¿stá villar refrendada de D* Antonia. López de Salazar, escribano del número dé la misma, su fecha 26 de este mes, se ha señalado para celebrar junta de los acreedores áda testamentaría*…</t>
  </si>
  <si>
    <t>Leqnor, Andrés</t>
  </si>
  <si>
    <t>Andrés Leqnor</t>
  </si>
  <si>
    <t>…der, D. Francisco Bono, D. Angel Ladrón de Guevara, D. Angel Póns, D. Rafael Martínez, D. Josef Caballero, D. Josef Góózalez^B. Manuel Aguí rre , B. Josef Muñoz ,D* Juan Paredes y D. Andrés Leqnor. Grado Je capitanes ádos tenientes D. Josef Marín, D. Josef Alcázar, Dr Josef de Castro, D. Pascual,Atiza , Dv Víctor Conegero, D. Cristóbal Dávtk:, D. Ladislao Luco , D. Juan Enébuisen, D. Juan Piich, D. Mariano Al-* dama, D. Pablo Estogui, D. Policarpo Alda…</t>
  </si>
  <si>
    <t>Lérma, Agustín Perez de</t>
  </si>
  <si>
    <t>Agustín Perez de Lérma</t>
  </si>
  <si>
    <t>…nignode Rodenas. .. Grado de comisario de guerra al oficial primero D. Juan del Pico. • „Jiscenso X oficiales primeros á los segundos D. Juan de Sierra, D. Estéban Sánchez Martin, D. Agustín Perez de Lérma, D. Gregorio La Bustay p, Gabriel Azpilcueta , D. Josef Alfonso' Pantoja, D, Félix Ramo, D. Alejo Bada y D. Manuel Gómez. Bo res., r . ' ’ . . Ascenso ,á oficiales segundos á los terceros D. Prudencio María Piohai*do,' Po Joaquín Navarro, &gt; i).«Juan /Francisc…</t>
  </si>
  <si>
    <t>Lesaca, Juan Josef</t>
  </si>
  <si>
    <t>Juan Josef Lesaca</t>
  </si>
  <si>
    <t>…. Cruz de Rebadulla* vizconde de S. Julián, 1© pesos fuertes anuales.__ D. Julián de Campos y Molina, corregidor de Granada, 5122 rs. y 4 mrs. por sus mesadas de Ma** yo y Junio.__D. Juan Josef Lesaca , contador de data de la Tesorería ge neral, 12$ rs. vn., y S© su hijo D. Clemente.Pedro de Oscalar 1© reales anuales. D. Fernando Selma, grabador de cámara que fue de S. M., bien conoci do en toda Europa por sus obras de dibujo y grabado, falleció en esta có…</t>
  </si>
  <si>
    <t>Lesaca, Juan Josef de</t>
  </si>
  <si>
    <t>Juan Josef de Lesaca</t>
  </si>
  <si>
    <t>…do el Rey nuestro Señor á los dilatados méritos y servidos de E&gt;* Josef Moreno M a niñez , sé ha dignado nombrarle contador de data y 'guerra de la Tesorería general por muerte de D. Juan Josef de Lesaca. El coronel del regimiento dragones de Pavía, y el comandaste del seguiy* *'do batallón de infantería de Iberia, hallándose de guarnición en Zamora re, curtieron ál cabildo catedral de la misma haciendo presente la necesidad que tenían sus soldados de ciertos…</t>
  </si>
  <si>
    <t>Lesciu</t>
  </si>
  <si>
    <t>…idesórden en la ciudad» en donde trató de defen derse al abrigo de las murallas \ pero viendo el enemigo que las tropas aus tríacas intentaban asaltar la ciudad, y que el teniente coronel Lesciu ky, del regimiento de Simbschen, se dirigía á Quartirolfo con dos compañías para cortarle la retirada, abandonó á Carpí, y pasó elSecchia, seguido siempre por loa austríacos. Ademas de ,500 prisioneros que se les hicieron , sufrieron también la pérdida de otr…</t>
  </si>
  <si>
    <t>Lesól</t>
  </si>
  <si>
    <t>…a y los coraceros del general Mil&lt;;*. ...I lj^ud* se formaron eji Ia.¿altura,deJ^loro. | A las tres de la tarde , estando ya acabadas de tomar estas disposiciones, la división del general Lesól, que componía parte del cuerpo del general Vandamme, entró la primera en acción , y se apoderó de Saint-Amand, de donde arrojó á la bayoneta al enemigo, y mientras duró el combate se man tuvo en el cementerio y al pierde la torre de este pueblo; pero como es…</t>
  </si>
  <si>
    <t>Letamendi, Francisco Antonio de</t>
  </si>
  <si>
    <t>Francisco Antonio de Letamendi</t>
  </si>
  <si>
    <t>…o las formalidades referidas, ocur tiendo en Nuera-España i D. Gabriel Manuel de Iturbe, vecino de Méxi co; en el Perú á la factoría de la Real compañía en Lima; en Buenos-Ayres á D. Francisco Antonio de Letamendi, y en Manila á los factores de la compañía. A los accionistas de América que quisieren recibir su haber en España, se Ies rebaxará io por ioo de lo que importe el repartimiento por equivalente á los derechos, fletes, seguros, comisión y otros gastos que oca*…</t>
  </si>
  <si>
    <t>Leval</t>
  </si>
  <si>
    <t>…ra ha recibido igualmente la sumisión del mariscaL Suchet én nombre de los generales ,*oficiales, Sargentos y cabos de loscuer-rpós^de egército que manda ; la del teniente general conde Leval, que mand» la plaza de Dunkerque, por sí y en nombré de los ingenieros de aquel puer to; del teniente general barón Fauconnet , comandante de las guardias nacio nales de la misma plaza ; del teniente general barón Roget, en Caen; del ma riscal de campo, en el…</t>
  </si>
  <si>
    <t>Lexaide, Manuel</t>
  </si>
  <si>
    <t>Manuel Lexaide</t>
  </si>
  <si>
    <t>…de-dé casa y corte; y otra plaza efectiva de alcalde de casa y corte á D. Ma nuel A rbizu, alcalde del crimen del consejo de Navarra: para esta plaza se ha servido S. M. nombrar á D. Manuel Lexaide, alcalde mayor del crimen de la audiencia de Galicia con su antigüedad; y para esta resulta ha nom brado á D. Josef Salelles y Palos: para la primera plaza de oidor de las dos vacantes en la audiencia de Extremadura á D. Evaristo de la Dehesa, y para la segun…</t>
  </si>
  <si>
    <t>Li, Diego</t>
  </si>
  <si>
    <t>Diego Li</t>
  </si>
  <si>
    <t>…á los de bandera D. Antonio Saez, D» Franciscó Caro, D. Juan Tomas de la Torre y D. Josef Rivas: á subtenientes de ban dera ¿ los cadetes D. Josef María Arroyo, D. Pedro Safazar, D. Diego Li atón, y kl sargento primero de granaderos D. Serafín Adrián. En consideración al mérito contraído en la Florida Oriental en las últi mas ocurrencias por los milicianos urbanos , se ha dignado S. M. conceder grados de provinciales á los individuos de la citada…</t>
  </si>
  <si>
    <t>Liafio, Josef</t>
  </si>
  <si>
    <t>Josef Liafio</t>
  </si>
  <si>
    <t>…rma de custodia, coronado con un santo Cristo, todo ello de bronce. La persona que supiere de su paradero se.servirá avi sarlo en el expresado pueblo de Sta. María de los Llanos á D. Josef Liafio 7 Var gas, cura párroco de él, y en Madrid á D. Juan Antonio Rodríguez , calle del Carbón, núm. 9, quienes ofrecen en nombre de los vecinos de aquel pueblo un ha llazgo, si no correspondiente á la devoción á esta imágen y á los deseos que tienen de volverla i…</t>
  </si>
  <si>
    <t>Liaño, Anselmo</t>
  </si>
  <si>
    <t>Anselmo Liaño</t>
  </si>
  <si>
    <t>…Pallaras á canongía de Mondoñedo á D’. Pedro Cárdenas y Mora , capellán: mayor de la metropolitana de Santiago. = La canongía vacante en la colegia ta ae Castrogeriz por muerte de D. Anselmo Liaño a D. Miguel Diez y alférez licenciado del regimiento de húsares de caballería de Burgos. ¡= La ración va cante én la catedral de Coria por fallecimiento-de D. Andrés Perez Venturo á EX Bruno Joaquín Espadero-, director espiritual del seminario dé Cáeéres.=: E…</t>
  </si>
  <si>
    <t>Liaño, Joaquín Gómez de</t>
  </si>
  <si>
    <t>Joaquín Gómez de Liaño</t>
  </si>
  <si>
    <t>…28 y; 29/dondediceAfiliado', iézst D.; Josef Querqü de Árdiario. .. • ; ¡; Asimismo en la gaceta del sábado último , pág. 602 9 lín. 39 9 donde dice J&gt;. Josef úoniez Liaño, léase D. Joaquín Gómez de Liaño. i - EN LA' IMPRENTA REAL.</t>
  </si>
  <si>
    <t>Liaño, Josef</t>
  </si>
  <si>
    <t>Josef Liaño</t>
  </si>
  <si>
    <t>…. .Tomas Montero ,'D. Antonio Enfy, D. Josef Aguilar, 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t>
  </si>
  <si>
    <t>Lianos, Carlos Gonzakz</t>
  </si>
  <si>
    <t>Carlos Gonzakz Lianos</t>
  </si>
  <si>
    <t>…agón: el empleo de capitanes supernumerarios, sin antigüedad, á los primeros tenientes D. Josef Cortes y D. Manuel Liaño: el grado de coronel al primer ayudante mayor del batallón D. Carlos Gonzakz Lianos con la antigüedad del 29 de Mayo. También se digno S. M. autorizar al Escmo^ Se ñor Marques de S. Simón para que espidiese licencias absolutas á los irídividuos que juzgase acreedores. ^ S. M. permaneció en el cuartel hasta cerca de las jo, que salió en me di…</t>
  </si>
  <si>
    <t>Lichtenstein</t>
  </si>
  <si>
    <t>…cenderá' el emprés tito.;'pero se asegura qu© será 28 millones de esterlinas* aej©tew Inglaterra* y 3© en Irlanda. Se ha publicado- por último el segundó tomo de- los» viages? del profesor Lichtenstein en Africa, país tai* interesante cómo* desconocido^ atinv Com prende este voíúmen la continuación dersu viage por el Harac; por el dis trito de Zueflendam; por los países dé los bosjesmanes, de los Coranes y de los beetjuanes, pueblo jamas visitado pórl íOsie…</t>
  </si>
  <si>
    <t>Liebres, Juan</t>
  </si>
  <si>
    <t>Juan Liebres</t>
  </si>
  <si>
    <t>7Í° ... , : , Josef¿Perez de. Castro, D.: Jósef LliriaS ,D. Francisco' Castañeda, D. Juan Liebres, D. Pedro'-Góíñéz-, Di. Fráñcls^o de Paula Rámlréz¿ DI Cecilio Mó¿ lina, D. Josef Martínez Coronado, D.. Gerdriimo Gallardo, D. Francisco Calero, D. Patricio González y D. Juan Josef Constantini (*). ,0 i 1 i ? ví 0..r-C . T A . , En el Real cuerpo de Guardia…</t>
  </si>
  <si>
    <t>Lieoart, Ramón Macla de</t>
  </si>
  <si>
    <t>Ramón Macla de Lieoart</t>
  </si>
  <si>
    <t>…Vicente Ximenez Granados: para él de Orense á D. Vicente Pedio Rebollo: para el de Bilbao z D. Antonio Apellan!?, oidor de la, chan-, ciMéría dé Váíladolid: para el dé Guipúzcoa á D. Ramón Macla de Lieoart: para el de Paradas á D. Francisco Antonio Rodríguez: para el de Alacete á D. Jo .quin de la Escalera Benedicto: para el ae Toledo á D. MaE nuel Ortiz de^Pinedo:para él de Jaén á D. Rafael Amat y Sala: para el de Iniesta y VUlanuevade la Xará á D. Francisco d…</t>
  </si>
  <si>
    <t>Lieven</t>
  </si>
  <si>
    <t>…Sesto cuerpo de egército , general coirde Laugereau -8.a división de infanteríai teniente general Esfen/^—i 9.a rdivision id., mayor general' Oudom. ___io,a división id., teniente general Lieven. _ 2.a división de húsares, te-* diente general Chepieff. — Ciento veinte piezas de artillería. Este cuerpo, igualmente que el cuarto, forman la izquierda del egército, y marchan por Nuremberg:sobre Maouheim. . ; La reservada CormaniaiSégu^da divisioniidev gr…</t>
  </si>
  <si>
    <t>Linacero, Francisco Alonso</t>
  </si>
  <si>
    <t>Francisco Alonso Linacero</t>
  </si>
  <si>
    <t>…4. El Rey se ha servido nombrar para la dignidad de arcediano de Tofdesillas, vacante en la iglesia catedral de Valladolid por fallecimiento de Don. Antonio Escribano Hernández, á D. Francisco Alonso Linacero, canónigo magistral de la misma iglesia,, con retención de ésta canongía: para la dig nidad de vicario de coro, vacante én la santa iglesia primada de Toledo por promoción de D. Alfonso Cañedo á la iglesia y obispado de Málaga, á Don Domingo María del Rio Mur…</t>
  </si>
  <si>
    <t>Linares, Evaristo</t>
  </si>
  <si>
    <t>Evaristo Linares</t>
  </si>
  <si>
    <t>…lmonte á D. Pedro Antonio Moraleja y Montalban: para la de Carcabuey á D. Juan Carlos Callaba: para la cíe Cartaya á D. Joaquín Fernandez Duran: para la de Mansilla de las Muías á D. Evaristo Linares: para la de Alcañices á D. Francisco de Paula Grande: para la de Cien pozuelos á D. Francisco Herrero Blanco: para la de Salva tierra á D. Manuel del Pozo: para la de la Bañeza á D. Bartolomé García Terrón: para la de Nájera á D. Josef Eladio Garcés: para la…</t>
  </si>
  <si>
    <t>Linares, Fermín Gil de</t>
  </si>
  <si>
    <t>Fermín Gil de Linares</t>
  </si>
  <si>
    <t>…io Alaiz. Y para igual empleo del regimiento provincial de Betanzos al Teniente coronel agregado al mismo cuerpo D. Pedro Váz quez Pimentel. Asimismo se ha servido S. M. nombrar á D. Fermín Gil de Linares, Fiscal de la audiencia de Estremadura, para la fiscalía del Consejo de Navarra, y para la plaza de Fiscal de la audiencia de Estremadura á D. Josef Rodríguez Biedma: para la de Alcalde del crimen de la misma audiencia á D. Juan Modesto de la Mota: para otra…</t>
  </si>
  <si>
    <t>Linares, Miguel</t>
  </si>
  <si>
    <t>Miguel Linares</t>
  </si>
  <si>
    <t>…Mendicuti, D. Francisco de Mena, D. Nicolás Landazuri, D. Manuel Sayago, D. Jldefonso Nieto, D. Cristóbal Giménez, D. Miguel de Torres, D. R.afael Sánchez Sáravia, D. Ramón Polo, D. Miguel Linares, D. Juan Larrua , D. .Tomas Montero ,'D. Antonio Enfy, D. Josef Aguilar, D.” Juan de DiosVaidivia,D. Lázaro Caballero ,D. Antonio Floran, D.'Manuel García SegóVia,D. AntonioCarly , D. Mariano Baeza, D. Josef Liaño, D. Gonzalo Sóusá ,D. Bartolomé Leal ,D. Mani…</t>
  </si>
  <si>
    <t>Linares, Vicente Román y</t>
  </si>
  <si>
    <t>Vicente Román y Linares</t>
  </si>
  <si>
    <t>…n del viernes primero de quaresma, predicada al Rey nuestro Señor en su Real capilla, concurriendo en ella el jubileo de quarenta horas el dia 10 de Febrero de 1815 : por el R. P. D. Vicente Román y Linares, canónigo reglar premonstratense, abad de S. Joaquín de Madrid (vulgo Afligidos), y predicador de S. M. Se hallará en las librerías de Montero, calle de la Concep ción Gcrónima, y de Hurtado, calle de las Carretas, á 2 rs. Carta de las letras y sílabas, ó nue…</t>
  </si>
  <si>
    <t>Lindblom</t>
  </si>
  <si>
    <t>…arzo, ; ? El 29 del pasado se ’abrió aquí la dieta con las acostumbradas ceremonias y festividades: el conde de Morner fue nombrado para mariscal del reyno: el arzobispo de Upsal, doctor Lindblom, para orador del clero; y para vice orador el obispo de Linkoeping, doctor de Rosenstein 9 y todos ellos pres taron el juramento de fidelidad en manos de S. M. AUSTRIA. Viena 20 de Marzo. Quizá no se habrá executado nunca un convenio que baya merecido una apr…</t>
  </si>
  <si>
    <t>Liniers, Luis</t>
  </si>
  <si>
    <t>Luis Liniers</t>
  </si>
  <si>
    <t>…nuel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t>
  </si>
  <si>
    <t>Linois</t>
  </si>
  <si>
    <t>…ue anuncian que las tropas francesas de la Martinica ’y de la Guacia 1 upé pid ie rpn banderas y escarapelas tricolores luego que supieron que Napófeon háHa lle gado á Francia. El almirante Linois, gobernador . ae'. Ijf ‘Martinica , y cuya jealtad para su legítimo Soberano es invariable, solicitó al punto auxilios de sil* James Leith, gobernador británico de da Antigua, quien á principios de Mayo estaba disponiendo tropas para socorrer á Linois, á fin…</t>
  </si>
  <si>
    <t>…-.i/; . J. nr-r cín .. í .,l*. úb mi nPor orden del feld-marlscal Príncipe Blucher ¿== JElgeneralGneisenau* GR A N BRETAÑA. { •_ &lt;■ ■ ALóndres.iacde Julio* .¡:,K ; . ;.,n¡, ^ a El almirante Linois * gobernador de. la jGi^d^Iupe^I.uégq que supo el de$* embarco de Bonaparte en Francia , publicó uú edjcta declarando; que ¿os puerr tos de aquella isla y sus dependencias'estaban abiertos, para ¿0$ buques ]¡esti alí geros cargados con toda clase de mercancía…</t>
  </si>
  <si>
    <t>…te Duruham , dirigidos á Sir Crokor, anunciando con fecha de 10 de Agosto la capitulación de la isla de Guadalupe. El principal artículo de esta capitulación dice que el almirante conde Linois, el general Boyer y todas las tropas de línea francesas se enviarán á Francia como prisioneras de guerra, y á disposición del duque de Wellington.” ,7 T: Los buques ingleses se acercaron tanto á la costa para el desembarco dé las tropas que no perdieron un so…</t>
  </si>
  <si>
    <t>…ermanecer en Francia se han puesto en marcha para volver á la Bélgica. Se asegura que el general Drouet, conde de Erlon, ha sido arrestado en París , donde vivía oculto. El contra-almirante Linois, gobernador de la isla de Guadalupe, y el general Boyer, comandante de las tropas de aquella isla, se hallan ar restados. El famoso Schulmeister, espía pagado por la policía de Bonaparte, y el eonvencionista Malarme , subprefecto de Maubeouge, arrestados por…</t>
  </si>
  <si>
    <t>Lipps</t>
  </si>
  <si>
    <t>…a obra de que se traduxo un exemplar én lengua turca, y que envia do. á Constantinbpla prodbxoí'Una reüniotú^def divan., y-'$e pidieron explica ciones al enviado austríaco, es del doctor Lipps. Como en ella sé habla dé La libertad de la Grecia, ha sido buscada con-mucho anhelo por los griegos* en quienes ha producido un entusiasmo extraordinario. La Puerta en vista</t>
  </si>
  <si>
    <t>Liquorio</t>
  </si>
  <si>
    <t>…oposiciones que les parezcan. Madrid 10 de Enero de i8ifr. Visitas al Santísimo Sacramento y i la Virgen , traducidas del francés ai caste llano de las que escribió en italiano el señor Liquorio, obispo de Sta. Agueda, en el reyno de Ñapóles: por el Dr. D. Blas Ostolaza, para uso de S. M. y del Señor Infante D. Carlos, quienes diariamente las hacían en Valenqay por esta obra en compañía de dicho doctor su capellán y confesor , quien las da £ luz. Vén…</t>
  </si>
  <si>
    <t>Lis, Manuel de</t>
  </si>
  <si>
    <t>Manuel de Lis</t>
  </si>
  <si>
    <t>…lla , D. Juan Sanjurjo, D. Ignacio Cuadrado,: D. Juan Aleson, D. Honorio Siréra ; D. Pedro Vizcarrondo, D. Josef Guimbarda, D. Juan Sotélo, D¿ Tiburdo Basanta, p. Rodrigo Tavira , D. Manuel de Lis , D/Felipe Herreros , el marques del Moral, D. Sebastian Iglesias, D. Salvador de Cárdenas, D..Andrés Maymo, D&lt; Clemente Gutiérrez, D, Vicente Rodríguez, D. Pedro Pilón; D: Luis Polo de Bernabé , D. Josef García Ibarguen, D. Juan Soüoso, D. Francisco Garnica…</t>
  </si>
  <si>
    <t>Lisspn, Francisco Aranda y</t>
  </si>
  <si>
    <t>Francisco Aranda y Lisspn</t>
  </si>
  <si>
    <t>…ó dé Paula Serra no, a D. Diego'González Baqueriza , Con dimisión de la'canóngía.que ob-| tiene en la colegiata «dé la Coruna, en el arzobispado de Santiago; y para esta resulta á D. Francisco Aranda y Lisspn, con dimisión deí beneficio de Barriofalda que obtiene en la villa de Cisneros: para la dignidad de Maesr Srescuela de la iglesia colegial de Baza*, diócesis de Guadix, vacante por; rer? , Bernardo RuizMeMen- Buncia de D. - Pedro Alvarez que la obtenia, i D.…</t>
  </si>
  <si>
    <t>Liverpool</t>
  </si>
  <si>
    <t>…a proclama del duque de Wellington, que suponía ser supuesta, por ser absolutamente incompatible con la declara-' cion que se había hecho del tratado de Viena; y que estimaría que lord Liverpool la declarase supuesta, y dijese se sabia quien la había fingido. El conde de Liverpool dijo que nunca había visto aquella proclama hasta que la leyó en los papeles ingleses, que la copiaron de los de París; y que le parecía poco probable que el duque de Welli…</t>
  </si>
  <si>
    <t>…rador de Alemania. Idem i.° de Diciembre* Lord Castlereag y su comitiva desembarcaron en Douvres el 26. S. E. se dirigió inmediatamente á Wálmer-Castie con el objeto de visitar á lord Liverpool. En la noche del 27 del pasado se iluminó la ciudad de Londres con motivo de la paz concluida entre la Francia y los aliados. Ha cesado enteramente la ocupación militar de esta capital por las tro pas extrangeras, y el servicio de ella se lia entregado al gob…</t>
  </si>
  <si>
    <t>Lizárza, Fernando</t>
  </si>
  <si>
    <t>Fernando Lizárza</t>
  </si>
  <si>
    <t>…gallardía con que se han conducido todos en general , pero en espe cial el coronel de Estremadura Di Mariano* Rieafbrt, el alférez de la Union D. Ramón Abois, el teniente de navio D. Fernando Lizárza, el de fragata D. Francisco Javier Güira!, el alférez de navio D. Vicente Sánchez, y los de fragata D. Rafael Díaz y D. Angel de Santa María, que falleció, el sar gento primero de la Unión Francisco Giménez f el condestable de navio DonTomas del ara, el guard…</t>
  </si>
  <si>
    <t>Lizarza, Fernando</t>
  </si>
  <si>
    <t>Fernando Lizarza</t>
  </si>
  <si>
    <t>…a de mi mando nada tengo que decir mas que lo que dijo á V. S. el oficial de órdenes D» Rafael Santibañez ; pero no puedo menos de manifestar le la serenidad del teniente de navio D. Fernando Lizarza, del de fragata graduado ©. Francisco Javier Guirál,, del alférez de navio D. Vicente Sán chez , y de los dé fragata D. Rafael Díaz y D. Angel Santa María, cuyo pa radera se ignora, del subteniente de granaderos de la Union D. Ramón Abois, del sargento primer…</t>
  </si>
  <si>
    <t>Lizon, Bartolomé</t>
  </si>
  <si>
    <t>Bartolomé Lizon</t>
  </si>
  <si>
    <t>cender á capitán de granaderos al de fusileros t). Ramón Caro» y ^ñira Ja resolta de este al ayudante mayor de dicho cuerpo D. Bartolomé Lizon: ¿ capitanes segundos á los tenientes D. Josef López y D; Luis Ginetir á ayu dante mayor del 2° batallón al capitán segundo D. Josef Osorio: á tenien te de granaderos al de la misma clase graduado de capitán D. Salvador Valdeyuli: á tenientes de fusileros á l…</t>
  </si>
  <si>
    <t>Lkauccpitz</t>
  </si>
  <si>
    <t>•8.2*5 división id*, el teniente general Lkauccpitz, y -yarías compañías de* artillería de reserva, de pontoneros y de minadores &amp;c. ,f . Adgmas de esto el primer cuerpo de egército bajo las órdenes del conde Wittgenstein, y el segundo bajo las del príncipe Eugenio de Wurtemberg, cada una de tres divisiones de…</t>
  </si>
  <si>
    <t>Llamas, Francisco Blas de</t>
  </si>
  <si>
    <t>Francisco Blas de Llamas</t>
  </si>
  <si>
    <t>…Eyras, en la diócesis de Orense. El que lo supiero se servirá avisarlo en esta corte á D. Alfonso Pérez, librero en la misma en la ca lle de las Carretas. Se desea saber si existe D. Francisco Blas de Llamas, capellán que fue de Rea les Guardias de Corps; y en el caso de que hubiese muerto, de su legítimo here dero, para comunicarle asuntos de intereses , sobre lo que podrá informar D. Ga briel de la Vega Castillo, vecino de esta corte, que vive en la calle de At…</t>
  </si>
  <si>
    <t>Llánderas, Ignacio</t>
  </si>
  <si>
    <t>Ignacio Llánderas</t>
  </si>
  <si>
    <t>…osef de Canga, agregado al de Zapadores; D. Josef Bena, 0. Manuel Hueso, D. Fránciscp-Yarto, D. Mariano Rosas,. D. Henrique Puga, y D. Carlos ViHarejo, del Regimiento de Mallorca; D. Ignacio Llánderas , D. Miguel Moretid, D. Gregorio del Pozo, D. Fabian de Lastra, 0. Ricardo Rey roso, Don Víctor Cabeza de Vaca, D. Casimiro Salcedo, y D. Miguel González, del de Voluntarios de Avila; D. Francisco Herranz ,'D. Angel Díaz, y Don Vicente Tomes, del Provincial d…</t>
  </si>
  <si>
    <t>Llano, Félix</t>
  </si>
  <si>
    <t>Félix Llano</t>
  </si>
  <si>
    <t>…rpo de Artillería, 0. Tomas Yarto, D. Santiago Otero, D. Andrés Floren, D. Juan Albelda, 0'. Manuel Michel, D. Francisco Arahgo, y D. Estéban López, del Regi miento de Mallorca; á D. Félix Llano, D. Gregorio Martin, D. Gabriel Olgado, D. Josef Mela, D. Felipe San Alberto, D. Pedro García de Várgas ,y D. Agustín Reviila, del de Voluntarios de Avila; á D. Pedro Doz, D. Ignacio Fuerte , D. Josef Gacet, D. Guillermo Dot, y D. José f Villar de Francos, de…</t>
  </si>
  <si>
    <t>Llano, Manuel</t>
  </si>
  <si>
    <t>Manuel Llano</t>
  </si>
  <si>
    <t>…ey nuestro Señor se ha servido promover á brigadieres subinspecto res de artillería en los departamentos ae Filipinas, Lima y Caracas á los coroneles de dicha arma D. Josef Ponce, D. Manuel Llano y D. Francisco del Pino. D. Manuel Ordoñez, capitán del regimiento provincial de Toledo, y D. Alejandro Merino, regidor perpetuo de dicha ciudad, alcaldes de su San ta y Real hermandad vieja, y lugar-tenientes del Sermo. Sr. Infante Don Carlos María, han puesto á disposición de S. M…</t>
  </si>
  <si>
    <t>Llanos, Ramón de Valdes</t>
  </si>
  <si>
    <t>Ramón de Valdes Llanos</t>
  </si>
  <si>
    <t>…Vicente de la Vega, racionero de la misma iglesia: para dignidad de maestrescuela de la iglesia catedral de Oviedo, vacante por fallecimiento de D. Domingo Henriquez de Puerta, á D. Ramón de Valdes Llanos, dignidad de abad y canónigo de la de Falencia: para una ca nongía de la iglesia catedral de Plaseqciá, vacante por muerte de D. Cris tóbal Hernández y Araujo, á D. Ramón de Pineda, inquisidor jubilado del santo tribunal de Córdoba, en atención á sus méritos…</t>
  </si>
  <si>
    <t>Llanos, Ramqn Valdés y</t>
  </si>
  <si>
    <t>Ramqn Valdés y Llanos</t>
  </si>
  <si>
    <t>…eta, canónigo de aquella catedral, con retención de la canongía que obtiene: para la canongía que resultará va cante en la misma catedral de Paíencia por la promoción del referido D. Ramqn Valdés y Llanos, á D. Benito Josef de Casas, beneficiado de Peñafiel, y fiscal general del obispado de Paíencia: para otra canongía de la de Sala manca, vacante por muerte de D. Josef María Pichardo", á D. Francisco María Riesco, inquisidor de corte: para otra canongía de la…</t>
  </si>
  <si>
    <t>Llanzo, Josef</t>
  </si>
  <si>
    <t>Josef Llanzo</t>
  </si>
  <si>
    <t>…, D. Manuel Lomar, D. Pablo Chamorro , :D, Josef Ckuñer. DvJosefGucrra, D. Juan Sevillano , H. Josef Fonseca, D. Sancho Estrada, ¡BJosefSoler , D. Diego Delgado* D* Rafael Vargas, D. Josef Llanzo, Don Josfef Astraudi ,.D. Juan de Sotomáy or, D. Cayetano Perez Dávila, D. Ma nuel Drapie, D. Antonio Henriqiiez , D. Francisco Trugillo, D. Joaquín Huerta , D. Francisco de Paula Moreno, D. Mariano Millar, D. Juan Eira, D. Antonio Castaño, D. Josef Ferraz ,…</t>
  </si>
  <si>
    <t>Lledo, Josef</t>
  </si>
  <si>
    <t>Josef Lledo</t>
  </si>
  <si>
    <t>1244</t>
  </si>
  <si>
    <t>1244 Salcedo; del de IndiasJ, de D. Josef Lledo ,'del de Ordeñes ; y de D. Sancho Llamas y Molina; del de Hacienda, y en-nombrar para Fiscal de el ía al mas antiguo del Consejo Real;á cuya junra concedo toda la autoridad y jurisdic^ cion privativa y necesaria para eí expresado objeto, dispensando á dichos…</t>
  </si>
  <si>
    <t>Llordella, Ramón</t>
  </si>
  <si>
    <t>Ramón Llordella</t>
  </si>
  <si>
    <t>…go.i...... D. Manuel de la Riva Moreno. En la Coruñaí...... D. Felipe Elorz. En Valladolid..... D. Luis Francisco de Luis. rEn Pamplona...... D. Miguel Echarri. En Barcelona...... D. Ramón Llordella. En Zaragoza....... D. Francisco Perpiñan, barón de la Torre. Mn AlavnyGm-y V' Fránciscd Arrieta. " * ** *••••••••• J &gt; ■ ■ » * En León............... D. Tomas Diez!^Serrano. . En Soria.............. D. Joaquín Tutor y Barzola. En Bilbao........ . D. Francisc…</t>
  </si>
  <si>
    <t>Llórente, Carlos María</t>
  </si>
  <si>
    <t>Carlos María Llórente</t>
  </si>
  <si>
    <t>…l de los cañones que enfilaban las principales éntradas de aquel punto ¿ continué, á pesar de este fuego activísimo ,-mi escape, al mismo tiempo en que á las or denes del teniente coronel D. Carlos María Llórente lo verificaba por mi de recha con algunos dragones de S. Luis y de Tampico el intrépiao teniente D. Nicolás Acosta, ayudante mayor de dicho cuerpo de S. Luis , acuchi llando y dipersando á toda aquella reunión de infames y pérfidos desertores de la tropa del…</t>
  </si>
  <si>
    <t>Llórente, Cátlos</t>
  </si>
  <si>
    <t>Cátlos Llórente</t>
  </si>
  <si>
    <t>…500 caballos de lós ¿uefpbs dé 5. Luis, mandados por su capitán Bustamanté, dragones Heles del Potosí poi* el capitán Mendoza, piquete de Tampico por el teniente cofónel* graduado D. Cátlos Llórente, patriotas de Tulancingo, Acatlan, Atotonilco y S. Pedro de las Vaquerías mandados por sus capitanes O.*Ariscado CiáSfréTpD. Rafael Ásláin, D. Rafael DirrhnyíD* Juan Diego de la Orta, y iá cóhipáñíá de marina á cargo de su comandante el teniente de fragata Do…</t>
  </si>
  <si>
    <t>Llórente, Josef</t>
  </si>
  <si>
    <t>Josef Llórente</t>
  </si>
  <si>
    <t>…gado en el de Infan tería de Málaga; D. Félix Alvarez Acevedo, Comandante agregado en el de Tuy; D. Josef Feijoo, en el de Lugo; D. Facundo Ibañez, en el de Voluntarios de León, y D. Josef Llórente, en el Provincial de Santiago: de Teniente Coronel á D. Pedro Verea y D. Josef Cólmelo, del mismo Regimiento Provincial de Santiago; D. Ramón Taboada, del Provincial de Betanzos; O. Antonio García, del de Lugo; D. Francisco García, del de Orense; D. Josef Oru…</t>
  </si>
  <si>
    <t>Llórente, Saturnino Martínez de</t>
  </si>
  <si>
    <t>Saturnino Martínez de Llórente</t>
  </si>
  <si>
    <t>…día ser, estraordinario. El catedrático ha escedido los deseos de la universidad, pre sentando el dia 22 de Junio los cinco de sus discípulos D. Cándido Sebastian, D. Juan Antona, D. Saturnino Martínez de Llórente, D. Gerónimo Martines y D. Antonio Mazo á examen público y general de aritmética , algebra, geo metría, trigonometría, geometría práctica, secciones cónicas t seríes y su apliCacioir á los logaritmos. La prontitud con que los referidos alumnos resolvie ron cu…</t>
  </si>
  <si>
    <t>Lnendia, Nicolás</t>
  </si>
  <si>
    <t>Nicolás Lnendia</t>
  </si>
  <si>
    <t>…ey se ha servido nombrar para la vara de alcalde mayor de la ciu dad di Huesca á D. Josef Antonio Generes: para la de la de Manresa á D. Antonio Charaochin: para la de Puigcerdá á D. Nicolás Lnendia: para</t>
  </si>
  <si>
    <t>Ló, Antonio Regino</t>
  </si>
  <si>
    <t>Antonio Regino Ló</t>
  </si>
  <si>
    <t>…sde dicho día, á los síndicos nombrados tD. Donato Arranz y D. Santiago Arroyo, este procurador del juzgado de villa, pa ra que los dos amistosa y cstrajudicialmente, asociados de D. Antonio Regino Ló pez, hijo político quelite del D. Mauro, procedan á Ja liquidación y clasificación de todos, los referidos créditos, y ha dehaberde la testamentaría, á fin de que instruidos los acreedores en nueva junta, que sé ha de celebrar el dia io de Setiembre próximo á…</t>
  </si>
  <si>
    <t>Ló, Francisco Javier</t>
  </si>
  <si>
    <t>Francisco Javier Ló</t>
  </si>
  <si>
    <t>…á D. Joaquín Gonzalo Ramírez de Arellano: para la de fa ciudad de Alcañiz á D. Fabian Dórente; y para la de los Santos, vacante pór renuncia de D. Josef Antonio Martin Palomino, á D. Francisco Javier Ló pez Duque* El juez de Imprentas y Librerías del reino hace saber á todos los librejos , impresores, autores y editores de obras y papeles entreguen antes de su publicación y venta en la secretaría de la comisión los siete egemplares que están prevenidos , los…</t>
  </si>
  <si>
    <t>Lo, Manuel Santos</t>
  </si>
  <si>
    <t>Manuel Santos Lo</t>
  </si>
  <si>
    <t>…Alba, se ha servido nombrar a D. Francisco Felipe íorres para servir el curato de la iglesia parroquial de la villa de Cervera, én;el estado de Óropesa * vacante por promoción de D. Manuel Santos Lo pe* al del Jugar de Collado de Contrerás, en el obispado de Avila. . . * i i___ ——*----- , 1.,¡______ _______ ________ . -------—;------------------ , • ■, « El Real y supremo cónítjo de Castilla fia mandado éri providencia de 17 deteste mes se cité, llame y…</t>
  </si>
  <si>
    <t>Lobato, Andrés Manuel</t>
  </si>
  <si>
    <t>Andrés Manuel Lobato</t>
  </si>
  <si>
    <t>…stado y naturaleza} francos de porte al&gt;cura jpérroco.y justicia ¡de .dicha villa hasta el 31 del corriente, en cuyo dia se ha de proveerSe desea saber el paradero ó residencia de D. Andrés Manuel Lobato, vecino y -del comercio que fue de Cádiz &lt;en los años de 1804 y 1805, para comunicarle no ticias que le interesan. El que lo supiere lo avisará al regente de la Real calcogra fía D. Juan Lazaro, en la imprenta Real, qme le enterará de cuanto le conviene. Se d…</t>
  </si>
  <si>
    <t>Lobato, Juan</t>
  </si>
  <si>
    <t>Juan Lobato</t>
  </si>
  <si>
    <t>…se hace. • En virtud de providencia dada por el tribunal del consulado de Cádiz en 12 de Mayo de 1815 en autos del concurso de acreedores de la casa dé aquel comercio ti tulada de D. Juan Lobato , se ha mandado citar y emplazar á todos los que se con sideren con derecho á dicho concurso y masa de bienes, para qué. en el preciso tér mino de 18.meses concurran á formalizarlo con documentos.comprobantes; preve nidos que en defecto se egecutarán los pago…</t>
  </si>
  <si>
    <t>…-----------------1 — - » ' *'m' Por providencia del consulado de la ciudad de Cádizde 12 de Mayo próximo pasado, dada en los autos del juicio universal de concurso de acreedores í D. Juan Lobato, de este comercio, se ha mandado, entre otras cosas citar y emplazar á cuan tos se consideren con derecho á dicho concurso y masa de bienes,. para que en el preciso término de 18 'meses, ocurran, á formalizarlo con los documentos compro bantes, prevenidos que…</t>
  </si>
  <si>
    <t>Lobau</t>
  </si>
  <si>
    <t>…lesa. Los coraceros y la guardiase-quejdarpn de reserva, aquellos detras, y esta sobre las alturas. El sesto cuerpo con .. la caballería del general d’Aumont, bajo las órdenes del conde Lobau, fue destinado á dirigirse por la espalda de nuestra derecha paira hacer frente a un ;cuerpo prasía no , que parece se había librado del . mariscal Grouchy, y tenia -intención de dejarse caer sobre nuestro flanco derecho, intención que habían mps¿ conocido po…</t>
  </si>
  <si>
    <t>…o núestro Juaneo derecho; y como conviniese antes de emprende#-otra' cosa esperar fe resaltado de este ataque, se dispuso que toda la reserra se preparase pata acudirá socorrer al conde Lobau, y á derrotar el cuerpo prusiano luego que lé adelantase. :r: V'';';Y Hecho que fuese esto, él proyecto del Emperador era dirigir por el pueblo de Mont-Saint-Jean un ataque, del que eíperáfca poder dar un golpe dedil* *ó ; pero por oh movimiento de impacienci…</t>
  </si>
  <si>
    <t>…bió al valor estraordinario 4$; las tropas británicas, y al¿valor y pericia de. su incomparable caudillo. ¿&gt;,¡ „;Son muchos los generales prisioneros ¿entre Jps.cuatesse cuenta el conde Lobau y el general Cambronne, que acompañó á Napoleón ,á la isla de El-, ba. Se lian tomado dos águilas , y el numero ¡4o armas, perdidas por el enemi go, ps incalculable, : . „ Las consecuencias de esta victoria son tan de bulto ,„que es inútil medeteoga en detall…</t>
  </si>
  <si>
    <t>Lobo</t>
  </si>
  <si>
    <t>…as ilegalidades que se cometieron en el curso del proceso, sino también la parcialidad de parte de los jueces, habia anulado sq sentencia; y por todos respetos declara al referido comandante Lobo, libre de los cargos que se le hicieron por ios tristes acontecimientos de los dias 26 de Abril y 4 de Mayo de 1810, en que tuvieron los encuentros contra la escua dra de Argel , en cuya ócasion se declara que se porto con valor y destreza: por lo que hace á…</t>
  </si>
  <si>
    <t>Lobo, Clemente Román y</t>
  </si>
  <si>
    <t>Clemente Román y Lobo</t>
  </si>
  <si>
    <t>…iatanilla, D. Juan Yarda, D. Francisco JavierMartinez, D. Josef M^na Blanco y í). Fulgencio Aicaraz; .: . 1 / Ascenso á oficiales quartos ¿ los quintos D. Josef de Torres Gal vez/ D. Clemente Román y Lobo, D. Antonio de Entrena y Mosquera, D. Jo sef Rodríguez, P. Clemente Losada, D. Josef María Pantoga ,‘D. Matías Ova-, lie, D. Juan Martínez Pozuelo y D. Fulgencio Albacete. Ascenso ¿ oficiales quintos i los meritorios D. Josef Velez Cabo, Doñ Antonio de Casas,…</t>
  </si>
  <si>
    <t>Lobo, Gonzalo</t>
  </si>
  <si>
    <t>Gonzalo Lobo</t>
  </si>
  <si>
    <t>…acio Tejeiro y Lastra, D. Josef Quintero, D. Josef Garcés, D. Antonio Ferri, D. Manuel Moreno, D&gt; Josef Funes, D. Ignacio Iturrigaray, D. Fran cisco Martos,: D. Francisco G^rces, ,D. Gonzalo Lobo , D. Josef Araujo, p. Josef Rovirat, D. Antonio Sierra , D, Josef María Lauquer, D. Josef Dá^ viía, ,D&lt;Antonio Alvare^, D, Joaquín Asensio, D. Benito Ibañez, D. Anto nio Casbas j D. Francisco Botella, D. Josef Rasero , D. Josef Joaquín de Corres, D. Manuel Go…</t>
  </si>
  <si>
    <t>Lobo, Manuel</t>
  </si>
  <si>
    <t>Manuel Lobo</t>
  </si>
  <si>
    <t>…guí lar, D. • Josef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Doh Andrés Fernandez Caballero y D. Diego Prieto. - ; Ascen…</t>
  </si>
  <si>
    <t>Lobo, Tomasde</t>
  </si>
  <si>
    <t>Tomasde Lobo</t>
  </si>
  <si>
    <t>…ta ni oro, para que no se confunda con la distinción señalada á los caballeros grande* cruces de la orden. = Señalado de la Real mano de S. M. = En Palacio á 2f A Abril de 1815..= D. Tomasde Lobo” _ _ _ _ _ _ _ _ _ _ _ _ _ _ _ _ _ . , _ _ _ _ '_ ' r ^ __ _ _ _ _ _ ■ _ _ _ _ _ _ _ _ ■■'Nota, Las cartas familiares dei P. Josef Francisco de Isla, que en la pá gina última de lá gaceta del mar tes último se dixo eran quniro tontos, son seis. EN LA IMPRENTA…</t>
  </si>
  <si>
    <t>Lochner</t>
  </si>
  <si>
    <t>…ión, si se esceptúan algunas escaramuzas de las avanzadas que en nadagpodian influir. Aludía si guiente hubo un pequeño reencuentro', del que salió gravemente herido» él te niente general Lochner , de los dragones del Príticipé Re‘ab El:24 tenia S. A&lt; R. ¿su ¿cuartel' general en-; Billingheim g i y el 2 f-e» Wéissemburgo.; y éste. 11114* mo dia el general de infantería. Conde de Franguemont se hallaba en Bergza* bern. El cuartel general estaba el 26 e…</t>
  </si>
  <si>
    <t>Loiinthal</t>
  </si>
  <si>
    <t>…ares, dos baterías de artillería de á pie de calibre de seis, otra de caballería de calibre de á 12, y un gran tren de ar tillería. Igualmente han pasado también por aquí el mayor general Loiinthal con su estado mayor, y el príncipe de Hohenzollern, del eítado mayor de Viena. Las divisiones que habían llegado aquí ú timamente dei Rhin tu vieron orden de regresar al mismo punto, y de VVe¿tfalia se han puesto ya</t>
  </si>
  <si>
    <t>Lomar, Manuel</t>
  </si>
  <si>
    <t>Manuel Lomar</t>
  </si>
  <si>
    <t>…Ayolo, D. Ignacio Cambil, D. Vicente. Dolz , D. Manuel Fernandez , D. Rafael Montemayor, D. Ga briel Villoría, D, Diego Latorre, D. Pedro Vidal, D. Antonio Rey, D. Pe dro Áhnabai, D. Manuel Lomar, D. Pablo Chamorro , :D, Josef Ckuñer. DvJosefGucrra, D. Juan Sevillano , H. Josef Fonseca, D. Sancho Estrada, ¡BJosefSoler , D. Diego Delgado* D* Rafael Vargas, D. Josef Llanzo, Don Josfef Astraudi ,.D. Juan de Sotomáy or, D. Cayetano Perez Dávila, D. Ma nue…</t>
  </si>
  <si>
    <t>Londoñb, Simón</t>
  </si>
  <si>
    <t>Simón Londoñb</t>
  </si>
  <si>
    <t>…o Fernandez Mi randa, D. Santiago'Echaparret, D. DiecoVenegas, D. RamonTruHol, Don -Vicente jde "Lago y D; Josef Arn*r -y I&amp;ynaydX^Jüan Diaz' Maqueda,Don -Jdsef Losada y Ribera, j D. Simón Londoñb ,30. Luis Boisgroller, D. Jacin to Marcayda, D. Rufino Torrótitegui y D." Josef García Campero, D.* Pedro Montuel, D. Joaquín Moyua, D. Manuel Salaberria, &gt;D. Eugenio Vizcaíno, D. Félix Torrontegui, D. Luis de ios Riosy1Ü&gt;.: Vicente Sáavedrá, D. Migue! Montem…</t>
  </si>
  <si>
    <t>Longa, Francisco</t>
  </si>
  <si>
    <t>Francisco Longa</t>
  </si>
  <si>
    <t>3^8 D. Antonio Asura, alférez ó teniente de una de las compañías de la división de Iberia á las órdenes de D. Francisco Longa, murió saliendo de Bilbao perseguido y acosado por mayor número de enemigos á fines del atlo de 1812, ó principios del siguiente. Era originario de Navarra; tenia dos hermanos comandantes de batallón en la división de Mina, y antes de la última guerra fue pla…</t>
  </si>
  <si>
    <t>Longa, Francisco Tomas de</t>
  </si>
  <si>
    <t>Francisco Tomas de Longa</t>
  </si>
  <si>
    <t>…y para siempre memorzf ble batalla dada y ganada en las inmediaciones dé Vitoria el dia 21 de Ju-» aro de 1813 ; ha venido S. M. én concederlas, á solicitud del Mariscal de Campo D. Francisco Tomas de Longa, Comandante general qué era de la eexta División , una de las que concurieron á dicha brillante jornada, úna (Cruz de distinción, que con arreglo al diseño presentado y aprobado ten4 drá sobre la parte superior del brazo vertical la corona Real, otra de laure…</t>
  </si>
  <si>
    <t>…miento de la ex presada villa; baxo la inteligencia que se ha de proveer en todo ei mes de Mayo. Retratos á caballo del Excmo. Sr. D. Francisco Ballesteros, D. Francisco. Ro.yiraj D. Francisco Tomas de Longa y D. Josef Manso, en medio pliego. Se.halla rán con Jos nueve publicados anteriormente en el almacén de estampas* calle-M4yor, frente 4 la casa del conde de Ofiate, 4 8 rs. iluminados y 4 4 en negro. [[.. Nota, En Ja gaceta núm. 53, pág. 459, lín. 15 , donde dice corregidor }…</t>
  </si>
  <si>
    <t>Lopategui, Francisco Antonio</t>
  </si>
  <si>
    <t>Francisco Antonio Lopategui</t>
  </si>
  <si>
    <t>…ue sé les den las gracias en su Reai nombre,y sé publique en la gaceta. El capitán y piloto de- la fragata del comercio titulada nuestra Señora de la Asunción (alias la Vigarreña) D. Francisco Antonio Lopategui, na vegando de Cádiz, á Lima;, descubrió eu la noche.del 22 de Enero.de i814 las roinptemés que se sitúan en las cartas publicadas por la dirección de hi drografía én esta capital en la latitud norte de i° 58' y longitud 16° 4* occi dental de Cádiz, diciéndos…</t>
  </si>
  <si>
    <t>Lope, MaurÓ</t>
  </si>
  <si>
    <t>MaurÓ Lope</t>
  </si>
  <si>
    <t>…&gt;. Diego de la Torre y Arce y £&gt;. Ramón- Sartcho Marcea, ú gu&amp;nec podrán dirigirse las personas que quieran tratar de ajuste. ; Jan Jqhtaj geftepilcfe acreedores álatestsmenUinade D. MaurÓ Lope?, vecino y labrador qué fue én esta corté, celebrada a la presencié del Sr. D. León de la Ca«aaraGáno v del conté\o «le-S. Manteniente corregidor de -esta-heroica villa-, por an te el escribano dél núraeto DJ jCftaudio Sañz, en *1 dél xorriente se acordó que…</t>
  </si>
  <si>
    <t>López, Antonio</t>
  </si>
  <si>
    <t>Antonio López</t>
  </si>
  <si>
    <t>…ateo G,il de Sola y D. Josef dé Imaz ¿ á Di Eugenio Domínguez, ministro He Real hacienda ‘de Menorca; á D. Manuel Oftiz, superintendente de la Real cása de moneda de esta corte; á D. Antonio López, ministro de hacienda mi litar de ésta plaza; á D. Francisco dé Iá Roca y Arredondo y D* Juan Jo sef. dé-Lesaca , contadores de la intéryencíon de la ^esorerja general ¿ y i Don Antonio Élola, intendente de la provincia de Murcia, i s n : Honores de intendent…</t>
  </si>
  <si>
    <t>…guel Mauduit, D. Francisco Rico., D. Ramón de Tuertólas *D. Antonio Gállarza^ -D. Luis Campos, D. Josef Serón., I}. Isidoro Lacrbix,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t>
  </si>
  <si>
    <t>López, Benito</t>
  </si>
  <si>
    <t>Benito López</t>
  </si>
  <si>
    <t>…de S, Payo de Áraujp : á Ó Benito Perez Ta^boada, abad jdq-jS. Vicente de; la Ulloa , en el obispado de Lugo, referido estado de cMont£rey , pa ra ,el de Santa María de Feces : á D. Benito López j^rrugorriyaliad ,4cie S. Salvador de Faramontaos, eñ el propio estqV do y obispado de Orense, para el de S. Salvador de Nocedo v á j£&gt;.j Diego, Villar y Tenreiro , abad de Santa María de^Castromao, en el mismo estaco y diócesi de Orense, para el de S. Andrés…</t>
  </si>
  <si>
    <t>López, Cenon</t>
  </si>
  <si>
    <t>Cenon López</t>
  </si>
  <si>
    <t>…itanes del Regimiento de Mallorca; á D. Ildefonso Prieta, D. Angel Castellanos, D. Manuel de Ro— xas, y D. Segundo García, Capitanes de Voluntarios de Avila ; á D. Pas cual Coca , D. Cenon López, 0. Bernabé Porián, y D. Josef Diaz, del primer Batallón de Ciudad-Rodrigo; á D. Antonio Echenique, D. Domin go García , D. Hénrique Arias, D. Vicente Xerez , y D. Juan Ferrero, Sargento mayor y Capitanes del segundo Batallón de Ciudad- Rodrigo; á 0. Patricio…</t>
  </si>
  <si>
    <t>López, Di Josef Salvador</t>
  </si>
  <si>
    <t>Di Josef Salvador López</t>
  </si>
  <si>
    <t>…s patronos 6 administra dores de obras pias, cofradías y hospitales &gt; pues bastará que entreguen sus poderes los que ya no los hubiesen presentado. •' Én virtud de providencia^del Señor Di Josef Salvador López dél Patl,v de( cdnsejo de S. M., su alcalde decasay corte", dé i r del corriente, se 'cita*, .llama y emplazá por segundo'término á D. joiVf (S’onzalez, vecino que fué dé esta corteé, y ausenté al presénte de ella , dueño de una hacienda en «1 término de Cáni…</t>
  </si>
  <si>
    <t>López, Estéban</t>
  </si>
  <si>
    <t>Estéban López</t>
  </si>
  <si>
    <t>…pitán á los Tenientes D. Pablo Baza, del Real Cuerpo de Artillería, 0. Tomas Yarto, D. Santiago Otero, D. Andrés Floren, D. Juan Albelda, 0'. Manuel Michel, D. Francisco Arahgo, y D. Estéban López, del Regi miento de Mallorca; á D. Félix Llano, D. Gregorio Martin, D. Gabriel Olgado, D. Josef Mela, D. Felipe San Alberto, D. Pedro García de Várgas ,y D. Agustín Reviila, del de Voluntarios de Avila; á D. Pedro Doz, D. Ignacio Fuerte , D. Josef Gacet, D. G…</t>
  </si>
  <si>
    <t>López, Francisco</t>
  </si>
  <si>
    <t>Francisco López</t>
  </si>
  <si>
    <t>…Cifuentes, O. Antonio Montesinos, D. Lorenzo García, D. Miguel1 Blanco* D. Francisco Sancha, D.-AntonioEstevezyD; Ildefonso Mansilla, D. Gre-f gOrio Pieoir, D. Cristóbal Bermejo ,D. Francisco López, D. Francisco Arahuetes i D. Joaquín Escorriguela, D. Francisco Biatela y D. Nicolás Viguri (*.). 1 Asimismo se lia servido S. M. conceder en el ministerio de Cuenta y Ra zón de-dicho, cuerpo los hoi^qr^ de'int^ndéínte de. provincia al comisario orde nador P,…</t>
  </si>
  <si>
    <t>López, Francisco Cortés</t>
  </si>
  <si>
    <t>Francisco Cortés López</t>
  </si>
  <si>
    <t>…vo, y luego que llegó tan im portante noticia, hizo celebrar en la santa iglesia catedral de Palencia el consejo de Guerra del quarto exército establecido en dicha ciudad, el Lie. D. Francisco Cortés López, canónigo lectoral de la misma. Se hallará á 2 rs. en la librería de Montero, calle de la Concepción Gerónima. , Sermón sobre el miiterio de la inmaculada Concepción de María Santísima, pre dicado al Rey nuéstro Señor y. Sermos. Sres. Infantes el dia 14 de Di…</t>
  </si>
  <si>
    <t>López, Gabriel</t>
  </si>
  <si>
    <t>Gabriel López</t>
  </si>
  <si>
    <t>…inio García de Burunda; Gefe del De partamento del Fomento y Balanza.D. León Gil Muñoz; Contador de Rentas Provinciales D. Tomas de Aja y Pellón; Contador de la Renta del Taba? co D. Gabriel López; Contador de la Renta de Salinas D. Francisco Escar-. íariy Contádor. Ael, ÍÑoveno y E^cu^ado D. Rafael Florín , y Contador de Salitres D. Joaquín Ciudad Sánchez; y previniendo que por él quedan supri midas la Administración general, Juzgado y Tesorería del T…</t>
  </si>
  <si>
    <t>López, Josef</t>
  </si>
  <si>
    <t>Josef López</t>
  </si>
  <si>
    <t>…venta en la librería de Ranz,calle de la Cruz, 332 rs. en rústi ca y 40 en pasta. Examen de la posibilidad de fixar la significación de los sinónimos de la lengua castellana: por D. Josef López de la Huerta; tercera edición , corregida y aumen tada : dos tomos en 8.° Todo el mundo conoce el extraordinario mérito de esta obra que se imprimió por primera vez en Viena en 1789, y luego en Madrid en 1799; pero no el de esta tercera edición, que comprehen…</t>
  </si>
  <si>
    <t>…scal de campado ios Reales egércitos ;■ y capitán süpernumefaripde la guardia de &lt; la .Real Persono de S. M., el Escmo. Sr. D. Cristóbal de Gdngora, consegero: de Estado, y el Dr. D. Josef López d¿ la Torre Ailloncanónigo de aquella santa iglesia, metropolitana, y gobernador sede vaoánte de su&gt;-arzobispado, dos xyales dea* pues éz haber tenido-lii honra de besar la mano &lt;£ 5. M:, te cumpHmentáron por su restitución al trono; manifestándole el segundo…</t>
  </si>
  <si>
    <t>López, Josef de Prada</t>
  </si>
  <si>
    <t>Josef de Prada López</t>
  </si>
  <si>
    <t>…icente Gascón y Aguirrc, oficial que fue de la contaduría de egército de aquella ciudad , ó de sus herederos, se servirá avisarlo á D. Felipe Rubio, vecino de la villa de Cáceres, D. Josef de Prada López, en Madrid, calle dé las Infantas, núm, 14, cuarto principal, los cuales tienen que comunicarles hoticias interesantes. ... ■■■ '•&gt; .• i La lengua de los cálculos, escrita por el abate Condillac: impresa conforme á los manuscritos autógrafos, traducida al cas…</t>
  </si>
  <si>
    <t>López, Josef Ramón</t>
  </si>
  <si>
    <t>Josef Ramón López</t>
  </si>
  <si>
    <t>…dral de dicha ciudad de Cádiz á Don Joaquín Izquierdo, racionero de la misma iglesia. Igualmente ha nombrado 5. M. para la dignidad de Camarero de la iglesia catedral de Tertosa á Don Josef Ramón López: é Ibarra: para el arcedianato de Borriol de la misma iglesia á D. Santiago Antonio Mendez; y para dos canongías de la propia iglesia á D. Juan Bautista Colomer y D. Carlos García Velarde. El Rey ha tenido á bien conceder á D. Pablo Infante los honores de con…</t>
  </si>
  <si>
    <t>López, JoseT Salvador</t>
  </si>
  <si>
    <t>JoseT Salvador López</t>
  </si>
  <si>
    <t>…Ja audiencia del Sr. D. León de la Cámara Cano, del consejo de S. M., teniente corregidor de esta villa» ante el escribano de su numero D. Juan Raya. En virtud de providencia del Sr. D. JoseT Salvador López dei Pan, del conse jo de S. M., su alcalde de casa y corte» dada en 23 del pasado mes de Agosto, to¡-k fvendada de 0. Luis López de Castro, escribano de provincia y comisiones de la Real casa y corte de S. M.» á instancia de D. Isidro Fernandez Castelao, sínd…</t>
  </si>
  <si>
    <t>López, Juan</t>
  </si>
  <si>
    <t>Juan López</t>
  </si>
  <si>
    <t>…as,, ba'xo la fonda del Angel; y en la de Martínez, frente á las gradas de S. Felipe. La segunda parte es tá ya traducida. Reflexiones sobre la variación del precio del trigo, por D. Juan López dé Peñalver. En este escrito se hace una sucinta relación histórica de las diferentes ta sas desde mitad del siglo xiv acá, y de las demas leyes restrictivas del comercio del trigo, demostrando quan absurdas y perjudiciales han sido: se manifiesta el mo do de…</t>
  </si>
  <si>
    <t>…Pimentel y D. Ramón Osores, del Provincial de Santiago; D. Ber nardo Becerra, del de Betanzos; D. Joaquín López Varela, D. Antonio Guerrero, D. Josef Guerrero, D. Juan de Castro, D. Juan López, Don Pedro Santistéban y D. Josef Novoa, del de Lugo; D. Luis Blanco, Don Pedro Iglesias, D. Pedro Ruiz Peña, D. Pedro Rodríguez, D. Isidro del Rio, D. Antonio Arias, D. Manuel Quiñones, D. Carlos Mota, D. Auto-</t>
  </si>
  <si>
    <t>…o de Grandallana: por D. Ramón Tamayo. Véndese en la librería de Escribano, calle de las Carretas. Puede ir en carta. Mapa mundi según la proyección de Arrowsmith, por el geógrafo D. Juan López. Se hallará con otras obras del autor en la calle de Atocha, frente á la pla zuela del Angel, núm. 1 , quarto 2.° Nota. En !a gaceta del sábado último pág. 471» lín. 42, donde dice cónsules , léase consejeros. EN LA IMPRENTA REAL</t>
  </si>
  <si>
    <t>…0 Juiuin Benita,' 0. Jñari González deL Castfllo, D. Francisco Jouy D- Juan Alaminos#, D* Pedro Gar cía ,JX Juan" Sánchez Illescas-, D. Antonio González.* 0.' ManueL de las Ríos, D. Juan López , 0. Luis Rodríguez , 0« Manuel Ravanera., D. Antonio Ar de rius, D. Juan Molina, D. Manuel Pedtet: de tenientes á los. subtenientes D. Luis Carrillo, D. Matías Blasco, 0. Francisco Villalobos *D. Josef Gar cía Malo, D. Sipnon ie Cárlos, 0, RafaelCisneros., 0…</t>
  </si>
  <si>
    <t>…y D. Manuel Serrano. . ^ ¡1 En el regimiento Real de Zapado resMinadores«?1 ¡ 1 ‘ Grados también de subtenientes á los sargentos primeros D. Juan Pedro Boullu, D. Miguel Campillo, D. Juan López, D. Manuel de Pedro, Don Pedro Perez y D. Domingo Anguiano. ] Circulares ael ministerio de Guerra, El Rey nuestro Señor, que. procura estender sus paternales desvelos á to das las rolases del estado, y desea que los oficiales que por sus heridas y ’añbs de se…</t>
  </si>
  <si>
    <t>…se' dignó conceder la gracia del restablecimiento de este cuer-: po literario.. *• ,■ J y Madrid 18 de Setiembre. ' Eldis 12; de Junio Ultimó fr'Maftuél Antonio Traite y Serrano, D. Juan López y; I). Antonio Alonso, cohaisíonadosipoi! Jos 53 pueblos que compo nen el'partido de AlcañicéS en lá provincia de-Zamora^ después de habop tenido [a honra de ser admitidos i besar la -mano a S; M., la tuvieron tam bién de felicitarle por su feliz restitución…</t>
  </si>
  <si>
    <t>López, Juan Leandro</t>
  </si>
  <si>
    <t>Juan Leandro López</t>
  </si>
  <si>
    <t>…n la catedral de Tuy, áoD- Alejo López Monteagudo, cura párroco de S. Martin de Pazo : para el de S. Salvador de Parada de Ribera , en la citada diócesis , vacante por ascen so de D. Juan Leandro López al de Sta. María de Villardabos, á D. Domingo Juan Pandin, presbítero y patrimonista de la parroquia de S. Pedro de Cornazo en el arzobispado de Santiago: para el de Sta. María de Castromao,eri la propia diócesis, vacante por ascenso de D. Diego. Villar y Ten…</t>
  </si>
  <si>
    <t>López, Lorenzo</t>
  </si>
  <si>
    <t>Lorenzo López</t>
  </si>
  <si>
    <t>…oreno, D. Celedonio Navarro, D. Josef Faura, D. Juan Bengoechea, D. Ra fael Aleson, D. Santiago Mateos, D. Gregorio Mateo , D. Felipe Crespo, JuanAntonioRui?, 1^. ídigiiel Ibañez, D. Lorenzo López, D. Francis co Cardeñes , D. Gerónimo ¿aborda , D,. Josef Rodríguez, IX Plácido Gúell, D. Joaquín González', IX Juan García-, '0; Ramón de Coba, D. Josef Mon tano,,? D. Ignacio Foja, rD. Antonio Marco , D. Ginés 'Rubio, D. Josef Ga vilanes , D Joaquín Aguijar…</t>
  </si>
  <si>
    <t>López, Luis</t>
  </si>
  <si>
    <t>Luis López</t>
  </si>
  <si>
    <t>…dores parará el perjucio que. haya lugar. , t En virtud de providencia del Sr. D. Josef* Salvador López del Pan, del consejo de S. M . , su alcalde de casa y corte « refrendada de D. Luis López dé Castró , escri bano de provincia y comisiones en este dia de la fecha, a instancia de losSres. Mar queses de Sta. Colonia se cita, llama i y. emplaza, por segundó términoáD.Bal tasar déla Iglesia, D. Joaquín Martínez, Doña María Gira! y D. Francisco Forvid…</t>
  </si>
  <si>
    <t>López, Luis Gabaldon y</t>
  </si>
  <si>
    <t>Luis Gabaldon y López</t>
  </si>
  <si>
    <t>…parroquial de la villa de la Toba, que posee Doña Juliana de Tapia, para que en el término perentorio de 15 diatf^se presente por sí ó por procurador con suficiente poder ante el Sr. D. Luis Gabaldon y López, del consejo de S. M., teniente corregidor de esta villa, por la escribanía de provincia de D. Juan Antonio Díaz Noriega, á exponer lo que le convenga en el expediente formado en virtud.de Real cédula, ganada á instancia de dicha poseedora, sobre la venta de…</t>
  </si>
  <si>
    <t>…en la conta duría general de encomiendas de las órdenes militares, que existe dentro de la ca sa de los Reales Consejos, donde se manifestarán sus condiciones. Por providencia del Sr. D. Luis Gabaldon y López , del consejo de S. M., y teniente de corregidor de esta heroyca villa, dada ante el Sr. D. Ramón García Ximenez, secretario de S. M. y escribano del número de la misma , á instancia de loa herederos de Diego Gómez de Clemente , vecino y labrador que fue del…</t>
  </si>
  <si>
    <t>López, Marcial</t>
  </si>
  <si>
    <t>Marcial López</t>
  </si>
  <si>
    <t>…su educación , agricultura* industria y artes por medio de la sociedad económica. Después de esto se procedió al repartimiento de los premios ofre*^ cidos en la forma siguiente*. D. Marcial López , abogado de los Realas conse jos, vecino de Daroca en Aragón , y D. Martin de Pineda García deLara, catedrático de física en la universidad literaria de esta ciudad, obtuvieron ambos igualmente el título de socios de merito y medalla de una onza de oro coú e…</t>
  </si>
  <si>
    <t>López, Mariano</t>
  </si>
  <si>
    <t>Mariano López</t>
  </si>
  <si>
    <t>…D. Manuel Diez, D. Miguel María Robles, D. Pedro Maratino, D. Francisco Antonio Pe rez y D. Manuel Martínez, del de Voluntarios de León; D. Raymundo Provedo, D. Cipriano Alvarez, D. Mariano López y D. Andrés Garrido, del de Voluntarios del Ribero: de Subteniente á D. Pedro Losada, D. Jo sef Novales, D. Josef Ulloa, D. Nicolás Quiñones, D. Andrés Blanco, D. Juan Valcárcel, D. Roque Suarez, D. Jacobo Gil, D. Fernando Gil, D. Pedro Beyro, D. Juan Cuicheyro, D. Pedro Lado, D…</t>
  </si>
  <si>
    <t>López, Mauro</t>
  </si>
  <si>
    <t>Mauro López</t>
  </si>
  <si>
    <t>…Claú* dio Sanz, escribano del húmero, ha &lt; señalado el domingo i r de l. corriente jí las ocho de la mañana en $u posada para celebrar Junta de acreedores á la testamenta* ría de D. Mauro López, vecino y labrador que fue en esta cor,te ; lo que se hace notorio pormedio de este aviso, á los interesados, previniéndolas queá los que no concurran les parará entero perjuicio lo que se acuerde y; determine ppr los conr curreiites. " ' '* ' '' ' •' ......…</t>
  </si>
  <si>
    <t>López, Pascual</t>
  </si>
  <si>
    <t>Pascual López</t>
  </si>
  <si>
    <t>…fct misma catedral por muer te de D. Josef Antonio Balaguer á D. Pedro Espinosa , canónigo ¡ de' la der Huesca. = La canongía vacante en la catedral de Huesea por fallecimiento de D. Pascual López á D. Ramón Alonso Ortega, cura de lá parroquial de Val depeñas de la Sierra, arzobispado de Toledo.=La canongía que ha resultado* V/S í'O IA. traslación de IX Tosef Antonio Díaz vtttdiu^cu &lt;a wuiwgiaia de lria Flavis por i _ Pallaras á canongía de Mondoñedo á…</t>
  </si>
  <si>
    <t>López, Sebastian González</t>
  </si>
  <si>
    <t>Sebastian González López</t>
  </si>
  <si>
    <t>…ército; y la tínica ración titular que ha vacado en aquella catedral á D. Benito González Hermida. := La canongía de la catedral de Jaén , vacante por muer te de D. Juan Sereno, á D. Sebastian González López, arcipreste ae la par roquia del Sagrario de la iglesia de Málaga. = La canongía que ha resultado vacante en la catedral de Lérida por promoción de D. Josef Abela y Caba llero á la dignidad de-prior de la de Coria, á D. Gerónimo Ruiz, con dimi sión de la cape…</t>
  </si>
  <si>
    <t>López, Silverio</t>
  </si>
  <si>
    <t>Silverio López</t>
  </si>
  <si>
    <t>…s Cremona, D. Josef Joaquín Ayestáiran, D. Vicente Ordoño, D. Raymundó de Unzaga, D. Manuel Arangu, d: Vicente Agreda , D. Manuel Jones, D. Joaquin Henriquez, D. Isi dro de Diego, D. Silverio López, D. Francisco de Oña, D.. Francisco Antdhio Líbref ; D. Joaquín MuezVD. Juan Ignacio*Cervera, D. Salvador Ce bollino, D. Ventura Córdoba, D.Í Patricio 5alanueva, D. Pedro de la Torre, D. Miguel Oliver, D. Pascual Menacho, D. Cárlos Teodoro,Gil, D. Claudio Vin…</t>
  </si>
  <si>
    <t>López, Simón</t>
  </si>
  <si>
    <t>Simón López</t>
  </si>
  <si>
    <t>…Sánchez de Ocaña, én atención á la renuncia fque ha hecho, y le ha .sido admitida, de la canongía que obtiene en la cate dral de Coria. = Atendiendo al notorio mérito y virtud de D. Simón López, presbítero de la congregación del oratorio de S. Eelipe Neri de la ciudad de Murcia, y en premio de sus distinguidos servicios á la iglesia y ai estado he venido en nombrarle para la iglesia y obispado de Orihuela,de que ha hecho renuncia en manos de S. S.,…</t>
  </si>
  <si>
    <t>López, Simón Perez</t>
  </si>
  <si>
    <t>Simón Perez López</t>
  </si>
  <si>
    <t>…el Camino; para la de la vi lla de Monoyar á D. Andrés Soler; para lá de Rivaroja á D. Vicente María López ; para lá de Turis á D. Cándido Francisco Cevallos; para la de Bélgida á D. Simón Perez López; para la de Chelva á D. Josef Morant y Se— arra; para la.de Concentaina á D« Gregorio Amorrich; para la de Elda á ). Francisco Pomares y Seller; para la de Chiva á D. Hilario Josef de Menf doza; para la de Bellinova á D. Benito Gabriel Aguilera; para la de Re…</t>
  </si>
  <si>
    <t>López, Tomas</t>
  </si>
  <si>
    <t>Tomas López</t>
  </si>
  <si>
    <t>…z, ÉX C^ayemnp Ojezalde,; D.-Antonio Delgado, D. Gaspar Jover, Don NJarciso,Felipe, IX Josef Vilíavieencio, D. Cristóbal del Aguila, D. Berna-? Fe Chinchilla,, D. Manye! Carrasco, D. Tomas López, D. Miguel Bueno, JX Juliani Lop£z dq Ansó ¿'Di* Antonio Martínez, D. Eleuterio Munida, Don Á^anueí Andrada , !)» Domingo Blanco, D. Lorenzo Martínez, D. Isidro QJi* vares , D. Tomas Zamora, L&gt;. Benito Reehel, D. Gaspar Nogueruela, Don Luis Medinilla , D. Ped…</t>
  </si>
  <si>
    <t>López, Vicente</t>
  </si>
  <si>
    <t>Vicente López</t>
  </si>
  <si>
    <t>…á real y medio en la librería de Gila, calle de las Carretas. , Retrato de nuestro muy amado Monarca D. Fernando vn, Rey de España y de las Indias, pintado por su pintor de cámara D. Vicente López 5 copiado por D. Antonio Guerrero, y grabado en medio pliego por D. Manuel Albuerne. Se vende en el almacén de estampas, calle Mayor, frente á la casa del conde deOñate, á 8 rs. en negro y á 16 iluminado. EN LA IMPRENTA REAL.</t>
  </si>
  <si>
    <t>…s. en las librerías de Rodríguez y Matute, calle de las Carretas, y en la de Villa, plazuela de Ste. Domingo. Retrato dd Ssrmo. Sr. D. Cáríos María, Infante de España, pintado por Don Vicente López, pintor de cámara de S. M., copiado por D. Antonio Guerrero, y grabado por D. Manuel Alrgre, de igual tamaño al del Rey nuestro Señor Don Fernando vrr ya publicado anteriormente. Ambos se venden en el almacén de estampas de la calle Mayor, fíente á la casa de…</t>
  </si>
  <si>
    <t>…s Carretas. ! En el almacén de estampas, calle-Mayor , frente á la casa del conde Oñate, se hallan de venta dos estampas nuevas de la Virgen del Carmen y S. Rafael, dibuja das por D. Vicente López, pintor de cámara de S. M., y grabadas por D. Fran- . ciscó’Jordíirtj én cuartilla de marca mayor á 4 rs. cada una: se hallan también otíás “rifiichás de igual taiílaño, y surtido de los mejores profesor-es italianos en plie go deióiáícá'mayor. Noi'a. Eó la g…</t>
  </si>
  <si>
    <t>…s y aniquilados á los enemigos, y honra al ilustre general el difunto Marques de la Ro mana.., como se lee en su enérgica explicación. E&gt; obra grandiosa, delineada por el cé lebre D. Vicente López, y grabada por el famoso D. Tomas Enguídanos, ambos profesores de cámara de S. M. bien conocidos por sus obras. Se hallará á 5 rs. en la librería de Alcázar, calle de los Preciados. EN LA IMPRENTA REAL.</t>
  </si>
  <si>
    <t>…de marca mayor, grabadas por D. Manuel Albuerne , á 3 rs. cada una.rr En el ..mismo almacenase hallarán las dos'estampas nuevas del’ Divino Pastor y Divina Fastora, dibujadas -por D. Vicente López, primer;piptoe de cámara de S. M., y gzibadas por D. Francisco Jordán en medio pliego de. marca mayor én figura oval, á 5 jrs. en negro y.ár 24 iluthinádas cada*una deslías. También bay santos dediferentes ^ciases para registros, médaliones y relicarios., S 1…</t>
  </si>
  <si>
    <t>López, Vicente María</t>
  </si>
  <si>
    <t>Vicente María López</t>
  </si>
  <si>
    <t>…de alcalde mayor de la ciudad de Mataré; para la de Cinco Villas en Aragón á D. León González del Camino; para la de la vi lla de Monoyar á D. Andrés Soler; para lá de Rivaroja á D. Vicente María López ; para lá de Turis á D. Cándido Francisco Cevallos; para la de Bélgida á D. Simón Perez López; para la de Chelva á D. Josef Morant y Se— arra; para la.de Concentaina á D« Gregorio Amorrich; para la de Elda á ). Francisco Pomares y Seller; para la de Chiva á D…</t>
  </si>
  <si>
    <t>Lorca, Folicarpo Fernandez de</t>
  </si>
  <si>
    <t>Folicarpo Fernandez de Lorca</t>
  </si>
  <si>
    <t>Sán Miguel r para la de Yepes á O. Juan Guiltermo Monreal: £ara la de Al ba de Tofmes á D. Folicarpo Fernandez de Lorca: para la de Pedraza á D. Marcelino García Ocaña: para la de Peñaranda de Duero á' D. Agustín Monge: para la de Coca á D. Diego Henriquez: para la de Nava del Rey á D. Juan Antonio Bernal: para la de Utrera á D. Miguel de Salazar y Sandobal: para la de Aguilar…</t>
  </si>
  <si>
    <t>Lorcet</t>
  </si>
  <si>
    <t>' 933 el 16 el general Lorcet enarboló también el pabellón blanco én el castillo dfi S. Malo.... . .u i ;■._ t.. ¿y i El 2.0 batallón del regimiento i,° y el 3.° batallón del regimiento 3.0 de artillería de marina que firmaron su sumisión juntamente con el egército del Loira, en donde se…</t>
  </si>
  <si>
    <t>Loren, Mariano Ruiz</t>
  </si>
  <si>
    <t>Mariano Ruiz Loren</t>
  </si>
  <si>
    <t>…os guarde á V. muchos años. Madrid 18 de Noviembre de 1815. El Rey se ha servido nombrar para el corregimiento político de la ciu dad de Zaragoza, separándolo de la intendencia, a D. Mariano Ruiz Loren zo , é igualmente ha prorogado en el corregimiento de la ciudad de Barbastro por un sexenio á D. Andrés Santolario. Asimismo se ha servido S. M. nombrar á D. Jacinto Marzo y Torres pa ra la vara de alcalde mayor de la villa de Mbmblanch: para la de la ciudad…</t>
  </si>
  <si>
    <t>Lorena, María Antonia de Borbon y</t>
  </si>
  <si>
    <t>María Antonia de Borbon y Lorena</t>
  </si>
  <si>
    <t>…rústica y 24 en pasta: y asimismo tomos sueltos desde el 5.0 en adelante. Oración fúnebre que en las solemnísimas honras celebradas por la ciudad de San Sebastian á la Serma. Sra. Doña María Antonia de Borbon y Lorena , princesa de Astúrias, en ios dias inmediatos á su fallecimiento en Mayo de 1806, dixo el M. R. P. Miro. Fr» Josef del Salvador, carmelita descalzo ,, ex-lector de teoJcgia, exami* nador sinodal de las diócesis de Toledo y Córdoba, calificador de la inquisic…</t>
  </si>
  <si>
    <t>Lorente, Francisco</t>
  </si>
  <si>
    <t>Francisco Lorente</t>
  </si>
  <si>
    <t>…a fue hecho prisionero en la toma de Va lencia, y conducido á Francia, natural de Pesquera, en la provincia de Cuenca. La persona que supiere de él se servirá avisarlo en Madrid á D. Francisco Lorente en la tesorería de correos, ó en el pueblo *de su naturaleza al tenienre cura párroco del mismo, que lo agradecerán. La Fe triunfante, ó carta á la junta llamada el gran Sanhedrin de los judíos de París, y á todo el pueblo hebreo esparcido por el mundo: por D…</t>
  </si>
  <si>
    <t>Lorenté, Higinio</t>
  </si>
  <si>
    <t>Higinio Lorenté</t>
  </si>
  <si>
    <t>…inaugural en castellano, como previene la ordenanza del estudio, el catedrático de clínica D. Hilario Torres, y en el dia 7 de la mis ma hora otra el catedrático de química-médica D. Higinio Lorenté, aun que ambos discursos serán sobre asuntos diversos, y análogos á las asigna turas que tienen cada uno de los citados maestros. Con arregio á las ordenanzas insertas en Real cédula de 23 de Noviem bre de 1795 t y en consideración á la utilidad y necesidad d…</t>
  </si>
  <si>
    <t>Lorente, Ramón</t>
  </si>
  <si>
    <t>Ramón Lorente</t>
  </si>
  <si>
    <t>…y en el regimiento de infantería de línea de Talavera , que se halla en aquel vireynato, capitán á D. Josef Valdés; Teniente de granaderos á D. Melchor Duran; idem de ca zadores á D. Ramón Lorente; idem de fusileros á D, Josef Salazar, D. Ra fael Galdia, D. Jo.ef Tucar, D. Juan Mijares, D. Tomas Agudo, Don Francisco Manuel Alvarez, D. Gregorio Baeza, D. Francisco La-Reguera y D. Vicente Aneses ; subtenientes de cazadores á D. Domingo Miranda y D. Juan…</t>
  </si>
  <si>
    <t>Lórénzaha, Josef Alvarez</t>
  </si>
  <si>
    <t>Josef Alvarez Lórénzaha</t>
  </si>
  <si>
    <t>…chos por el A. P. predicador Fr. Andrés Villageliu, del orden de S. Francisco, ha venido en nombrarle su predicador honorario. f Habiéndose dignado él Rey nuestro Señor admitir de D. Josef Alvarez Lórénzaha , cura párroco &lt;3eÍ lugar de Oencia en la provincia de León, y de D. Salvador Ferradas ,'Cprrégidór electo de la Gran Canaria, los donati vos que bah hecho, aquél de 6450 rs. vn., importe de suministros hechos al exércitó, y este de 80212 , procedentes parte…</t>
  </si>
  <si>
    <t>Lorenzo, Francisco</t>
  </si>
  <si>
    <t>Francisco Lorenzo</t>
  </si>
  <si>
    <t>…oblechero, maestro confitero, y Juan Belmar, maestro de obra prima. Del cuartel de Avapies. A Lorenzo Berciarte, maestro de obra prima; Juan de la Iglesia, maes tro guarnicionero; D. Francisco Lorenzo, Constructor de máquinas ; Rosen do Obispo, tahonero ; Juan Rodríguez , maestro guarnicionero , y Francisca Toledo, viuda de Justo González, maestro cerradero. Del cuartel de S. Francisco. A Camilo Liberal, maestro sastre; Juan Aguila Rodríguez , maestro si l…</t>
  </si>
  <si>
    <t>Lorenzo, Gerónimo</t>
  </si>
  <si>
    <t>Gerónimo Lorenzo</t>
  </si>
  <si>
    <t>…en farmacia, sin cuyos requisitos, y pasado dicho término, no serán admitidos. Dado en Madrid á i.° de Marzo de 1815. = Dr. D. Agustín Josef Mestre. =Dr. D. Matías V'elasco. = Dr. D. Gerónimo Lorenzo. = Por acuerdo de la Real junta = Manuel de Granda y Ribero, secretario*</t>
  </si>
  <si>
    <t>Lorenzo, Josef Martínez</t>
  </si>
  <si>
    <t>Josef Martínez Lorenzo</t>
  </si>
  <si>
    <t>…ernica á D. Josef Manuel dp Aizpuru: para la de Jerez de la Frontera ID. Juan de Dios Aguilar: para la de Cervera del Rio Alhama á D. Miguel Antonio Rodrigo; y para la de Bórnos á D. Josef Martínez Lorenzo. En atención á los distinguidos méritos y constante lealtad de D. Andrés Ararisay, cáptllan de honor y doctoral de la Real capilla, se ha servida S. M. concedértelos honores de auditor del tribunal de la Rota de la Nun ciatura apostólica. El reverendo obispa…</t>
  </si>
  <si>
    <t>Loriga, Antonio</t>
  </si>
  <si>
    <t>Antonio Loriga</t>
  </si>
  <si>
    <t>…i, D. Cristóbal dé Reina, D. Vicente González Moro, D. &gt; Jman Loriga, D. Fernando Gocho, D. Mateo Hernández, 0. Pedro del Barco ; Jrá los capitanes D. Luis Abneig^ D. Josef Luna, D. Antonio Loriga, D. RamónCucalón., D.RamonTavaiy D, Pedro Argaiz, D:¡ Pabío Venéwies .y jDi jFramasco Sara víaDv Antonio Es parza , D. Andrés ArtiatyD. Josef Dalpy D. Josef Navarro, 0; Baltasar Co&gt; mellas, 0. Juan Brayo, D. Josef González Merino, D. Joaquín Aguado , Bou Ramó…</t>
  </si>
  <si>
    <t>Loriga, Juan</t>
  </si>
  <si>
    <t>Juan Loriga</t>
  </si>
  <si>
    <t>…os y alojamientos de la tropa, observándolo todo con el mayor cuidado.En el de la seguñda,compañía encontró S. M. al comandante del escuadrón D. Martin Zarandia, ál sargento mayor D. Juan Loriga, al ayudante y oficiales de .se mana que sé le presentaron como correspondía. Allí probó S. M. el pan de munición, y continuó viseando los demasparages del cuartel, complaciendo-</t>
  </si>
  <si>
    <t>Losada, Fraucisco Xavier Montero y</t>
  </si>
  <si>
    <t>Fraucisco Xavier Montero y Losada</t>
  </si>
  <si>
    <t>…í consulta del Real conse jo de las órdenes para las varas de alcalde mayor de Montanehes á D.'Pe dro Jacobo Pizarro: de Moratalla á D. Josef Jorge del Molino: de Segura de León á D. Fraucisco Xavier Montero y Losada: dé Supca JLD. Pascual Alpuente: de Azoaga á D* Antonio. Mediano y Sartolo: de Tarancon á D. Ignacio Marín y Sánchez : del Corral de AJmaguer á D. Manuel Sotillos Montejo : |de Xerez de ios Caballeros i O. Josef Antonio Ramos Calderón: dé Villanueva de la Ser…</t>
  </si>
  <si>
    <t>Losada, Gregorio</t>
  </si>
  <si>
    <t>Gregorio Losada</t>
  </si>
  <si>
    <t>…anuel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Sayago, D. Jldefonso Nieto, D. Cristóbal Giménez, D. Mi…</t>
  </si>
  <si>
    <t>Losada, Josef</t>
  </si>
  <si>
    <t>Josef Losada</t>
  </si>
  <si>
    <t>…. Josef de Óvando y Adorno , al marques de la Vega de Armijo y á D. Francisco Mallo BoneüiJ iPiazas de mayordomos de semana á D. Miguel Desmaisieres, al conde der Cumbrehermosa, á D. Josef Losada, al marques de la Regalía y á D. Anto nio Francisco de Lecumberri y Azcué. (Se continuará.) - ^ ó . i</t>
  </si>
  <si>
    <t>Losada, Pedro</t>
  </si>
  <si>
    <t>Pedro Losada</t>
  </si>
  <si>
    <t>…z y D. Manuel Martínez, del de Voluntarios de León; D. Raymundo Provedo, D. Cipriano Alvarez, D. Mariano López y D. Andrés Garrido,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t>
  </si>
  <si>
    <t>Loscer-, Pedro de</t>
  </si>
  <si>
    <t>Pedro de Loscer-</t>
  </si>
  <si>
    <t>…secular de la ciudad de Barbastro el Dr. D. Juan de - Lera y Cano, cura de S, Salvador de Madrid , • y obispo electo de aquel obispada; D. Joaquiii Palacio, ministro dé la Rota* y D. Pedro de Loscer-, tales , cabatlero del estado noble , y secretario del ayontamieoto de aquella ciudad; de los&gt;quáles el primero díxó á S^ MMp siguiente t „Señor: los cabildos secular y eclesiástico de la ciudad é iglesia de Bar ba; tro pagaron ya el tributó de acción de grac…</t>
  </si>
  <si>
    <t>Lostau, Juan Verges y</t>
  </si>
  <si>
    <t>Juan Verges y Lostau</t>
  </si>
  <si>
    <t>….de Baena á D. Lorenzo Casaux: para la .de Arnedo á Don Manuel Martin Martin; y para la de Vexer á P«.Ramen de Jbarra Asensio: para el corregimiento de Alhama ha nombrado el Rey á D. Juan Verges y Lostau: para el de Vhlena á D, Antonio Fernandez Villanuéva: pa ra la vara dé alcalde mayor de la ciudad de Mctrjl á D. Josef Villanuéva: para la de Almunecar y Salobreña á D. Vicente Sanahuja: para lá de la villa de Huerca!-Obera á D, Luis Quadrado; v para la de Pa…</t>
  </si>
  <si>
    <t>Loya, Blas Manuel de</t>
  </si>
  <si>
    <t>Blas Manuel de Loya</t>
  </si>
  <si>
    <t>…io Josef de Combo, D. Joaquín García' Mellado, D. Josef Gerau de Arellano , E&gt;; Juan López Fraga , p. Manuel de Lardizabal y Montoya , Ba rón de Castieí, D. Santiago Usoz y Mozzi, D. Blas Manuel de Loya, Don osef Vicente de Barrenechea, D. Simón de León Santos, D. Josef Escarano, Í). Francisco Hurtado de Mendoza , D. Pablo Ibañez , D. Juan Josef de Barciterrechea, D. Juan Quintana, el general Roche y D; Josef Pando. a Por la Mayordomía, mayor. ; j , i Llaves…</t>
  </si>
  <si>
    <t>Loygorri, Martin Garda y</t>
  </si>
  <si>
    <t>Martin Garda y Loygorri</t>
  </si>
  <si>
    <t>…orioso de sacrificarse por quien con tanta justicia ha sido y será el blanco de los deseos de sus españoles,! Avisado el Sr. director coronel general del Real cuerpo de artillería Don Martin Garda y Loygorri de tan augusta visita al cuartel, partió lleno de gozo í tener la honra de cumplimentar á S. M.; pero la considerable distan-* cia á que se halla de la dirección le privó participar de esta satisfacción, -pues cuando llegó S. M. se había retirado y ay ¡ : . .…</t>
  </si>
  <si>
    <t>Lozano, Francisco de Paula Martínez</t>
  </si>
  <si>
    <t>Francisco de Paula Martínez Lozano</t>
  </si>
  <si>
    <t>…la de Fiñana á D. Manuel Vicente Moreno: en la de la Población de los Barrios del Cam po de Gibraltar á D. Josef Joaquín de Eraso; y en la de Yepes, para que cumpla un sexenio, á D. Francisco de Paula Martínez Lozano. Para que los pueblos y particulares de este reino que se crean acreedores contra el gobierno británico por suministros ó daños resultantes del tránsito y permanencia de las tropas inglesas en el territorio español puedan deducir sus reclamaciones y liquidar…</t>
  </si>
  <si>
    <t>Lozano, Manuel</t>
  </si>
  <si>
    <t>Manuel Lozano</t>
  </si>
  <si>
    <t>…-?Ro drigo, y D. Josef Borgara y D. Jqaa Fermín Castillejo., del Batallen de Urbanos de la misma: al de Subtenientes á los Sargentos Ó. Francisco Ca lleja, JD. Isidro Cifuentes, y D. Manuel Lozano., det Real Cuerpo"de Arti llería; y á D. Angel Martin , E&gt;. Cayetano del Cás.tiliío, D. Josef Quenedí, D. Basilio Moran, D. Agustín Santero, y D. Josef Mediero, del Regimien to de Voluntarios de Avila; y asimismo se ha dignado S. M. conceder una Cruz pendient…</t>
  </si>
  <si>
    <t>Lozano, Pedro Martínez</t>
  </si>
  <si>
    <t>Pedro Martínez Lozano</t>
  </si>
  <si>
    <t>…mpañía ;'D. Pedro Fermín Hernaez; D. Josef Félix Gómez; D* Diego Gas* támbide; D. Jícóbo Gattens, de Sevilla; D. Rafael de Góngora y Delgado; Do* Ignacio Casal ; D. Andrés Marzan; D. Pedro Martínez Lozano; D. Rafael Ignacio Fañtohfip D/"Joaquín dé la Barrera y Cuadra, y D. Fernando Márquez de la Plata, i fin de que los qué*$e’contemplen con algún derecho al citado vale comparezcan por sí ó por medio de sus respectivos apoderados á deducirle con las formalidade…</t>
  </si>
  <si>
    <t>Lozoyo, Juan Ricardo</t>
  </si>
  <si>
    <t>Juan Ricardo Lozoyo</t>
  </si>
  <si>
    <t>…e: para la de Coca á D. Diego Henriquez: para la de Nava del Rey á D. Juan Antonio Bernal: para la de Utrera á D. Miguel de Salazar y Sandobal: para la de Aguilar del Rio Alhama á D. Juan Ricardo Lozoyo: pa ra la de Castro del Rio á D. Antonio María Navarro: para la de Villarejo de Fuentes á D. Juan Roza Ridoces: para la de Lerin a D. Francisco Mi guel Lombardo: para la de Villalon á D. Saturnino Tablares: para la de Guernica á D. Josef Manuel dp Aizpuru: pa…</t>
  </si>
  <si>
    <t>Ltí, Juan</t>
  </si>
  <si>
    <t>Juan Ltí</t>
  </si>
  <si>
    <t>…Meneses , D. Antonio Riosoto , 0. Manuel Monde* toro, D. Manuel Crespa, D. Luis María Sarasti, D. Tomas Orive, 0. Ma« jnuel Cayaleri , D. Agustín del Barco, D. Francisco Andrada, D. Juan Ltí« »ás,D. Joaquín ALvarez Maldbnado, 0. Rodrigo Sánchez Airona, D. RaU* hiel Arango, D. Lean. Grl de Palacio, D. Joaquín Villaba, 0. Antonia ¡Sén quera, 0. Manuel Zacates, D. Pedro de la Llave, 0. Josef Mariano dél Puk ar, D. Josef Arias Saavedra, 0. Antonio Ho…</t>
  </si>
  <si>
    <t>Ltiis, Juan</t>
  </si>
  <si>
    <t>Juan Ltiis</t>
  </si>
  <si>
    <t>…aspar .Fernandez Bobadilla, D. Pe dro Ramos , D. Pedro del Castillo, 0. Anafes García, D. Manuel Govantes, D. Juan Esdovar, D. Cayetano Salcedo, Dw Andrés Nieto.-, B; Manuel Nifo, D. Juan Ltiis&gt; Astraudi yB* Martin dé lbs¡filenos ,D¿ Gabriel: fescolar, D; Ma teo Fernandez, &lt;Dí Adrián Jaco me, D. Manuel. Puch:, Di Juan Delgado, Don -Antonio Megias i:B. Francisco Pfieto, D. ¿Esteban Alzurrun /D. Juan Portaz, D. Antonio Molina , D. Bawolomé Pombo, D. F…</t>
  </si>
  <si>
    <t>Lubet, Juan Manuel</t>
  </si>
  <si>
    <t>Juan Manuel Lubet</t>
  </si>
  <si>
    <t>…a á D. Mateo-Miranda; y para la de fa villa de Albaida á D. Antonio Rico y Gómez. Igualmente ha nombrado S. M. para la vara de alcalde mayor de la ciu dad de Palma, en Mallorca, á D. Juan Manuel Lubet. ' Los habitates de la ciudad de Ronda, deseosos de dar nuevas pruebas del acendrado amor que profesan al Rey, y de coadyuvar al alivio de las presentes urgencias del Real erario, se han prestado voluntariamente á efec tuar por sí mismos la construcción de la…</t>
  </si>
  <si>
    <t>Lucas</t>
  </si>
  <si>
    <t>…ef Marques á una media-ración de la catedral de la misma á D. Josef Ruiz Carrer en premio de su lealtad y pa-r triotismo.=Una canongía vacante en la catedral de Segovia,que obtuvo Don Lucas. Orejas, á D. Juan Manuel de Murilio , cura de la&gt; parroquial de Zamarrainala , en la misma diócesis : el beneficio servidero del lugar de Navares dp en medio * en el mismo obispado de Segovia, vacante por fallecimiento de Don Manuel Moreda, á D. Francisco An…</t>
  </si>
  <si>
    <t>…ópez Pelegrin á plaza dél mismo tribtinal; y pa ra la fiscalía de ia sala de alcaldes á D,. Diego JoseíSalazar: para la. fiscalía db| crimen, de¿ la chancillería ¿de.! Granada A-¿ D. Lucas iGstieapara uqa plíiza de alcalde deí crimen do la chancÍHería;dc^V’aU«d&lt;di(l;á!^ Vícpnste Ramoajdel Vigo 'V^aUejo, agente fiscal del; Comejo Real i para otra de oidor dé la- audiencia dp Sevilla ár:D. Josef Santa Miría , alcalde del: crimen mas antiguo ;de e…</t>
  </si>
  <si>
    <t>Lucen, Josef</t>
  </si>
  <si>
    <t>Josef Lucen</t>
  </si>
  <si>
    <t>…detes. D. Juan Josef García Perez y D. Manuel Pascual de la Rocha, y para una subtenencia en el de infantería de la Frontera y capital dé Tarma al sargento primero dé granaderos i Don Josef Lucen. ; . ‘; r</t>
  </si>
  <si>
    <t>Luco, Ladislao</t>
  </si>
  <si>
    <t>Ladislao Luco</t>
  </si>
  <si>
    <t>…uan Paredes y D. Andrés Leqnor. Grado Je capitanes ádos tenientes D. Josef Marín, D. Josef Alcázar, Dr Josef de Castro,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t>
  </si>
  <si>
    <t>Lúeas, Manuel</t>
  </si>
  <si>
    <t>Manuel Lúeas</t>
  </si>
  <si>
    <t>…García, D Josef Noguera, D. Josef Zoyíó Calvo, D. Manuel García y D Vicen* te Salvador; y á los del Cuerpo de urbanos de la ntisaia plaza de Ciudad-* Rodrigo D. Eulogio González, D. Manuel Lúeas, D. Cristóbal Martin, D. Joaquín Serrano y D. Amonio Pinalero2.a Enterado el Rey nuestro Señor del mérito que contraxo la División expedicionaria del mandó del Mariscal de Campo D. Juan de la Cruz Mourgeon en la reconquista dé Sevilla , verificada el día tj d…</t>
  </si>
  <si>
    <t>Luis</t>
  </si>
  <si>
    <t>…er, D. Jacin to Marcayda, D. Rufino Torrótitegui y D." Josef García Campero, D.* Pedro Montuel, D. Joaquín Moyua, D. Manuel Salaberria, &gt;D. Eugenio Vizcaíno, D. Félix Torrontegui, D. Luis de ios Riosy1Ü&gt;.: Vicente Sáavedrá, D. Migue! Montemayor, D. Martin Mendoza, D. Julián Henriquez, D. Josef'dél' Rio Eligió, D; Juan jósef Giiidoy D/ BenitodelaRigádtf &amp; Miguel Lizarza, D. Tgnacio Glaetay D/Francispo de Zayasy-D. ;juanrMiyáres ¿ jD.&gt;Antonio -A…</t>
  </si>
  <si>
    <t>…nesque exal globo manifiesto á 4 * L.J f IV. encumplimiento-de mi deber. h Dios guarde ¡á V. S. muchos años. Santiago Chicnahuapa 27 de seéiemú2 bre de&lt;iS¿&gt;4&gt;ssPedro Zarzosa.se$&amp;&lt; coronel D. Luis deí-Águila;” ? .*&gt;• hui sol #. de^Junjddc J$í$T \ '^,7;' :¡vGranada La Real sociedad económica de Amigos del país de esta capital celebrócar la sala de las casas consistoriales / destinada para sus juntas , la pública gene ral de repartimiento de premios en;…</t>
  </si>
  <si>
    <t>…ividuos de nuestro consejo privado los ministros de Estado siguientes: el príncipe de Talleirand, el mariscal conde GouvionSaínt-Cir , el conde de Jaucourt, el barón Pasquier y el barón Luis. Dado en París á 5 de Octubre de 1815 , el 22 de nuestro reinado. = £««. =: Por mandado de S. M., el ministro de estado de los Negocios excrangeros, presi dente del consejo de los ministros, Rickelieu. 3. a Luis &amp;c. A todos los que las presentes vieren, salud…</t>
  </si>
  <si>
    <t>Luis, Luis Francisco de</t>
  </si>
  <si>
    <t>Luis Francisco de Luis</t>
  </si>
  <si>
    <t>…ense.... . D. Fernando Rey. zEn Lugo.............. D. Josef María Gayoso. r£n Santiago.i...... D. Manuel de la Riva Moreno. En la Coruñaí...... D. Felipe Elorz. En Valladolid..... D. Luis Francisco de Luis. rEn Pamplona...... D. Miguel Echarri. En Barcelona...... D. Ramón Llordella. En Zaragoza....... D. Francisco Perpiñan, barón de la Torre. Mn AlavnyGm-y V' Fránciscd Arrieta. " * ** *••••••••• J &gt; ■ ■ » * En León............... D. Tomas Diez!^Serrano. . En So…</t>
  </si>
  <si>
    <t>Luís, Luis Francisco de</t>
  </si>
  <si>
    <t>Luis Francisco de Luís</t>
  </si>
  <si>
    <t>…ense........ D. Fernando Rey. En Lugo............... D. Josef María Gayoso. En Santiago........ D. Manuel de la Riva Moreno. En la Coruña...... D. Felipe Elorz. En Valladolid..... D. Luis Francisco de Luís. 1 í‘„• En Pamplona...... ’D¿Miguel-Echarrí.o-.i'^:- •. r. á,, En Barcelona... D. Ramón;Llordeíla. i - iv nii Jí» Taragoza....... D. Francisco Perpiñan, barón de la Torre.; En Alava yGui--. D. Francisco Arrletá. 'i; . i • _ ’ . - • * .¡J ; : l-í . ' 1 , . » &gt;…</t>
  </si>
  <si>
    <t>Luis----</t>
  </si>
  <si>
    <t>…cipe de Rasumowsky y el conde de Capo-de-Istria. S. M. el Rey dé Francia nombró al Príncipe de Talleyrand el primero de sus plenipoten ciarios, y despue,$.al duque de Dalberg y al barón Luis---- Luego que prin cipiaron las conferencias hubo una mudanza en el ministerio francés; pero no se experimentó "ninguna suspensión en las negociaciones. Ei duque de RiclíeJieu después de su nombramiento de primer secretario de Estado continuó las conferencias; jMál cab…</t>
  </si>
  <si>
    <t>LuisPefezPeñueUf</t>
  </si>
  <si>
    <t>…ésta heroycsí villa', su fécha gdélcoiv* riente , se ha señalado el día 14-dtíl mismo á laS nueve de su mañana en &gt;á pósadidé S. S. para nueva junta de acreedores á ios bienes de D. LuisPefezPeñueUf,di£iji&gt;t0;, vecino ds esta corte. , . v. - r.u v_;;$s vende uña escribanía vde número' de esta villa, tasada en 165$ rs. vn. en moneda metálica, de que han de taxarse 88© rs. del capital-.decaía censo, y demas. cargas á qué esté afecta;'y está .hecha postura…</t>
  </si>
  <si>
    <t>Luna, Josef</t>
  </si>
  <si>
    <t>Josef Luna</t>
  </si>
  <si>
    <t>…Ramírez Piéarro i, D. Cristóbal dé Reina, D. Vicente González Moro, D. &gt; Jman Loriga, D. Fernando Gocho, D. Mateo Hernández, 0. Pedro del Barco ; Jrá los capitanes D. Luis Abneig^ D. Josef Luna, D. Antonio Loriga, D. RamónCucalón., D.RamonTavaiy D, Pedro Argaiz, D:¡ Pabío Venéwies .y jDi jFramasco Sara víaDv Antonio Es parza , D. Andrés ArtiatyD. Josef Dalpy D. Josef Navarro, 0; Baltasar Co&gt; mellas, 0. Juan Brayo, D. Josef González Merino, D. Joaquí…</t>
  </si>
  <si>
    <t>Luque, Antonio Corrales y</t>
  </si>
  <si>
    <t>Antonio Corrales y Luque</t>
  </si>
  <si>
    <t>…solución á consulta de la cántara se ha servido el Rey nombrar para el deanato primera silla de la iglesia catedral de Málaga,^vacante por muerte de D. Alvaro Salazar y Vílcnes, á D. Antonio Corrales y Luque&gt; canónigo doctoral de la misma iglesia;y para una media ración de la deCá-* diz, vacante por fallecimiento de D. Josef Domínguez, á D. Manuel Ca beza de Míe r. i ' % Teniendo el Rey en consideración las pruebas de lealtad que ha dado el capitán graduado de te…</t>
  </si>
  <si>
    <t>Luque, Fernando Ramírez de</t>
  </si>
  <si>
    <t>Fernando Ramírez de Luque</t>
  </si>
  <si>
    <t>…e existe dentro la casa de los Reales consejos, donde se manifestarán sus con diciones. Colección de Santos mártires, confesores y varones venerables del clero secu lar: su autor ,D. Fernando Ramírez de Luque, cura de Lucena: seis tomos en 8.° mayor con láminas. Se hallará en la librería de Castillo, frente á las gradas de San Felipe, á 10 rs. cada tomo en rústica. ! Sermones predicados al Rey de Francia en la quaresma de 1764 por Mr. el Bad. de Tourné, canónigo d…</t>
  </si>
  <si>
    <t>Lutzou</t>
  </si>
  <si>
    <t>…chiduque sa Beatriz. Se habla de algunos nombramientos en el cuerpo diplomático, tales co mo el barón Binder de Kriegelstein para Holanda; el conde de Appony pa ra Florencia, y el conde Lutzou para Stuttgardt. Los mismos motivos que habían determinado áS. M. á licenciar los ba tallones de la landwher, le habían hecho tomar también la resolución de li cenciar las 24 divisiones de v élites y los estados mayores que les pertene cían. El consejo de gue…</t>
  </si>
  <si>
    <t>Luzan, Andrés Isach</t>
  </si>
  <si>
    <t>Andrés Isach Luzan</t>
  </si>
  <si>
    <t>…, y este con éste motivo ha tenido la honra''débesar jaRpal minó de S. M. por sí y en nombre de su, comunidad por rsu glorioso restablecimiento al trono de sus mayores. ^ _V; ' . D. Andrés Isach Luzan, vecino de la villa de Fraga, en Aragón, ha pre* sentado, como una muestra de su amor al Rey nuestro Señor y en favor de las tropas, al capitán general de aquel reynó nn donativo dé 3® rs. vn. en metálicó , “manifestando los &lt;jué anteriormente y durante la ul…</t>
  </si>
  <si>
    <t>Luzuriaga, Ignacio María Ruiz de</t>
  </si>
  <si>
    <t>Ignacio María Ruiz de Luzuriaga</t>
  </si>
  <si>
    <t>…publicación. Tratado sobre el cólico de Madrid, inserto en las memorias de la Real acade mia médica, y publicado separadamente de orden de la misma en beneficio común, por el Dr. D. Ignacio María Ruiz de Luzuriaga, socio de varias academias &amp;c; Siendo el cólico una de las enfermedades m.s frecuentes, no pueden ser prolixos quantos remedios se den para curarlo y para precaverlo. En esta obra se trata de los síntomas del cólico, de sus causas ocasionales, de su causa pró…</t>
  </si>
  <si>
    <t>Luzy</t>
  </si>
  <si>
    <t>…Borde-Soult fue arrestado á su llegada aquí por equivocación; pero reconocido luego como oficial ílelá su Rey le soltaron» y desde la prisión se fue á comer con S. M. El tenien te coronel Luzy» arrestado igualmente por equiVocación, ha sido puesto también en libertad. Se han preso aqui varios franceses sospechosos» y han sido conducidos á Brusélas, que ofrece mayor seguridad. GRAN BRETAÑA. Londres 10 de Abril. .,*/ _ ; Esta noche ha llegado un corr…</t>
  </si>
  <si>
    <t>M, Antonio</t>
  </si>
  <si>
    <t>Antonio M</t>
  </si>
  <si>
    <t>…este año á las ocho de su mañana en su po sada ; y que se les haga saber comparezcan el dia señalado por sí ó por medio de tus apoderados. Se desea saber e! paradero ó destino de D. Antonio M ría Santos, que salió ha ce cinco años de esta capital en clase de soldado en el regimiento voluntarios de Madrid, y se sabe fue hecho prisionero en Valencia. La persona que supiere de él te servirá avisarlo en e*ta corte á Doña María Cabas, cade de la Encomi…</t>
  </si>
  <si>
    <t>M, Jf</t>
  </si>
  <si>
    <t>Jf M</t>
  </si>
  <si>
    <t>…a dé ¡Castillo , frerite á las gradas de S. Felipe el Real, y éri'Válericia ¿ií casa de Cabrerizo...................... El esperimentado cazador y perfetfó tirador : compuesto pdr D. Jf M. 'G. N.: obra útilísima á todo aficionado al arte'de cazar jior ‘lds varios secretosqüé en ¿lía se manifiestan ¡ método qué se debe observar; ]pa'rá trrárborr leñólo yál vUeTó á lodo . de caía ¿ conocéisa¿{ U'Ójeridos1 a¡&gt; dni^n#r&gt;iiiairiÓrités según |as;estab…</t>
  </si>
  <si>
    <t>M, Joséf</t>
  </si>
  <si>
    <t>Joséf M</t>
  </si>
  <si>
    <t>…u '■ *■- ? j i El día to de Octubre próximo pasado tfavieron el honor de presentarse i S. M. y AA. y besar su Kéál minó 4 nombre dé! ayuntamiento y villa del Bonillo sus diputados D. Joséf M kría: Goh'zál ez y D. PédrO Antonio Muñoz^ irégidór perpetuo y escribano de so ay untamiento; el primero1 dé los qualés dirigid á M. el discurso siguiente: • ’K&gt; ■ v • ■-¿'í-iri "&gt;&gt;*■ „ Señor: la villa del Bonillo, en la provincia de la Mánche, no satisfecha…</t>
  </si>
  <si>
    <t>M, Josef</t>
  </si>
  <si>
    <t>Josef M</t>
  </si>
  <si>
    <t>…Juan de Hazas,rD. Bernar-* dino Fernandez ,D. Joaquín Manuel de Teva, D./ Francisco Cándido de Ote-* jpo , D. Juan Higinio Qyiatanilla, D. Juan Yarda, D. Francisco JavierMartinez, D. Josef M^na Blanco y í). Fulgencio Aicaraz; .: . 1 / Ascenso á oficiales quartos ¿ los quintos D. Josef de Torres Gal vez/ D. Clemente Román y Lobo, D. Antonio de Entrena y Mosquera, D. Jo sef Rodríguez, P. Clemente Losada, D. Josef María Pantoga ,‘D. Matías Ova-, lie…</t>
  </si>
  <si>
    <t>M, Mantel</t>
  </si>
  <si>
    <t>Mantel M</t>
  </si>
  <si>
    <t>t catedral- pófrn*üerte de D. Mantel M*ttm á D. Jacinta Tadéo Montes. . la canongía ."vacante en la/catedral dé León por fallecimiento de 01 Ignació Pascual á D. Francisco de Mendizabal» y la canongía que ha Vacado en la misma catedral por muerte de D. Francisco Javier Sainz. £scaManuel Agüayo y Q…</t>
  </si>
  <si>
    <t>Ma</t>
  </si>
  <si>
    <t>…Beingoolea : para la compañía de granaderos dél propio regimiento al capitán D. Fabian López Pecero: para el empleo de ayudante en las compañías sueltas de caballería de Santa al teniente D. Ma riano Mateus: para tenencias en las mismas compañías á los alféreces Don Joaquín Gasteaburu y D. Pablo García Rivas; para una subtenencia de lás mismas al soldado distinguido D. Angel González del Riego: para dos ayu^&gt; dantías en el regimiento de caballería d…</t>
  </si>
  <si>
    <t>…glesia metropolitana de Sevilla por fallecimiento del cardenal de la santa iglesia Romana £&gt;. Felipe Casoni: para la canongía vacante en la iglesia primada de Toledo por muerte de D. Ma nuel Ipola á D. Vicente de la Vega, racionero de la misma iglesia: para dignidad de maestrescuela de la iglesia catedral de Oviedo, vacante por fallecimiento de D. Domingo Henriquez de Puerta, á D. Ramón de Valdes Llanos, dignidad de abad y canónigo de la de…</t>
  </si>
  <si>
    <t>…rcía, del de Lugo; D. Francisco García, del de Orense; D. Josef Orus, D. Basilio Rubio, D Antonio Cermeño , D. Alon so Puebla y D. Antonio Alonso Isla, del de Voluntarios de León; D. Ma riano Alonso y D. Francisco Osorio, del Depósito general de Infantería; P. Alexandro Benisia, de la escuela militar de Santiago; D. Francisco Julia, de Cazadores Extrangeros, y D. Pablo Puente, del Real Cuerpo de Artillería: grado de Capitán á D. Antonio Sala…</t>
  </si>
  <si>
    <t>…guridad pública el Lie. D. Domin go Suarez,agente fiscal de la Real sala de alcaldes de casa y corte, con una instancia en solicitud de vindicar su honor y delicadeza ofendida por D. Ma nuel Figueroa y Vázquez, sentenciado al Peñón de Velcz de la Gomera por ocho años, en ei hecho de haber manifestado falsamente hallarse agre gado á su estudio: se ha resuelto por dicho ministerio que se publique ení la gaceta para conocimiento de) público y d…</t>
  </si>
  <si>
    <t>…ia, por asesor del general ministro de lá Seguridad pública, se ha servido concederle plaza efectiva de alcalde-dé casa y corte; y otra plaza efectiva de alcalde de casa y corte á D. Ma nuel A rbizu, alcalde del crimen del consejo de Navarra: para esta plaza se ha servido S. M. nombrar á D. Manuel Lexaide, alcalde mayor del crimen de la audiencia de Galicia con su antigüedad; y para esta resulta ha nom brado á D. Josef Salelles y Palos: para…</t>
  </si>
  <si>
    <t>…la misma iglesia , vacante por muerte de D. Juan Manegat, á D. Domingo Cassiot, director del hospicio de la espresada ciudad de Gerona: otra canongía que vacó por fallecimiento de D. Ma riano Bátaller á D. Josef Bertrán, cura de Llorat , pueblo de aquella diócesis i y la que vacó también en ia referida iglesia por muerte de D. Josef Brandia á Don Jospf Arnauto, eura párroco de Bañólas, en dicho obispado. = La canongía vacante en la iglesia m…</t>
  </si>
  <si>
    <t>…allecimiento de í). Josef Izquier do, á IX Juan Btesa , capellán de altar en la Real iglesia de S» Isidro de Ma drid. = El beneficio vacante en la catedral de Murcia por muerte de D. Ma&lt;nuel Lopez Navarro- á EX Antonio Sánchez Lázaro.. (Se continuara.) Circular del ministerio- da Guerra- . •: El Rey nuestro Señor, cuyo piadoso corazón no mira ¡amas indiferente la suerte desgraciada de sus amados vasallos, y que donde quiera que la ha lla acu…</t>
  </si>
  <si>
    <t>…o , H. Josef Fonseca, D. Sancho Estrada, ¡BJosefSoler , D. Diego Delgado* D* Rafael Vargas, D. Josef Llanzo, Don Josfef Astraudi ,.D. Juan de Sotomáy or, D. Cayetano Perez Dávila, D. Ma nuel Drapie, D. Antonio Henriqiiez , D. Francisco Trugillo, D. Joaquín Huerta , D. Francisco de Paula Moreno, D. Mariano Millar, D. Juan Eira, D. Antonio Castaño, D. Josef Ferraz , D. Francisco Arroyo, D. Raimundo * Carbonell , D.'Rafael Amandi,D. Matías Cire…</t>
  </si>
  <si>
    <t>…que ofrecieran las circunstancias, y á que pu diesen alcanzar las fuerzas con que me hallo El 31 de Marzo ultimo ata caron la fuerte batería del Sucin los serranos al mando de su capitán D. Ma nuel Josef Moron , y tomada felizmente por sorpresa , se hicieron dueños de? siete cañones del calibre de á 12 y 16, una pieza de á 3 ,un grandísimo»bon go- armado que defendía el puerto, todo con sus trenes correspondientes, y nueve prisioneros; demoliendo h…</t>
  </si>
  <si>
    <t>…-• ' • v?; ^v, ws-vr. ■1 Madrid 6 de Setiembre. El día 6 de Agosto tuvieron la honra de besar la mano á S. M. el mor ques deOvieco, mayordomo de S. M., y coronel de caballería , y D. Ma nuel Ya rt'ó, comisario de Guerray felicitando á S. M-. por su feliz regreso á Espñña y tftínó- dé sus gloriosos progenitores , á- nombre de- la villa de Segu^ ra de León; habiendo oido S. M. con el' agrado’ propio dé su benignidad ia eiposióiónvé[iié lé hici…</t>
  </si>
  <si>
    <t>…V..rgas 2® rs. vn. en efectivo. Don Eusebio Tomé de Ja Infanta ,abad y cura párroco deSta. María de Cerdedelo, 8550 rs. que ha suministrado á los egércítos en la anterior guerra. D. Ma nuel Tobar 5600 rs. en una acción é intereses del empréstito de 160 millones. Una persona, cuyo nombre no se publica, el 10 por 100 de una casa que posee en^Cádiz. D. Severiano Antonio Rodríguez 1500 rs. que en 1S11 en tregó para el egército. Ei marques de la…</t>
  </si>
  <si>
    <t>…utista 'erez Bsrnabeu.f . , Por providencia del Sr. D. Josef Manuel de Arjona, del consejo de S. M*,.su alcalde de casa y corte, refrendada del escribano de provincia y comisiones D. Ma* puel López de' Rtvás, y i instancia del curador ad bona de la menor Doña Francia* ca, Sales de Aranguren, hija del coronel D. Francisco de Arangúren, ya difunto, ?°r quien se halla:reclamado como de su pertenencia un vale Real de goo pesos, creación de Mayo,…</t>
  </si>
  <si>
    <t>…imprenta Real á 12 rs. r T Conversaciones de un.padre con sus hijos sobre la historia natural: obra elemen tal coordinada y publicada en francés por J. F. Dubroc, y traducida por D. Ma nuel María de Ascargota y Ramírez: cuatro tomos en 8.® mayor con 12 estampas, que representan 179 figuras, y un mapa mundi. Contiene esta preciosa obrita cuan to, hay digno de saberse en toda la historia natural, y el público español la ha reci bido con tanto…</t>
  </si>
  <si>
    <t>…yó en poder de unos soldados de Gorrín. „Se;elogian en el parte oficial de D. Nicolás María Geruti á la compañía de negros de Esquibo, al capitán D. Juan Malveche, á los tenientes D. Ma nuel Maya y D. Antonio Suarez, y al subteniente D. Antonio Rosada, del regimiento de Barbastro, al sargento mayor de milicias D. Josef Olasarra, al comandante accidental de artillería D. Antonio Riozo, al teniente del mismo cuerpo D. Agustín Rodríguez , á un…</t>
  </si>
  <si>
    <t>Ma, Eugenio Miiguet Fernandez</t>
  </si>
  <si>
    <t>Eugenio Miiguet Fernandez Ma</t>
  </si>
  <si>
    <t>…nio Mqrcjón :r deSocuéllamós.í&lt; R :CristdbalrBQZfy Lo£Cz íí.de Viltmii deiAlcántara ¿D.Aedres R^rLguez delRio: dé Bienvenida i Do» Antonio Fernandez Briz; y del Campo deCriptana á D. Eugenio Miiguet Fernandez Ma(Hpnadd¿tfc&gt;pór lreh|ftiliaR&gt;jde ep^ijosefMatiaiiEgoizaval y D. Josef Portes y Poig» se ha, servido asimismo S. M. nombrar para la de Ucles á D.: JoséFAfiícmíío Loientc piar. para? la (üc Ce^ávin ^ D¿ ¿Josef Añto. '«.■ • ' j-y ■ T.-1 - ■ -i-.', v . . .■ n ■ .…</t>
  </si>
  <si>
    <t>Ma, Jósef</t>
  </si>
  <si>
    <t>Jósef Ma</t>
  </si>
  <si>
    <t>…nombrar para las judicaturas vacantes en el condado de Monterey, al Lie. D. Francisco Garza y Quiroga para la de la villa de Ginzo de Limia ; para la del partido del Ríos al Lie. D. Jósef Ma ría Lebrou; para la del partido de la Uiloa al Lie. D. Pedro Arias; para la del partiidó de Raeriz dé Veiga á D. Diego Suarez de Ribera ; para la del Í&gt;artido dé Abeancós á D. Josef Garea y Mato; para la del partido de Orce- Ion á D. Juan Romero ; para la del…</t>
  </si>
  <si>
    <t>Ma, Juan</t>
  </si>
  <si>
    <t>Juan Ma</t>
  </si>
  <si>
    <t>…la-junta celebrada se acor dó entre otras cosas lo siguiente: Los acreedores nombraron por comisionados en el concepto de síndicos de dicha testamentaría y sus incidencias a! Li;, D. Juan Ma nuel Aparicio, y al Dr. D. Pedro Pcrcz Juana, con amplías facultades para que, en unión, de'los apoderados de los herederos, traten de.liquidar y clasificar los cré ditos en pro y en contra. Asimismo seyeñaló para la celebración de otra junta el día 9 de Juli…</t>
  </si>
  <si>
    <t>Ma, Manuél</t>
  </si>
  <si>
    <t>Manuél Ma</t>
  </si>
  <si>
    <t>…o de Osma » á D. Josef Domínguez Hernández: para otro beneficio limpie servidero de santa Bárbara de Ecija &gt; en el artó¿&gt; bispado de Sevilla»vacante por haber contraído matrimonio D. Manuél Ma ría SaavedraV que lo obtenía» I D, Mateo López Matijirrés: para otro be neficio de la ipisma parroquia de santa Bárbara de Ecija» en dicho arzobis pado de Seéipa» vacióte por muerte dé D;JúanFélix Gamarasa» á D. Fran</t>
  </si>
  <si>
    <t>Ma, Tomas María</t>
  </si>
  <si>
    <t>Tomas María Ma</t>
  </si>
  <si>
    <t>…/de laiiglesia catedral de Orense, á D. Juan Bautista- Torres: para unajracioiii.de la- igiesia colegial de la ciudad de Al fa ro, diócesis,dé Tarazona, vacante 1 por promoción de D. Tomas María Ma yor á una canongía de la misma'colegial, á D. Manuel María Gervasio Se gura, clérigo de prima y cantor de la misma iglesia. Él Rey nuestro Señor se ha servido nombrar para el empleo de coro-</t>
  </si>
  <si>
    <t>Ma-</t>
  </si>
  <si>
    <t>…Manuel Cortas,, D. Francisco'Velasco , D. Alejo González, D. josef Lázaro Vallejo, D. Ramón Carreño, D. Matias Case ro, D. Manuel Bénjumeda * D. Gerónimo Muñoz, D. Sisto Fajardo, D. Ma-„ miel Fernandez Rey na, D. F raneisco Bonet, D. Josef María de Novoa, Don Miguel Mir, D. Antonio Cidron , D. Santos Cremona, D. Josef Joaquín Ayestáiran, D. Vicente Ordoño, D. Raymundó de Unzaga, D. Manuel Arangu, d: Vicente Agreda , D. Manuel Jones, D. Joaqu…</t>
  </si>
  <si>
    <t>Ma-, Francisco</t>
  </si>
  <si>
    <t>Francisco Ma-</t>
  </si>
  <si>
    <t>…guida se presentaron al exámen de matemáticas ciiico jóvenCs Juan Antonio Maestre, D. Manuel María González, *D. Joaquin? Pérez Seoane y D. Ricardo Perez Nogueyra de primer año, y D. Francisco Ma-? ría Urierte de segundo, quienes fueron interrogados respectivamente á dis creción de los&gt;frcunstantes, los quatro primeros en los ramos de aritmética, álgebra, geometría y trigonometría plana, y el quinto en los de seccróneP cónicas, cálculo integral y difer…</t>
  </si>
  <si>
    <t>Maaue, Juan</t>
  </si>
  <si>
    <t>Juan Maaue</t>
  </si>
  <si>
    <t>…el Gallkd dé cima'éii' ló^ ’büques-qué esté "éfedto se hallaban ya^eúmdós bpr disposibion dél viféy déFPerú^ * ?r Por lós'oficios- dfel:-coronel D. Jüán Domingo dé'lturralde y dél brigadier D. Juan Maaue! Pereira* Consta la favorable acogida Ique esta^ tropas háii-te nido en todos los puntos.delIstm,o por donde han transitado, la actividad y zelo con que el gobernador interino dé Portobelo.coronel D. Antonio Mendizabaí OTnzarti ; el apuntamiento de Panamá y l…</t>
  </si>
  <si>
    <t>Macartney</t>
  </si>
  <si>
    <t>…e como las de Europa ; lo que se atribuye á la dirección que les han dado los desertores del territorio de la compañía. Con este* motivo se dice que el mal éxito de la embajada de lord Macartney á la Chma.se atfibuyó entonces, á lo menos en parte, al auxilio que suponian falsamente los chinos haber dado los ingleses al Napaul ¿ por1 haberse hallado europeos én esté paiscuañdó hacia la1 gúervo á lps chinos. ^ vl. . -r.-ji</t>
  </si>
  <si>
    <t>Macazagá, Antonino</t>
  </si>
  <si>
    <t>Antonino Macazagá</t>
  </si>
  <si>
    <t>…cencia dél Rey abierta ya esta escuela, y en ella 3é ‘peñsidñi&amp;as' qoátró1 jóvenes con 2 50 ducados cada uno baxo la enseñanza y disciplina de Macazaga^, á saber: D. Mariano Díaz, D. Antonino Macazagá,, atías Ijidalgo. y ^- Lorenzo Berrio, los cuajes, instruidos de an temano en los principios del. dibuxo, no solo aprenderán allí la construc ción: de pinzones, ()per^]tambieA quanto les, pueda ser útil en los ramos del g^ajbad^t de mmera que con;'eí tiempo p…</t>
  </si>
  <si>
    <t>Macazaga, Josef Ignacio</t>
  </si>
  <si>
    <t>Josef Ignacio Macazaga</t>
  </si>
  <si>
    <t>…1 construir punzones en acero, tan necesario para abrir matri ces donde fundir letras con «qué proveer á las imprentas del rey no,había ve nido íá ser tan raro entre nosotros, que D. Josef Ignacio Macazaga , bien conocido por las medallas que ha abierto en estos dias para memoria de al-, gaño? sucesos notables de la cruel guerra que el tirano de Europa traxo á España, era ya el único profesor de un arte tan importante. En tal situar cionS. M V protector decidid…</t>
  </si>
  <si>
    <t>Macdonal</t>
  </si>
  <si>
    <t>…encia la vuelta de la diputación que debe llevar las ord^nl^^le S. M: en orden á la conducta que debe guardar con los aliados el comandante de aquella plaza. ' r Se asegura que el mariscal Macdonal, duque de Tarento, va á tomar el mando del egército del Loira. ' Escriben de Cecise, entre Autun y Nevers, que ha pasado por allí un cuerpo austríaco. ' Dos vecinos de París que no han querido que se publiquen sus nombres han entregado en la tesorería para lo…</t>
  </si>
  <si>
    <t>Mácdonal</t>
  </si>
  <si>
    <t>…lo ocupado olvidará pronto su exalt&amp;ciamesckada por al gua nos facciosos. •• ; ?, mb \, s»;k, /. . -- ; 1 : Parh jo de julio,, vi i. : ' Se designa por ministró le la casa Real al mariscal Mácdonal por no ha* ber querido admitir este empleo el duque de-Richelieñi. v A - &gt; Se asegura que se publicará pronto una declaración de las potencias aliasdas; pero que esto no se verificará hasta después dé liaberla- comunicado.ai Príncipe Regente de Inglaterra. Se…</t>
  </si>
  <si>
    <t>Macdónáld</t>
  </si>
  <si>
    <t>…Ion de cazadores de infan tería constará igualmente de ocho compañías todas de cazadores; Uñ temento:&lt;Só¥óiie!-:»rá?cl:coma4ida'me 'dé estas tropas&gt; en cada departamento. ? ' ;Et; mariscal Macdónáld. llegó el, 3 tíde Jülióuá;Rouges oaráa tomar el' mandó debegércitode] Lorra¿ r : La . fortaleza de Márienburgo se ha Tendido-á lasitropasí 'prusiauasícon las^ mismas condiciones que la ;ptázadc Xandreciesf. í , Los - últimos acontecim temos han tenido un infl…</t>
  </si>
  <si>
    <t>Macdonald</t>
  </si>
  <si>
    <t>…sición del prefecto Real del departamento del Rhin; pero sin armas ni caballos. Los oficiales, sargentos, y soldados de las tropas de línea serán, enviados sal cuartel general del mariscal Macdonald , don de. re cibirán órdenes acerca de su ulterior destino. Los militares retirados serán también enviados á fcus casas con pasaportes y medios dé conducción. 3.0 Los oficiales conservarán sus espadas ,bagages, criados y caballos que les pertenezcan en propie…</t>
  </si>
  <si>
    <t>4 12 TO de Marina; el barón de Vitrolles; eí conde Bartheíemy, par de Francia; el mariscal Macdonald, duque de Tarento , par de Francia ; Mr. de la Luxerne, antiguo obispo de Langres, par de Francia-; el conde Garnier,~ par de Francia; el duque de Levy, par de Francia ; el conde Barbé-Marbois, par de Francia; el conde Fontanes, par de Francia; el conde de Ch…</t>
  </si>
  <si>
    <t>…zcan los delincuentes antelas tribunales. Se mandará asimismo desarmar á los vecinós de Ni mes que no esten comprendidos en la guardia nacional r Se cree que el duque de Tarento ( mariscal Macdonald) llegará á París á ínes de:este mes, después de haber licenciado los egércitos franceses, cuyo encargo estaba cometido á su cuidado. Lord Castlereagh marchó ayer a Londres, y asi es probable que Mr. Plan ta saliese el 21 con el tratado firmado por todos los m…</t>
  </si>
  <si>
    <t>Macdonel</t>
  </si>
  <si>
    <t>…Tenia yo ocupado aquel pues to con un cuerpo de la brigada de guardias del general Byng, que estaba en posición á retaguardia, y que por algún tiempo estuvo al mando del teniente coronel Macdonel, y después al del coronel Home ; y tengo la satisfacción de añadir que fue mantenido todo el dia con el mayor valor por aquellas bridantes tropas, á pesar de los repetidos esfuerzos de grandes cuerpos dei enemigo , que intentaron .apoderarse de ella. „ Al mis…</t>
  </si>
  <si>
    <t>Machuca, Antonio Vargas</t>
  </si>
  <si>
    <t>Antonio Vargas Machuca</t>
  </si>
  <si>
    <t>…ef Gil y Gil. Enterado el Rey del distinguido servicio que con notable riesgo de sus vidas practicaron en 1809 el teniente de fragata D Benito de la Rifada, los alféreces de navio D. Antonio Vargas Machuca y D. Juan de Villar, fugándose de'de la Coruña á Vigo con el místico Corzo y los cañoneros Lagarto y Uron de sus respectivos mandos, en vez de pasar á Bayona á donde los destinaba con pliegos el mariscal Ney ; y enterado igualmente S. M, de que el pensamiento y su execucion sin…</t>
  </si>
  <si>
    <t>Machuca, Francisco Gregorio de Vargas</t>
  </si>
  <si>
    <t>Francisco Gregorio de Vargas Machuca</t>
  </si>
  <si>
    <t>…ando Hermoso, El Rey se ha dignado nombrar para el corregimiento político de la ciudad y plaza de Almería á D. Ramón Conti, gobernador militar de ella: para el de Alcalá la Real á D. Francisco Gregorio de Vargas Machuca: para el de Xerez de la Frontera á D. Fernando de Reynoso: para el de Antequera á D. Juan de Dios Cevallos; y para el de Ronda á D. J^ef Gregorio Aragón. Para el corregimiento de letras de Mancha Real á Don Femando Segovia: para el de las Alpujarras del reyno…</t>
  </si>
  <si>
    <t>Macmahon, Diego</t>
  </si>
  <si>
    <t>Diego Macmahon</t>
  </si>
  <si>
    <t>…o y Castañares, D. Josef de Irunciaga, D. Francisco de Lemonauría, D. Benito Felipe de Gainmde, D. Josef Domingo de Aguirre, D, Mariano Perez 4e;Nemn,, D. Pascual Jo^efde Ardanáz, D. Diego Macmahon, Goossens e mjo, D. ManuelMa* Íía de Aldecóa , D. Antonio Juap de Viidosola, D. Cirilo Perez de Necio* D. Francisco de Lemonauría hijo y D. Juan Laurencio. A fin de que este establecimiento inspire al público toda la confianza posible» no conten tándose los a…</t>
  </si>
  <si>
    <t>Madrid, Corregidor de</t>
  </si>
  <si>
    <t>Corregidor de Madrid</t>
  </si>
  <si>
    <t>…nes se asignan pensiones. Lo comunico á V. E. de Real orden para su inte ligencia y cumplimiento. Dios guarde á V. E. muchos años. Palacio 27 de Octubre de i8i5. = Tomas Moyano: = Sr. Corregidor de Madrid. - Circular del Consejo Real. . Noticioso S. M. de que á pesar de lo dispuesto en las leyes del Reinó y en otras soberanas resoluciones insertas en el título 24 , libro 12 .de la Noví sima Recopilación, y publicadas para contener las rifas de alhajas, géneros…</t>
  </si>
  <si>
    <t>Madrid, Manuel González la</t>
  </si>
  <si>
    <t>Manuel González la Madrid</t>
  </si>
  <si>
    <t>…aría Lauquer, D. Josef Dá^ viía, ,D&lt;Antonio Alvare^, D, Joaquín Asensio, D. Benito Ibañez, D. Anto nio Casbas j D. Francisco Botella,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t>
  </si>
  <si>
    <t>MaE</t>
  </si>
  <si>
    <t>…ra el dé Guipúzcoa á D. Ramón Macla de Lieoart: para el de Paradas á D. Francisco Antonio Rodríguez: para el de Alacete á D. Jo .quin de la Escalera Benedicto: para el ae Toledo á D. MaE nuel Ortiz de^Pinedo:para él de Jaén á D. Rafael Amat y Sala: para el de Iniesta y VUlanuevade la Xará á D. Francisco del Castillo Valero: para el de Huete á I). Rafael Abreu:para el de Palencia á D josef Ramírez Cid: ' para la vara de.Qropesa á D. Josef Vile…</t>
  </si>
  <si>
    <t>MaeHa, Antortio</t>
  </si>
  <si>
    <t>Antortio MaeHa</t>
  </si>
  <si>
    <t>…'CÍüdád deiValladolid^paraunacanongía qneresuita ▼acanteen da iglesia i metí ópoli tan a' de ■ Zárago ¿a porp ¿ó mo cion de D. Beni to Fernandez Navarreteal Seanato de la misma, á D. Antortio MaeHa , director del seminario' sacerdotal de S. Cárlosde la expresada ciudad de Zara goza : para lina ración» vacante en la catedral de Córdoba pór fallecimientó de D. Juan de Roda, á D. Juan Miguel Gómez de Mora, cura del hospital dé la sangeedé Sevilla r para ot…</t>
  </si>
  <si>
    <t>Maella, Mariano</t>
  </si>
  <si>
    <t>Mariano Maella</t>
  </si>
  <si>
    <t>…-y compañía. \ ' Estampa de S. Felipe Neri, que presenta los corazones de los fieles á la Santísi ma-Trinidad por medio de María Santísima, en pliego de marca mayor, dibujada por D. Mariano Maella, y grabada por D. Mariano Brandi. Se hallará á 10 rs* eti el almacén de estampas de la calle Mayor, frente á la casa del conde de Oñate. EN LA IMPRENTA REAL.</t>
  </si>
  <si>
    <t>Maestre, Josef</t>
  </si>
  <si>
    <t>Josef Maestre</t>
  </si>
  <si>
    <t>…ar rientes; D. Juan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 D. Francisco Alameda, D.. Tomas Gómez Qui janó, Don Joaquín Vial ,’D. Francis…</t>
  </si>
  <si>
    <t>Maestre, Marcelina López</t>
  </si>
  <si>
    <t>Marcelina López Maestre</t>
  </si>
  <si>
    <t>…a incorpo rado'con Otros para: Valencia, desde cuya época no ha sabido su madre de él; la peráona que supiese si él dicho Julián es muerto ó vive , se servirá avisarlo á su ma dre Doña Marcelina López Maestre en Avila, ó en Madrid á Di Vicente G-arcíaj plazuela dé la Cebada, casa de la Virgen de Gracia, núm. 2, cuarto 3.0 Los siete libros de Séneca, de la divina Providencia, de la vida bienaventura* da, de la tranquilidad del ánimo, de la constancia del sabio,de l…</t>
  </si>
  <si>
    <t>Mafiueco, Bernardo</t>
  </si>
  <si>
    <t>Bernardo Mafiueco</t>
  </si>
  <si>
    <t>…vacado en la misma iglesia por muerte de D. Bernarda Reyes á D. Fernando FaLcon y Alvarez. La canongía de la catedral; de Orihuela vacante por fallecimiento de Don Andres;Bayon á D. Bernardo Mafiueco. . La canongía que ha vacado en la metropolitana de Granada por muerte . de D. Antonio Cervino á. D. Alejandro Perez y Romero» cura propio de la colegiata de Osuna. . El arcedianato y canongía vacantes en la colegiata dé Vitoria por falle cimiento de D.-Juan…</t>
  </si>
  <si>
    <t>Magan, Juan Fíepomuceno</t>
  </si>
  <si>
    <t>Juan Fíepomuceno Magan</t>
  </si>
  <si>
    <t>…as utilidades y ventajas de este arte. , Concluidos los exáipenes se procedió á la .adjudicación de premios en la forma siguente: el i.° á D. Fernando Arranz de la Torre: el 2.° á D. Juan Fíepomuceno Magan: el 3.0 á D. Pascual Asensio; y el accessit 2 D. Joa quín Amor. . •; .'i-:.,--La sociedad tuvo la mayor Satisfacción en que los señores asistentes hi ciesen á los opositores varias preguntas , y que estos escribiesen en el encerado cuantas cuestiones tuvieron…</t>
  </si>
  <si>
    <t>Magan, Juan Nepomuceno</t>
  </si>
  <si>
    <t>Juan Nepomuceno Magan</t>
  </si>
  <si>
    <t>…ada , y fiscal militar del supremo consejo de Almirantazgo, como socio más antiguo p que abrió la sesión manifestando verbalmente el objeto de ellav Presentáronse á ser examinados D. Juan Nepomuceno Magan, guardia su pernumerario de menor edad de la Real Persona, D. Pascual Asensio, Don Josef Figuez y Cubero., D. Nicolás Diaz Lavandero, D. Manuel Batanero, D. Fernando Arranz de la Torre y D. Joaquín Amor, quienes hicieron los «pércidos que prescribe-el reglame…</t>
  </si>
  <si>
    <t>Magdalena</t>
  </si>
  <si>
    <t>…ía del número que exerce D. Alfonso de Yévenes, se manda convocar, como se hace por el presente aviso, á los legítimos herederos y representantes de D, Josef G-andulla é hijos, de Doña Magdalena y Doña Catalina Gandulla, interesados en la hacienda de campo que nombran de la Xabonera, tér mino de la villa de Cartama, para que concurran legitimando sus personas á dedu cir el derecho que les competa en el juzgado del referido señor alcalde mayor, te niente corregidor de dicha c…</t>
  </si>
  <si>
    <t>Magler</t>
  </si>
  <si>
    <t>…n, adonde había ¡do con una comisión q&amp;e se cree relativa á los gastos ocasionados t por las tropas austríacas en las guarniciones de Ferrara y de Cornaccbio. Lord Hugo Clitford y lord Magler han sido presentados á S. S., quien los ha recibido con muchas demostraciones de afecto. Lord Ciiffordcomo de-* cano de los pares católicos ingleses, ha sido condecorado con la orden de la Espuela,de Oro. . ¡ ;r. El mayordomo mayor de los palacios apostólicos…</t>
  </si>
  <si>
    <t>Mahy, Filiberto</t>
  </si>
  <si>
    <t>Filiberto Mahy</t>
  </si>
  <si>
    <t>….:pios guardé á V. 'muchos años. Madrid 13 de Fébrero de 1815. ' &gt; El Rey nuestro Señor se ha servido promover a subtenientes delReal Tuerpó de Artillería á los caballeros cadetes D. Filiberto Mahy , D. Migue! Araózq D. Juan A riña da, Di. Manuel Ortega, D. Rafael, Cor réa, D. -P ed ro Ortega:, Di Josef Vázquez, D. Josef Estrada; D. Ramo» Romero, D. Joaquini Edhevarría; Dv Casimiro Cañedo, D. Josef Cebrian ,;D. Salvador Pa nlagua, D. Josef Saenz dé Vini…</t>
  </si>
  <si>
    <t>Mahy, Nicolás</t>
  </si>
  <si>
    <t>Nicolás Mahy</t>
  </si>
  <si>
    <t>…s. Tendreislo entendido y dispondréis lo necesario á su cumplimiento. En S. Lorenzo á 2 de Noviembre ae 1815; = A D. Pedro Cevalios. Circular del Ministerio de Guerra. Al Teniente general D. Nicolás Mahy comunico con esta fecha lo siguiente: „ Enterado el Rey nuestro Señor de las diferentes representaciones que V. E. há dirigido en distintas épocas, quejándose de Ja orden que expidió la Regéncia del Reinó en 14 de Setiembre de 1812, por la que se mandó re pre…</t>
  </si>
  <si>
    <t>Maison</t>
  </si>
  <si>
    <t>…n de papel. El entusiasmo general, de que es objeto el Rey, debe consolar su corazón del descarrío de algunos pocos de sus vasallos. En uno de los periódicos se anuncia hoy que el general Maison ha jun tado un exérciro de 20© hombres escogidos, con los quales marcha á atacar á los rebeldes: se dirigirá contra eilos por el camino de Borgoña ó el del Borbonesado. El Rey ha admitido hoy con todas las ceremonias de estilo á su primera audiencia al embaxa…</t>
  </si>
  <si>
    <t>…y en las fronteras de Francia se hallan numerosos cuerpos de tropas. Se está formando un campamento en Arlon,á quatro leguas de Luxémburgo. El 28 del corriente pasó por Lobayna el general Maison con dirección á Aquisgran, aunque hay quien dice que va á Viena. Ostende y el Sas de Slyk están ocupadas por tropas inglesas que desem barcaron hace tres dias; pero al día siguiente marchó la primera división de estas tropas á Brujas. Escriben de Francfort qu…</t>
  </si>
  <si>
    <t>…s conde :Joúrdan&gt; presiden te; Massena, príncipe de EsslÍng; Augereau:, duque de Cástiglione j Mortierj duque de Treviso; tenientes generales los condes Cíaparede ; conde Viílate; conde Maison gobernador dé la primera división militar. El comisario or denador barón Joinville desempeña las funciones de fiscal; el mariscal de campo conde Grundler las de relator, y Mr. Boudin las de secretario. Aseguran que habiendo representado uno de los mariscales…</t>
  </si>
  <si>
    <t>Maitiand</t>
  </si>
  <si>
    <t>…de, esté cines dirigió:iord.Bathurst el. siguiente oficio al almirantazgo. v - J m $jMilores: ‘Noticioso 5. A. R; el .Príncipe* Regente de haberse entregado Napoleón. Bonaparte al capitán Maitiand, comandante del Belerofonte, quie re libertar á los puertos.de Francia de los males que trae consigo el estado de guerraen todo lo que sea compatible con el grande objeto de la alianza de los Soberanos , y la estabilidad del sosiego de Europa: en consecuencia…</t>
  </si>
  <si>
    <t>Maitlan</t>
  </si>
  <si>
    <t>1145</t>
  </si>
  <si>
    <t>…hombre, ya sea que esté sentado, ó bien paseando. En Hoxey-Wall, cerca de Stoke-sur-trente viven en el dia dos hom bres y dos mugeres que se han casado legítimamente 16 veces. El capitán Maitlan, comandante del Belerofoute, llegó antes de ayer á esta capital, y entregó á Sir fíudson-Lowe, nuevo gobernador de Sta. Ele na , los 4® napoleones hallados entre los efectos de Bonaparte. Se asegura que el gobernador guardará este dinero para ir dando á Bonap…</t>
  </si>
  <si>
    <t>Maitland</t>
  </si>
  <si>
    <t>…ue el egército jamas ni en ninguna otra ocasión se ha conducido mejor. La división de guardias á las órdenes del teniente general Cooke, que ha quedado gravemente Herido* el mayor general Maitland y el mayor general Byng dieron el egempío ad mirable de valor y bizarría, que fue seguido de todos. No ha habido ningún oficial, ninguna clase de tropa que no se haya conducido bien. „Debo no obstante, hacer mención particularmente para la aprobación de $. A.…</t>
  </si>
  <si>
    <t>…pas el Reír de Francia', á-quien hjceentrega de ella; , o oG k ¡ í v¡ j o 0:0 , ? o „ En la tarde del 26 ataqué 'á Perona Con la primera brigada de guar dias , al mando del mayor, general Maitland, que logró con muy poca pérdida apoderarse por asaltó dé las obrás que circundan el arrabal que es tará la izquierda del Somma, en vista de lo cual se entregó inmediatamen te la ciudad , con condición de queda ;guarnición entregaría las armas y se volvería á…</t>
  </si>
  <si>
    <t>…Rochefbrt. ’■ f v „ Luego que llegué á este puerro, el t$ por la mañana supe" que Napo león Bonaparte había salido para Inglaterra en el navio de S. M. Británica el j^tleutfonte, capitán Maitland, el dia 16 á la una de la tarde. „ Prescribiéndome mis instrucciones sobre este aspnto el tener .comunica(Ciopes oficiales ,con el almirante fíatham, comandante del apostadero ingles. Je escribí inmediatamente , dirigiéndole al mismo tiempo los. pliegos de^Mr…</t>
  </si>
  <si>
    <t>973</t>
  </si>
  <si>
    <t>…stocuerpo del egército prusiano, que se halla ya en las inmediaciones de Filipeville¿ GRAN v# , - -/ i- : • - i, ■ BRETAÑA.. ,■ k ’.J ’i ] ’ ' ^ . í Londres 28 de Julio. ’. . ! El capitán Maitland, que ha estado mucho tiempo empleado en las cos tas de Francia durante la última guerra, conocía perfectamente todos los pa sos por donde podrían escapar las fragatas de Boriaparté, y en Consecuencia tomó las precauciones necesarias para impedirlo. En estas c…</t>
  </si>
  <si>
    <t>…illermo (ciudadela de Calcuta). &gt; La isla de Borbon fue entregada con toda solemnidad á las autoridades francesas el dia 6 de Abril. . . , El gobierno ha; adoptado el proyecto del general Maitland, reducido á hacer á la Valette puerto libre para las mercaderías de las dos Indias. Las últimas cartas de Malta dicen que á la llegada de la fragata Eurotas, á cuyo bordo iban Róvigo, Laüemand y los seis coroneles franceses, se les intimó que.,estaba prohibid…</t>
  </si>
  <si>
    <t>1426</t>
  </si>
  <si>
    <t>…sesión de estas islas, y las perdió durante la revolución francesa. La Ru-. sia las tomó á los franceses en 1800, y estableció en ellas una república aris tocrática. Dícese que el general Maitland, comandante de Malta, ha sido nombrado gobernador de dichas islas. ' El R.ey ha nombrado embajador cerca de S. M. Británica al marques de Osmond, par de Francia^ que antes tuvo iguál destino en la corte de Turin. Han recibido orden de volver á Inglaterra 26 r…</t>
  </si>
  <si>
    <t>Majada, Manuel</t>
  </si>
  <si>
    <t>Manuel Majada</t>
  </si>
  <si>
    <t>…ncisco Gómez Samaniego, ? Celestino de Figueroa: para otro beneficio préstamo de Bayo en Gra do, diócesis de Oviedo, vacante por haber contraído matrimonio D. Anto nio Sanjurjo, á D. Manuel Majada, capellán del oratorio de S. Felipe Neri de Valiadolid, en premio de sus distinguidos servicios á la religión, y para que pueda continuar con igual zelo en el desempeño de su sagrado ministe rio: para otro beneficio? simple de Santibañez de Esgueva , vacante…</t>
  </si>
  <si>
    <t>Malaber, Juan Palacios</t>
  </si>
  <si>
    <t>Juan Palacios Malaber</t>
  </si>
  <si>
    <t>…se concedió á Dona Catalina Cuadrado, madre del benemérito D. Josef Gon zález , compañero de Palacios en jos servicios y sacrificio de la vida; y habienáo posteriormente recurrido D. Juan Palacios Malaber, hermano del 0. Ber-' nardo, á nombre de~su madre para que ya que no se la iguale en asignación. Con la Doña Catalina, se declare lá espresada pensión de 300. ducados trans misibles por fallecimientp de la agraciada i sus dos bijas Doña Josefa y Doña, Joaquin…</t>
  </si>
  <si>
    <t>Malagamba, Cáelos Sebastian</t>
  </si>
  <si>
    <t>Cáelos Sebastian Malagamba</t>
  </si>
  <si>
    <t>…ionados siguientes: En Sevilla............ D. Nicolás Jorge de Arespacochagíi. En Córdoba...... D. Rafael de Mentís. . En Granada....... D, Francisco de Unzaga. En Badajoz........ D. Cáelos Sebastian Malagamba. En Pía senda...... D. Juan Campo y Ojiva. En Valencia.. D. Ramón Miiralles.</t>
  </si>
  <si>
    <t>Malagamba, Carlos Sebastian</t>
  </si>
  <si>
    <t>Carlos Sebastian Malagamba</t>
  </si>
  <si>
    <t>…la.'......... D. Nicólas Jorge de Árespacochaga. ■ J 1 'i En Córdoba,..!..... t&gt;. Rafáel de Mentís. ' *'/ En Granada,...... D« Francisco dé Unzáea. / ' /' m-é J En Badajoz...... . D. Carlos Sebastian Malagamba. En Plaséncia...... D. Juan Campo y Oliva* En Valencia........ D. Ramón Miralles. En Avila.d...:...... D. Manuel palomares. Én Guqddlajara. D. Joaquín Veladiéfc. Eti TáiedoJ.......... D. Francisco Perez. En Murcia........ D. Josef TJbach. En Oviedo:.lD. Juan…</t>
  </si>
  <si>
    <t>Malagamba, Garlos Sebastian</t>
  </si>
  <si>
    <t>Garlos Sebastian Malagamba</t>
  </si>
  <si>
    <t>…ados siguientes: Mn Sevilla............ D. Nicolás Jorge de Arespacochaga. JEn Córdoba......... D. Rafael de Mentís. Mn Granada..... .. D. Francisco de Unzaca. JEn Badajoz.,»......D. Garlos Sebastian Malagamba» JEn Pldsencia.......D. Juan Campo y Oliva. Mn Valencia..... . D. Ramón Miralies. Mn Avila............. D. Manuel Palomares. JEn Guadalajara. D. Joaquín Veladiez. Mn Toledo D. Francisco Peréz.. ■ Mn Murcia.......... D- Josef Ubach. t Mn Oviedo?........... 3XJ…</t>
  </si>
  <si>
    <t>Malagon, Juan</t>
  </si>
  <si>
    <t>Juan Malagon</t>
  </si>
  <si>
    <t>…Amado, D. Manuel Martínez y D. Francisco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Francisco Sillero, D. Juan Sánchez, D. Alexandro Saez, D. Estéban Rubio y D. Gabriel Yanguas, del de Cazadores de León…</t>
  </si>
  <si>
    <t>Malaoeg, Joaquina</t>
  </si>
  <si>
    <t>Joaquina Malaoeg</t>
  </si>
  <si>
    <t>…a misma ciudad que le auxiliaban en su cargo'de es piar las operaciones del enemigo para comunicarlas á los ge fes de los ejér citos españoles; se sirvió $. M. conceder á su madre Doña Joaquina Malaoeg la pensión de 300 ducados anuales sobre espolies y vacantes en Reales órde nes de 23 de Marzo, y f iS5¡ de Mayo próximos pasados * á. imitación de la. quq se concedió á Dona Catalina Cuadrado, madre del benemérito D. Josef Gon zález , compañero de Palacios en…</t>
  </si>
  <si>
    <t>Maldbnado, Joaquín ALvarez</t>
  </si>
  <si>
    <t>Joaquín ALvarez Maldbnado</t>
  </si>
  <si>
    <t>…onio Riosoto , 0. Manuel Monde* toro, D. Manuel Crespa, D. Luis María Sarasti, D. Tomas Orive, 0. Ma« jnuel Cayaleri , D. Agustín del Barco, D. Francisco Andrada, D. Juan Ltí« »ás,D. Joaquín ALvarez Maldbnado, 0. Rodrigo Sánchez Airona, D. RaU* hiel Arango, D. Lean. Grl de Palacio, D. Joaquín Villaba, 0. Antonia ¡Sén quera, 0. Manuel Zacates, D. Pedro de la Llave, 0. Josef Mariano dél Puk ar, D. Josef Arias Saavedra, 0. Antonio Hoscoso , Salvador Moreno* Vicente V…</t>
  </si>
  <si>
    <t>Maldonado, Joaquín Blanco</t>
  </si>
  <si>
    <t>Joaquín Blanco Maldonado</t>
  </si>
  <si>
    <t>…e ha servido el Rey nombrar á D. Pedro Gar rido Espinosa para la regencia de la audiencia de Galicia. Et Rey nuestro Señor, atendiendo á los servidos y mérito del capitán de navio D. Joaquín Blanco Maldonado, se ha dignado concederle el gobierno militar y político de la plaza del Ferrol. S. M. se ha servido conceder á la villa de Oropesa , provincia de Tole do , Real facultad para que pueda celebrar perpetuamente una feria de toda dase de ganados en los dias 9, 1…</t>
  </si>
  <si>
    <t>Maldonado, Victoriano</t>
  </si>
  <si>
    <t>Victoriano Maldonado</t>
  </si>
  <si>
    <t>…e D. Gaspar Marqués Cabrera. Uña casa num. 29, manzana 119 , calle Alta. Capellanía del convento dé S. Agustín. Uña casa num. 25, manz. 74 , qi.ILede la Aloazavilla. Cápellaníá de D. Victoriano Maldonado. Uná casa núm. 8 , manz. 169, calle Mármoles: otra núm. 7, manz. 108, calle dé Guietes: otra núm. "5, manz. 203 , caite del. Perchel: otra núm. 18 , calle Altozano. Capellanía de D, Antonio Ríos. Una casa núm. 40, manz. 75 , Poz^ó del Rey : otra núm. 12 , man…</t>
  </si>
  <si>
    <t>Malibran, Ventura</t>
  </si>
  <si>
    <t>Ventura Malibran</t>
  </si>
  <si>
    <t>…nco. &gt; Supernumerarias á D. Gaspar Zurita, D. Ignacio Acha,D. Vicente Alzaybár., D. Josef Vareta y Montero, Barón de Gastellnou de Momech , Don Burges Camac, D. Josef Montenegro , D. Ventura Malibran, D. Pedro Juan de Olazagarre, D. Diego Henares y Tienda, D. Diego Miguel Bravo, Don Antonio vidaurreta, D. Juan Zarate, D. Josef Irunciaga, D. Josef Perez Quintero, D. Joaquín Martínez de Medinilla, D. Rafael Vicente Bourman,’ D. Ignacio Josef de Combo, D. Jo…</t>
  </si>
  <si>
    <t>Mallol, Narciso</t>
  </si>
  <si>
    <t>Narciso Mallol</t>
  </si>
  <si>
    <t>…erte de D. Manuel Peñuelo Polo, la que lo está asi mismo en la Villa de Barbalimpia por haber tallecido D. Julián Valiente, la de Armaüones que vacó por haber contraído matrimonio D. Narciso Mallol, la media préstamera de la villa de Recuenco, que obtuvo D. Diego Mateo Villalobos, y vacó por igual motivo, el préstamo de la iglesia de Valdecabrillas, que lo está por muerte de D. Domingo Diaz, y la presta-</t>
  </si>
  <si>
    <t>Malma</t>
  </si>
  <si>
    <t>…n del duque de Brunswick para anunciar al duque de Wellington la marcha de 10® hombres, y á pedirle los admita baxo su mando. La diputación se compone del conde de Hertsberg y del capitán Malma; el primero es coronel del famoso regimiento de cazadores negro de Brunswick-Oels, que tanto se distinguió en su marcha por Ale mania en 1809, y mucho mas en Portugal, España y Francia, donde se adquirió una particular estimación del duque de Wellington. El 5…</t>
  </si>
  <si>
    <t>Malo, Román</t>
  </si>
  <si>
    <t>Román Malo</t>
  </si>
  <si>
    <t>…nidades de religiosas y señores eclesiásticos: su po blación es de 140 vecinos. Los pretendientes dirigirán sus memoriales al ayunta miento de dicha villa por mano de su escribano D. Román Malo: se admiten los memoriales hasta el 20 del corriente, y el 30 del mismo se procederá á la elec ción del que ha de desempeñar la plaza. Se suplica á la persona que supiere del paradero de Joaquín Fernandez, natural del lugar de Alhóndiga, en la Alcarria, solda…</t>
  </si>
  <si>
    <t>Malo, Zacarías Ruiz</t>
  </si>
  <si>
    <t>Zacarías Ruiz Malo</t>
  </si>
  <si>
    <t>…D. Francisco Picado, segundo ayudante de la plaza de Ciudad- Rodrigó: de teniente á D. Gonzalo García, subteniente entonces del batallón de vo luntarios de Avila, D. Félix Frías, D. Zacarías Ruiz Malo, D. Bernardo Hernández, de los batallones de voluntarios de Ciudad Rodrigo, D. Jo sef Serrano, alférez de caballería, y D. Manuel De pis, subteniente de in válidos: de subteniente á los sargentos primeros del Real cuerpo de Artille ría D. Vicente Zaragoza, D*…</t>
  </si>
  <si>
    <t>Malus, Filiberto</t>
  </si>
  <si>
    <t>Filiberto Malus</t>
  </si>
  <si>
    <t>…rdo Paules , ,D. Francisco Sánchez, D. Josef de Castro, D. Venancio, Garnez , D. Nicolás Laborda, D. Manuel 1 aborda*, D. Nicolao Ribera, D. Gregorio Dalmao ; D. Francisco Navas., D. Filiberto Malus, D.;/Josef •¡Blanco*L). Mariano Córdoba * P. Josef Ferrer, D. Ca yetano Vivar , P,; JqseJ de^fcuenca, EX Francisco Caso, D. Felipe Mendicuti, í). Baltasar Gonzajes* *&gt;¿X;FVancisep de Torres, D. Andrés Casainayer, D. Francisco Reguera , D. Antonio García, D. P…</t>
  </si>
  <si>
    <t>Malveche, Juan</t>
  </si>
  <si>
    <t>Juan Malveche</t>
  </si>
  <si>
    <t>…eral Monagas, pues su caballo ensillada cayó en poder de unos soldados de Gorrín. „Se;elogian en el parte oficial de D. Nicolás María Geruti á la compañía de negros de Esquibo, al capitán D. Juan Malveche, á los tenientes D. Ma nuel Maya y D. Antonio Suarez, y al subteniente D. Antonio Rosada, del regimiento de Barbastro, al sargento mayor de milicias D. Josef Olasarra, al comandante accidental de artillería D. Antonio Riozo, al teniente del mismo cuerpo D. Ag…</t>
  </si>
  <si>
    <t>Man, Francisco</t>
  </si>
  <si>
    <t>Francisco Man</t>
  </si>
  <si>
    <t>…te, D. Josef Sartorio, D. Diego Bu trón, D. Francisco Ciscar, D. Josef Mollinedo, D. Fermín Esterripa y D. Francisco de Paula Osorio. -Ascenso á capitanes de navio áTos de fragata D. Francisco Man¡on, Don Faustino Gnimii,: D. Rafael• Lobo, D. Pedro Acevedo, D. Juan de Vargas Lana, D. Jacinto Rotnarate,: ¡ DJ Eduardo Briant, D. Ramón Ortiz Otañez, Dv Miguel Palacios Ruiz, D^ Ramón Aguí lar, D. • Josef del:Camino y Cami no, D. Felipe Perez Acevedo, D. Ra…</t>
  </si>
  <si>
    <t>Mancebo, Juan Manuel</t>
  </si>
  <si>
    <t>Juan Manuel Mancebo</t>
  </si>
  <si>
    <t>…tonio Fernan dez, D. Valentín Roxo, D* Carlos Osorio y D. Josef Laso de la Vega, del de Voluntarios de León; D. Pedro Valcárcel, D. Manuel González Campillo, D. Juan Villapaderna, D. Juan Manuel Mancebo, D. Francis co Diez Sopeña, D. Josef Provedo, del de Voluntarios del Ribero; Don Gerónimo Roxo, del de Cazadores del Rey; D. Cesar Tournel, d¿l Real Cuerpo de Artillería , y D. Gerónimo Alvarez , del de Húsares extinguidos de León: de Teniente á D. Felipe Cas…</t>
  </si>
  <si>
    <t>Manday</t>
  </si>
  <si>
    <t>…Mediterráneo. En breve deben salir del primero de estos puertos los siguientes buques,, que se hallan ya en franquía: el M,ontagne, de 74 cañones, espitan Heywcod; el Ajax, de 74, capitán Manday ; el Orates r de 36, capitán Cochrane; el Spartan, de 36, capitán Homby;. el Detiree* de 36 * capitán Wooldridge; el Antelia, de 36, ca pitán Ptoby; el Leven r de..... capitán Bluett; el Perseas %de..... capitán A’Coust, y otros quatro buques menores. Ha lleg…</t>
  </si>
  <si>
    <t>Manee</t>
  </si>
  <si>
    <t>…as «y aclamaciones del concurso y los ecos de la música militar, hablando á los profesores con la afabilidad que los caracteriza. El dia 27 de Noviembre último el capitán graduado D. Manee! de Ambascasas y Osorio tuvo la honra dé felicitar á S. M. en nombre dé la villa dé Cacavelos, én la provincia de León, arengando en los términos siguientes: &gt; ,, Señor: la villa de Cacavélos, una de las-primeras que en el reyno de León tomó las armas, y leva…</t>
  </si>
  <si>
    <t>Manegat, Juan</t>
  </si>
  <si>
    <t>Juan Manegat</t>
  </si>
  <si>
    <t>…de Gerona por muerte de D. Jo sef Viñas á D. Pedro Toroneíl, capellán párroco del fuerte del Condestable en dicha ciudad: otra canongía de la misma iglesia , vacante por muerte de D. Juan Manegat, á D. Domingo Cassiot, director del hospicio de la espresada ciudad de Gerona: otra canongía que vacó por fallecimiento de D. Ma riano Bátaller á D. Josef Bertrán, cura de Llorat , pueblo de aquella diócesis i y la que vacó también en ia referida iglesia por…</t>
  </si>
  <si>
    <t>Manent, Jayme</t>
  </si>
  <si>
    <t>Jayme Manent</t>
  </si>
  <si>
    <t>…smos. Y no habiéndolos recibido los indicados Sres. Arxer é hijos, duplican á los sugetos-qué tengan notíéia de ellos se sirvan de tenerlos, y'avisar en*Valencia 4 los-mencionadas D. Jayme Manent, Vidal y com pañía; en.Cádiz á:D; José Sopeña; en Barcelona á los referidos D. Francisco Aré hijos,ly en Madrid á los Sres* Rull y Coll, calle de la Concepción Gerónimi, nútn. 31 , quarto baxo , casa de Montesacro. » Diccionario geográfico universal, que comp…</t>
  </si>
  <si>
    <t>Manes, Senen Vilanova y</t>
  </si>
  <si>
    <t>Senen Vilanova y Manes</t>
  </si>
  <si>
    <t>…as causas de esta naturaleza: obra útil y precisa á jueces de todas clases, fiscales, abo gados, asesores, escribanos y demas que versan sus facultades en el foro: su autor el Dr. D. Senen Vilanova y Manes. Esta obra, que se publicó baxo la división de solo tres tomos, se extiende ahora á cuatro, á causa de haberla adicionado el autor con dos tratados, el uño de las «facultades, obligaciones y delitos del abogado, y el qtrq dc las RetUsfórdenesique le faltaban,…</t>
  </si>
  <si>
    <t>Manfredi</t>
  </si>
  <si>
    <t>…ourdupin, embaxador extraordinario en el con greso de Viena: el conde Cários Marescaíchi, gentilhombre del emperador de Austria, con su esposa y con la duquesa Daberg: los señores conde Manfredi, secretario de embaxada de S. M. cerca de la Santa Sede : Hendrik Vankempen, capitán de navio holandés, cónsul en Trípoli: Loeben, austríaco, coronel de huíanos : Wolchinson , caballero ingles: conde Olgiati, teniente coronel del regimiento de Asti. ESPAÑA. T…</t>
  </si>
  <si>
    <t>Mannassi</t>
  </si>
  <si>
    <t>…ri y La-Fere-Champenoise. . ; La reserva de Colmar se dirige á St. Diez y Mirecourt, y se une con el tercer cuerpo, cuidando del bloqueo de Schlettstadt y St. Murice-aux-Mines. El general Mannassi manda el bloqueo de Huninga y Befort; el general Conde Eoxberg el de Neu-Brisach, y el Conde Stuhmayer el de Schlettstadt. Temo quitar el tiempo á V. E. si me detengo en espresar los pormenores^ pero para indicar exactamente las marchas es necesario retrocede…</t>
  </si>
  <si>
    <t>Manrique, Baltasar Carrillo</t>
  </si>
  <si>
    <t>Baltasar Carrillo Manrique</t>
  </si>
  <si>
    <t>…os son los nuestros, y que he mos colocado siempre nuestra mayor gloria en haber pensado de esta manera.” El mismo día cumplimentó también á S. M. en nombre de la villa de Atienza D. Baltasar Carrillo Manrique, regidor perpetuo de ella, en los términos siguientes: ,,Señor: la villa de Atienza, animada de los mas justos sentimientos, me comisiona para felicitar á V. M. por el deseado restablecimiento al tro no de sus mayores. „Señor: esta villa, á quien sus servicio…</t>
  </si>
  <si>
    <t>Manrique, Jacobo Manuel</t>
  </si>
  <si>
    <t>Jacobo Manuel Manrique</t>
  </si>
  <si>
    <t>…ultad p¡ t U audiencia del Sr. D. León de la Cámara C ¡no , uniente primero de corregidor de esta villa, por la escri ba ní,i yacanteque sirvió D. Juian González Sa¿z, y despa cha D. Jacobo Manuel Manrique , ff,,ha|&gt;,eqaÍado p^ra su remete .el jdiá 29 deí cor,Tiente a lás í"2 de su mañ^na^en la audiencia de di*hó señor í lo que se anuncia al público pata,su inteligencia* t; , v ¡ vJ. 1 Por sentencia de la’chmciííjeria dé valladolíd de 2 2 de Mayo de 1807 está r…</t>
  </si>
  <si>
    <t>…vn. metálico, se remató en la audiencia del Sr. D. León de la Cámara Cano, del consejo de S. M., teniente primero de corregidor de esta villa, por ante el es cribano de su número D. Jacobo Manuel Manrique en el 29 del pasado Marzo baxo de varias condiciones en 1.930$ rs. vn. moneda metálica ó vales Reale3 al pre mio corriente en plata el dia del otorgamiento de la escritura de venta, y ademas 2.020&amp; rs. vn. en vales Reales: se publica por otros dias mas contad…</t>
  </si>
  <si>
    <t>…umplimiento se anuncia asi al público en virtud de pro videncia deí $r. D. León de la Cámara Cano, primer teniente de corregidor de es ta villa, y por, la escribanía del número de D. Jacobo Manuel Manrique, habien do señalado para el nuevo remate el miércoles 17 de Mayo en su audiencia desde bs 12 de la mañana en adelante. . En del $r. D. León de la Cámara Cano, primer teniente virtjid:proVidencia *córre’gtdoiSáéi.'esta’yUja, se saca 4 pública subasta una casa…</t>
  </si>
  <si>
    <t>Manrique, Jaeobo Manuel</t>
  </si>
  <si>
    <t>Jaeobo Manuel Manrique</t>
  </si>
  <si>
    <t>- Pjar b auíKencia del Sr. D. JoaquinAl mazan, del consejo de S. M., teniente "'corregidor de esta villa» y escribanía de D. Jaeobo Manuel Manrique» se citan si guiendo autos de abintestato á los bienes que han quedado por fallecimiento de *&gt;intoriana Gómez, acaecido en el mes de Junio de 1812 entre S. J uan y S. Fedro» hir ja de Eusebio Gómez y de Rita Fernandez, difuntos, naturales que fueron de la vi‘…</t>
  </si>
  <si>
    <t>Manso, Antonio Julián de Velasco y</t>
  </si>
  <si>
    <t>Antonio Julián de Velasco y Manso</t>
  </si>
  <si>
    <t>…to de Don Manuel Moreda, á D. Francisco Antonio de la Cárcel y Comas: otro bene ficio servidero de la parroquial de Santiago en la villa de Sepúlveda,que vacó por fallecimiento de D. Antonio Julián de Velasco y Manso, á D. Diego Velazquez. ==Una canongía de la iglesia colegial de S. Felipe de Játiva, que va có por muerte de D. Juan Cabellos, á D. Joaquín Barrachina , capellán de nú mero de la Reai armada: otra canongía vacante en la misma colegiata por</t>
  </si>
  <si>
    <t>Manso, Josef</t>
  </si>
  <si>
    <t>Josef Manso</t>
  </si>
  <si>
    <t>…l referido D, Josef Ortuzar á D. Matías Calva, racionero de la iglesia pri mada de Toledo. ^ ¿ La, canongía yacante en la catedral de Segovia , por muerte de D. Antonio Mate:Gil á D. Josef Manso, cura de las Navas de S. Antonio en aquella dió cesis , y la canongía de la,.misma iglesia que ha vacado por fallecimiento de L).;Isidro Antonio de Guevara, á D. Matías Villegas , cura&gt; de- la parroquial de S. Pedro.de ja villa de Guellar en el propio obispad…</t>
  </si>
  <si>
    <t>Manuel</t>
  </si>
  <si>
    <t>…den lo comunico á V. para su inteligencia y gobierno. Dios guarde á V. muchos anos. Madrid 6 de Diciembre de 1814. El Rex nuestro Señor se ha servido nombrar consejero de Indias á Don Manuel de la Bodega. Igualmente se lia servido S. M. nombrar para, el arzobispado de Méxicp, vacante por fallecimiento del limo. Sr. ¿. Francisco Xavier de Lizana, á D. Pedro Josef de Fonte, doctoral de la misma iglesia; y para el obispado de Valhdoüd de Mechoacaná…</t>
  </si>
  <si>
    <t>…eislo entendido, y lo comunicareis á quien corresponda para sil puntual cumplimiento. - &gt; : ^ . ■■■ # .li1’ "■ . ' - : U .1 : En atención á los distinguidos méritos y servicios de D. Manuel 'María Girón* comisario ordenador de los Reales exérettos, y ai decidido patrio tismo:que ha acreditado durante la mansión de los exercitos enemigos en la -península, ha venido S. M. en concederle los honores de intendente de pro vincia. ■ ; , -,.r . ’i ^ ¡ E…</t>
  </si>
  <si>
    <t>…anegas. Bofe memoria!es&gt;se "dirigirán al ayuntamiento, .que Ien sumíase,, proveerá,' la «aplaza ¿1.2 6 del corriente. - D. 'Eugenio Sauz Galvd, del comercio.fegqviaj, remitió; a’ ;D. Manuel deRo* (|)t:edo/r de.Madrid *, por el correo cSe 17 de Diciembre de 1814 dos vales Reales de 300 pesos de i.° de Enero^ de 1809,, números 95828 y 103508, y con ellos unos recibos y siete letras ; y no habiendo llegado á su destino, se supíica que si atgunb sup…</t>
  </si>
  <si>
    <t>…Velasco, peí nitendario de la pontificia Real iglesia de Italianos de esta cortease ha ser vido S.M. agraciarle con una ración vacante en la santa iglesia de Arequipa por mnene de D. Manuel de la Peñ?. El Rey nuestro Señor se ha dignado confirmar el privilegio de la santa y vieja hermandad de Toledo. , Habiéndose organizado de nuevo la junta de diputación en Madrid de la sociedad cantábrica, se desea vivamente renovar la subscripción de socios c…</t>
  </si>
  <si>
    <t>…actualmente están las comisa rías principales. Las personas que quieran valerse de dicho D. Juan para el desem peño de esta clase de asuntos, pod an acudir en Madrid á su hermano D. Manuel, del comercio de sedas mayores, que vive portales de Guadalaxara, núm. 28, el qual instruirá á los interesados de los documentos que han de acompañar á los cré ditos, y de las demas formalidades que se deben llevar para ser reconocidos los suministros. Se hal…</t>
  </si>
  <si>
    <t>…áudieñ. ciá de Sevilla á D . Josef Miér, D. Pédro Simo y D: Francisco Ola va rrieta ; y pará alcaldes de la qnadra de 'éUa’á ■ D. josef Santa 1 María, Don Eugenio de Larrumbide y- D. Manuel "Victoriano Moyaíios. Asimismo' ha conferido el empleo de juez civil de Cádiz á D. Hermenegildo Rodriguéis oidor de la audiencia de Sevilla; y la alcaldía mayor criminal y dé pólibía dé aquella ciudad I D. Diego de la Peña;: el corregimiento de Velez&gt;Má laga…</t>
  </si>
  <si>
    <t>…o luntarios de Avila, D. Félix Frías, D. Zacarías Ruiz Malo, D. Bernardo Hernández, de los batallones de voluntarios de Ciudad Rodrigo, D. Jo sef Serrano, alférez de caballería, y D. Manuel De pis, subteniente de in válidos: de subteniente á los sargentos primeros del Real cuerpo de Artille ría D. Vicente Zaragoza, D* Manuel Sánchez y D. Manuel Sarasa : al de Zapadores D. Manuel Calleja; á los del regimiento de infantería de Mallor ca D. Joaquín. C…</t>
  </si>
  <si>
    <t>…isma en el término de 15 días contados desde la publicación de «sfe aviso. " • • &gt; 7 :! : Debiendo comunicar noticias interesantes a D.;Franci*cadela Peña Rodrigo* üjo del difunto D. Manuel, se suplica al que sepa de su parádebo, sé sirva avisar lo ei esta corte en la calle de Jacometrezo entre los números 8 yp, quarto principal, preguntando por el sargento mayor D. Benito Aznar.. ,¡ , Cartas familiares del P. Josef Francisco de IsjJa ^jde 1$ co…</t>
  </si>
  <si>
    <t>…n, á D. Manuel Vicente Vacas, con dimi sión de la capellanía de coro que obtiene en la propia iglesia: para otra ra ción de'la iglesia catedral de Piasencía, vacante por muerte de D. Manuel de la Vega, á D. Manuel Elvira: para otra ración de la de Segovia, que resultará vacante pbr promoción de D. Manuel Martin Mauriz. a canongía dé la misma iglesia catedral, á D. Eugenio Rodríguez, capellán de coro de la Real iglesia colegial de S. Ildefonso: p…</t>
  </si>
  <si>
    <t>…enio: para el corregimiento de Tordesillas á D. Pedro Ventades: para el de Reynosa á D. Domingo Salinas: para la vara de Murcia á D. Ignacio Mariano de Mendoza: para la de Rueda á D. Manuel* Sotillos Montijo ; y para la de Moron á D. Francisco Caballero Henrújuezrpara el corregimiento de Requena á D. Miguel Martinez Del gado: para la vara'de Alcalá la Real é D„ Josef Melitcn de Nava*, para la de Villaroblcdó á D. Joaquín María López de Ayala: pa…</t>
  </si>
  <si>
    <t>…n Mamés de Aras, como poseedor y cabeza de la de Uribe, en el señorío de "Vizcaya, y^el tercero como á legítimos descendientes de las dos alesprésado St. Lardizabal y á su hermano D. Manuel y á sus legítimos descendientes perpetuamente. &gt; S. M. sé hit dignado conceder al coronel de infantería D. Manuel Febrer dé‘iá Torre, teniente de'Rey dé la plaza de Alicante , su Real permiso paró poder usar la condecoración de la orden de la flor de Lis con…</t>
  </si>
  <si>
    <t>…pág*.602 , lín. | .y 6 * donde dice rD. Carlos Mqynez, coman: jalante general qué %á sido. del istmo, de Panamá, léase . "Maiáeyát En: la mis’ tna, ¿ág. 603, líñ. 27 3 donde dice D. Manuel de la Jorré &gt; 0&amp;dase y Jfaujr¿. En lá misma línea donde dice Z). Manuel Shto, léase; D. Ángel Sixto*</t>
  </si>
  <si>
    <t>…iglesia colegiata de S. Hipólito una canongía,vacante por muerte de D. Antonio de la Iglesia, á D. Juan Rósete: otra canongía vacante por muerte de D. Joaquin Calero y Pedrajas á Don Manuel de la Fuente y Dávila. = Hn la catedral de Barcelona la dignidad de sacristán mayor, vacante por muerte de D. Esteban Pinos,á D. Félix Torres Amat, canónigo de la iglesia colegial de S. Ildefonso; y la dignidad de arce diano de Llobregat, vacante por muerte d…</t>
  </si>
  <si>
    <t>…Esdovar, D. Cayetano Salcedo, Dw Andrés Nieto.-, B; Manuel Nifo, D. Juan Ltiis&gt; Astraudi yB* Martin dé lbs¡filenos ,D¿ Gabriel: fescolar, D; Ma teo Fernandez, &lt;Dí Adrián Jaco me, D. Manuel. Puch:, Di Juan Delgado, Don -Antonio Megias i:B. Francisco Pfieto, D. ¿Esteban Alzurrun /D. Juan Portaz, D. Antonio Molina , D. Bawolomé Pombo, D. F rancisco Ortega , D. Miguel Polidoro y D. Josef Trillo, D. Manuel* Diez tarabilla , D. Francisco Estrada, D,…</t>
  </si>
  <si>
    <t>…nql IX Antonio la Rosa i D. Pedro Albo, D. Nicolás Giezar, DvJuanVicente , D. Eduardo Paules , ,D. Francisco Sánchez, D. Josef de Castro, D. Venancio, Garnez , D. Nicolás Laborda, D. Manuel 1 aborda*, D. Nicolao Ribera, D. Gregorio Dalmao ; D. Francisco Navas., D. Filiberto Malus, D.;/Josef •¡Blanco*L). Mariano Córdoba * P. Josef Ferrer, D. Ca yetano Vivar , P,; JqseJ de^fcuenca, EX Francisco Caso, D. Felipe Mendicuti, í). Baltasar Gonzajes* *&gt;¿…</t>
  </si>
  <si>
    <t>…s........ D. Francisco.*María Herrera. -En Malaga........ D¿ Francisco Escovar. En Orense.... . D. Fernando Rey. zEn Lugo.............. D. Josef María Gayoso. r£n Santiago.i...... D. Manuel de la Riva Moreno. En la Coruñaí...... D. Felipe Elorz. En Valladolid..... D. Luis Francisco de Luis. rEn Pamplona...... D. Miguel Echarri. En Barcelona...... D. Ramón Llordella. En Zaragoza....... D. Francisco Perpiñan, barón de la Torre. Mn AlavnyGm-y V' Fr…</t>
  </si>
  <si>
    <t>…rias........ D. Francisco María Herrera. Malaga......... D. Francisco Escovar. En Orense........ D. Fernando Rey. En Lugo............... D. Josef María Gayoso. En Santiago........ D. Manuel de la Riva Moreno. En la Coruña...... D. Felipe Elorz. En Valladolid..... D. Luis Francisco de Luís. 1 í‘„• En Pamplona...... ’D¿Miguel-Echarrí.o-.i'^:- •. r. á,, En Barcelona... D. Ramón;Llordeíla. i - iv nii Jí» Taragoza....... D. Francisco Perpiñan, barón…</t>
  </si>
  <si>
    <t>…sco dé Unzáea. / ' /' m-é J En Badajoz...... . D. Carlos Sebastian Malagamba. En Plaséncia...... D. Juan Campo y Oliva* En Valencia........ D. Ramón Miralles. En Avila.d...:...... D. Manuel palomares. Én Guqddlajara. D. Joaquín Veladiéfc. Eti TáiedoJ.......... D. Francisco Perez. En Murcia........ D. Josef TJbach. En Oviedo:.lD. Juan Pérez. En Ciudad*Real. D. Mateo Casado y Romero. En Jaén..... ......... D. Francisco López Zavala. En Ségüvia....…</t>
  </si>
  <si>
    <t>…ias D, Francisco María/Herrara. Mn Málaga.......... D. Francisco Escorar* v Mn Orense.i.^."... Di. Fernando Reyv. Mn Lugo."............ D. Josef María Gayoso. Mn Santiago......... D. Manuel de, la Riva Moreno* Mn la Coruña....i. D. Felipe Elorz. En Valiadolrd.,.l... TJ: Luis Francisco de Luis.. JEn Pámptond. D., Miguel Echarri.. Mn Barcelona...... D* Ramo» LlordeJla. Mn Taragoza___ D. Francisco Perpiñan* barón dé la Torre.. 'E»A&amp;p*,Gt*y d¿ Franc…</t>
  </si>
  <si>
    <t>123# " te, á instancia de D. Josef Enderica, vecino y del comercio de ella, se cita, lla ma y emplaza á D. Manuel y D. Antonio González Rodríguez ó sus herederos* para que en el preciso y perentorio término de 20 dias, contados desde esta fecha, comparezcan á la audiencia de S. S. y escribanía de' provincia citada á deducir la acción que les competa en la reclamación de un vale Real de 150 pesos de la…</t>
  </si>
  <si>
    <t>…sí o sus apoderados al Sr. D. Francisco del Mazo, contador primero , cá lle del Príncipe, núm.,7 , cuarto principal j á liquidar y percibir después en metálico del señor tesorero D. Manuel de la Viña la anualidad, que cumpli rá en fin de este año. ; TT" , } .Fn. virtud* de provipe^ia del Sr.j D. León dé la Cámara Cano de 27 deNoviembre,úipmq. Ve cita. y. emplaza a. D.,Ildefonso López-del Barrio, del comerció que fue de está corte, para que en e…</t>
  </si>
  <si>
    <t>Manuel, Francisco</t>
  </si>
  <si>
    <t>Francisco Manuel</t>
  </si>
  <si>
    <t>…te por decretó dél R. obispo dé Falencia, su prelado; y pata el benefició servi dero déla yilla! dé Cambil, diócesis de Jaén, vacante por muerte dé D. Die go Bernardo dé pruna , á D. Francisco Manuel: de Egaña, vicario cura pár roco de la villa dé Cestón*. Habiéndose dignado, el Rey- nuestro Señor admitir de DI Domingo Sua|rez, maestro armero que fue ,del regimiento irifanfería i.° dé- lá Princesa, Ja cesión que de 5106 rs. vn. que por dicho regimiento se…</t>
  </si>
  <si>
    <t>Manuel, Josef</t>
  </si>
  <si>
    <t>Josef Manuel</t>
  </si>
  <si>
    <t>…cos ta, contador de la provincia de Toledo, le ha concedido S. M. los honores de intendente de provincia. _ ’ ' &gt; &lt;\ . _ En virtud de providencia del señor alcalde de casa j corte D. Josef Manuel</t>
  </si>
  <si>
    <t>…varro: para la de Villarejo de Fuentes á D. Juan Roza Ridoces: para la de Lerin a D. Francisco Mi guel Lombardo: para la de Villalon á D. Saturnino Tablares: para la de Guernica á D. Josef Manuel dp Aizpuru: para la de Jerez de la Frontera ID. Juan de Dios Aguilar: para la de Cervera del Rio Alhama á D. Miguel Antonio Rodrigo; y para la de Bórnos á D. Josef Martínez Lorenzo. En atención á los distinguidos méritos y constante lealtad de D. Andrés Arari…</t>
  </si>
  <si>
    <t>Manuel, Miguel de</t>
  </si>
  <si>
    <t>Miguel de Manuel</t>
  </si>
  <si>
    <t>…, los tres primeros, compuestos por el P. Estéban de Terreros y Pando, comprenden la versión de nuestra lengua á estos tres idiomas; y el 4.°, dispuesto y trabajádo por el difunto D. Miguel de Manuel y -Ro dríguez, bibliotecario de l,os Reales estudios de S. Isidro de esta corte, comprende los tres alfabetos francés, latino é italiano, con las voces que le corresponden en la lengua castellana, y se explican en los tres tomos anteriores, siendo sumamente ú…</t>
  </si>
  <si>
    <t>…girán á su ayunta miento hasta el 24 dq Diciembre, para proveerse el 31 del miismo. , Instituciones de derecho civil español que escribieron los Dres. D. Ignacio Jor dán de Asso y D. Miguel de Manuel, adicionadas y mejoradas con notas en gran número por el Dr. D. Joaquín María Palacios, catedrático de prima de leyes pa trias que fue en la universidad de Huesca, y mandados estudiar en las universidades del reino, según el último plan que rige en esta mater…</t>
  </si>
  <si>
    <t>ManuelMa</t>
  </si>
  <si>
    <t>…ga, D. Francisco de Lemonauría, D. Benito Felipe de Gainmde, D. Josef Domingo de Aguirre, D, Mariano Perez 4e;Nemn,, D. Pascual Jo^efde Ardanáz, D. Diego Macmahon, Goossens e mjo, D. ManuelMa* Íía de Aldecóa , D. Antonio Juap de Viidosola, D. Cirilo Perez de Necio* D. Francisco de Lemonauría hijo y D. Juan Laurencio. A fin de que este establecimiento inspire al público toda la confianza posible» no conten tándose los accionistas con el buen crédit…</t>
  </si>
  <si>
    <t>Manye</t>
  </si>
  <si>
    <t>…D. Ambrosio Mar tínez, ÉX C^ayemnp Ojezalde,; D.-Antonio Delgado, D. Gaspar Jover, Don NJarciso,Felipe, IX Josef Vilíavieencio, D. Cristóbal del Aguila, D. Berna-? Fe Chinchilla,, D. Manye! Carrasco, D. Tomas López, D. Miguel Bueno, JX Juliani Lop£z dq Ansó ¿'Di* Antonio Martínez, D. Eleuterio Munida, Don Á^anueí Andrada , !)» Domingo Blanco, D. Lorenzo Martínez, D. Isidro QJi* vares , D. Tomas Zamora, L&gt;. Benito Reehel, D. Gaspar Nogueruela, D…</t>
  </si>
  <si>
    <t>Manzanopara, Josef Ruiz</t>
  </si>
  <si>
    <t>Josef Ruiz Manzanopara</t>
  </si>
  <si>
    <t>IOIO ' la de Tortosa á D. Victoriano Aznar y Rubio: para la de Jaca á D. Josef Ibarlueea: para la de Lérida á D. Josef Ruiz Manzanopara la de Alcira á D. -Lorenzo Ventura de Dueñas : pira la de Vique á D. Mahuel Frutos: pa ra la de Tárrega á D. Gregorio Sancho Granado r para la de Segorve á Don josef Tomas Aparicio: para la de Villalonga, en el partido de Denia, á Don Agustin Velasco y Callej…</t>
  </si>
  <si>
    <t>Manzorea, Manuel</t>
  </si>
  <si>
    <t>Manuel Manzorea</t>
  </si>
  <si>
    <t>…ete mas* sobresa lientes, y asi se acordó que se sorteasen, y fueron adjudicados á D. Juan Andrés Estudillo, á D. Josef Zarzuela, á D. Francisco de Paula Silva, á D. Juan Vidal, á D. Manuel Manzorea, á D. Manuel Silva y á D. Manuel Bernal, ampliándose después á todos hss restantes; El ayuntamiento de dicha ciudad, satisfecho del zelo y traba jos‘de D. Francisco Girón en los re sultados de dichos exámenes, y á fin de estimular al adelantamiento, acordó qu…</t>
  </si>
  <si>
    <t>Maque</t>
  </si>
  <si>
    <t>…illaT '/ ■ _ ;*V;;'Vr ' MADRID. Capellanía de D. Domingo Alvarez y Beatriz González. Una pasa calle de las Velas á la de Toledo » núm. i£ y 16, manz. 93. VALLADOLIU. Capellanía dé D. Maque! Joaquín ¿ubiaurre y su muger. Una casa calle de ¿úpiga , num. jr. .. , ~ Fincas de la Corona.;Una huertaextrainurps de esta ciudad, titulada del Rey , situada á Ja márgeaí derecha! del crioíPis^erga^ ,&amp;&gt;p.r árboles frutales y viñedo: Un bosque cercado de tap…</t>
  </si>
  <si>
    <t>Mar</t>
  </si>
  <si>
    <t>…ó.'En estáí acción recibió una contusión eí general Wood; fueron heridos tres oficiales, y el regimiento 17v° tuvo 14 hombrés muertos y 60 Iiéridós.Por lo que toca al egército del general Mar ley, tas noticias, recibidas anuncian, que varios ataques dados por el enemigo con fuerzas muy superiores a dos destacamentos avanzados, han 'tenido resultados désástrbsósiyÜno de dichos destacamentos Se retiró, a Ñutía, -habiendo sido muértó el capitán Sibie…</t>
  </si>
  <si>
    <t>Mar'</t>
  </si>
  <si>
    <t>…mandado que:en el, término preciso y perentorio&gt;dex2Ó dias, comparezca ante S. S. y citada escriba-; ní^ .el pugeto ó sugetos que tengan en su poder los, autos de testamentaría de D. Mar' nuél Andrés Gjl.Rupsgas y Doña María Teresa Baeza, su consorte, vecinos que fue-¡ ron detesta ;cbr|e, qup se cptnpp.uian,de/?a5 piezas, y se Jialla,ban e^ el estudio fiel. t'-lo -- -brotaron con .motivo déI (qcendio ocür-¡ habitaba, ó él que supiese del parad…</t>
  </si>
  <si>
    <t>Mar, Ambrosio</t>
  </si>
  <si>
    <t>Ambrosio Mar</t>
  </si>
  <si>
    <t>…, IX Juan García-, '0; Ramón de Coba, D. Josef Mon tano,,? D. Ignacio Foja, rD. Antonio Marco , D. Ginés 'Rubio, D. Josef Ga vilanes , D Joaquín Aguijar, D. Santiago López Gascón, D. Ambrosio Mar tínez, ÉX C^ayemnp Ojezalde,; D.-Antonio Delgado, D. Gaspar Jover, Don NJarciso,Felipe, IX Josef Vilíavieencio, D. Cristóbal del Aguila, D. Berna-? Fe Chinchilla,, D. Manye! Carrasco, D. Tomas López, D. Miguel Bueno, JX Juliani Lop£z dq Ansó ¿'Di* Antonio Mar…</t>
  </si>
  <si>
    <t>Mar, Diego Josef</t>
  </si>
  <si>
    <t>Diego Josef Mar</t>
  </si>
  <si>
    <t>…metropolitana de Sevilla por- promoción de U. Mi*, cuel de Vargas á canongía de la misma iglesia á D. Jpan MontemayOir y Car rasco» médio-racioner© de ella, y para esta resulta a D. Diego Josef Mar,* quez , canónigo de la colegiata de la propia ciudad. ! • •• ^ La ración que ha vacado en la catedral de Osma por muerte de 0. Ge rónimo Prieto , y el? beneficio servidero de la villa de Caltañazor, que lo ha sido por fallecimiento ’de D. Bernardo Octavia, á…</t>
  </si>
  <si>
    <t>Mar, Josef</t>
  </si>
  <si>
    <t>Josef Mar</t>
  </si>
  <si>
    <t>…ayudante de estado mayor del egército de la iz quierda D. Josef Cienfuegos existen los despachos y demas papeles del te niente coronel y ayudante segundo del antiguo estado mayor D. Josef Mar tin de Ortega, muerto en la gloriosa batalla de Tolosa en Francia, ocurrida el 10 de Abril de 1814. Si alguno fuere interesado en dichos papeles podrá dirigirse al espresado Cienfuegos en el cuartel general de aquel egército,quien entregará en forma legal dic…</t>
  </si>
  <si>
    <t>Mar, Miguel</t>
  </si>
  <si>
    <t>Miguel Mar</t>
  </si>
  <si>
    <t>…imples y unidas de las villas de Tor reloba ron y ViHásexmil, en el obispádó de Patencia, nombradas la primera de Arteaga, y la segunda de Romerino y Oreja, vacantes por muerte de D. Miguel Mar** tm dé lá Fuente, á D. Bruno Conde, Él Rey nuestro Señor se ha servido , á consulta de la Cámara, repone* en las plazas que sirvieron en la chancillería de Giánada á D. Jf aqjuín Lo renzo Mozo y IX Antonio de la Parra; y en atención ál mérito y a las pruebas…</t>
  </si>
  <si>
    <t>Maratino, Pedro</t>
  </si>
  <si>
    <t>Pedro Maratino</t>
  </si>
  <si>
    <t>…ainon Maurin, del de Zaragoza; D. Gregorio Flores, D. Juan Miguel Rodríguez, D. Eusebio Rodríguez, D. Francisco Masías, D. Pedro Rodríguez, D. Manuel Diez, D. Miguel María Robles, D. Pedro Maratino, D. Francisco Antonio Pe rez y D. Manuel Martínez, del de Voluntarios de León; D. Raymundo Provedo, D. Cipriano Alvarez, D. Mariano López y D. Andrés Garrido, del de Voluntarios del Ribero: de Subteniente á D. Pedro Losada, D. Jo sef Novales, D. Josef Ulloa,…</t>
  </si>
  <si>
    <t>Marcelino</t>
  </si>
  <si>
    <t>…- i. *¡ " Q’.» EnSegovia.,...}.... Señores ■viuda deRamií*o y Mesa. ' En Cuenca........... D. Josef Escolar y Noriega. , Mallirca...:....} Lore,?zo G,bert- .. 'JE'« Patencia...^" D. Marcelino de la Torre. £u) Bar vos y..;..:.... ©.¡Román ? Martínez Montaos. En jCatíiz.a¿¿.¿¿i"i-jDá Benita de la Piedrav £n Canarias........ D. Francisco.*María Herrera. -En Malaga........ D¿ Francisco Escovar. En Orense.... . D. Fernando Rey. zEn Lugo.............. D…</t>
  </si>
  <si>
    <t>…....... D. Francisco López Zavala. En Ségüvia......^.: Señores viuda de Ramiro y Mesa. En6Cühicá.l.i ..líil 'D. Josef Escolar yNóriega. D- trenzo Gibert, : i1SLÍ En Palenda........D. Marcelino de la Torre. En Burgos..........: T). Román Martínez Móntaos, En D; Ééaito dé la Piedra* 1</t>
  </si>
  <si>
    <t>…........... D„ Francisco López Zavala. Mn Segovia...Señores viuda de Kamiro y Mesa. Mn Cuenca.......^* n. Josef EscolaryNoriega.. V,almA dex. D. Lorénza Gibcrt. Mn Palenda........ D. Marcelino de la Torre. Mn Burgos....i....... D. Román Martínez Montaos. Mn Cádiz..... ....... D.. Benito de la Piedra. Mn Canarias D, Francisco María/Herrara. Mn Málaga.......... D. Francisco Escorar* v Mn Orense.i.^."... Di. Fernando Reyv. Mn Lugo."............ D. Jos…</t>
  </si>
  <si>
    <t>Marcelo</t>
  </si>
  <si>
    <t>…Lüjsiana t grado dé 'coronel á‘ DlTOgüet PálatínO^ comandante^,del iM cér batiilon dél fisto5 de Puerto-Rico i gh do deienifeiite' coronel alcapitán dd granaderos del mismo cuerpo D. Marcelo Por rasa. Asimismo ha conferido' o. M. en érvireyhato del Pena el gobierno .político y militar de.MQXos .al coronel D. Joset Santa £ruz y Villayicencio i él.dél Callao ql ¡subinspector gene|al,de las tropas dé aquel rey no-e{ mariscal je campo 1)^ Joaquín jp la P…</t>
  </si>
  <si>
    <t>…Se sabe que «I í$delpasada salieron: al mar corsarios, déla Regencia (fe Argel en» número de tres «agitas y tres corbetas*. - &gt; . : \ Madrid $ de Noviembres . Eí día t? del pasada D. Marcelo .Sánchez Sevillano, discípulo de I* academia pública de matemáticas ,que con Reai aprobación de S. M. se llalla establecida en esta corte , calle de la? Luna , número 7, 'cuarto princi pal &gt; bajo la di récelo® de su 'catedrático D. Miguel Dolz ,/se presentóá…</t>
  </si>
  <si>
    <t>Marco, Josef</t>
  </si>
  <si>
    <t>Josef Marco</t>
  </si>
  <si>
    <t>…, Don Josef Barros, D., Alonso Butrón, D.•Felipe Saavedra, D. justo Pasalagua; p. Vicente de Mesa,D. Fulgencio Anríen, D. Josef Carreño, D Manuel. Ümendia, D. Julio Ponce de León, D. Josef Marco y.Espejo, D.^joaguin Vargas Machuca, D. Josef de la Sendéja, D. Andrés Tacón, P. Joaquín Ro dríguez de Ribera , D. Pedro Germán D. Josef de Torre Llobregat, D. An tonio Villavicencio , D. Mauricio Albert, D. Manuel Villavicencio, D. Fran cisco Fernandez dejos…</t>
  </si>
  <si>
    <t>Marconx</t>
  </si>
  <si>
    <t>…los un inventario firmado por los oficiales de artillería y de inge nieros comisionados al intento. Este depósito quedará á cargo del mayor de la artillería francesa Bergier y del capitán Marconx, nombrados por el cor mandante general de la plaza de Soissons, quienes tendrán para la custodia una guardia,de,artillería. 3.0 Los almacenes de víveres y forrages que se hallan en la plaza, se en tregarán cómo están en el dia al t ficial que designe el gener…</t>
  </si>
  <si>
    <t>Marcos, Cruz</t>
  </si>
  <si>
    <t>Cruz Marcos</t>
  </si>
  <si>
    <t>…dencio Zufriategúi , ayudante mayor del mismo cuerpo, y D. Baltasar Villalobos &gt; teniente de la compañía fija de dragones del presi dio del Carmen en Nueva-España. ;■;&lt; Teniente á D. Cruz Marcos dé Dólagaráy, subteniente del batallón de vo luntarios de Madrid, qtie esistia en Montevideo. Igualmente ha concedido S. M. hóriióres de intendentes de egército á ios de provincia D. Domingo Torres y D. Josef Gómez Liaño, y de comisario ordenador á D. Francis…</t>
  </si>
  <si>
    <t>Marcos, Narciso</t>
  </si>
  <si>
    <t>Narciso Marcos</t>
  </si>
  <si>
    <t>…por la felicidad de sus vasallos. * El Rey se ha servido nombrar para los arciprestazgos de Burgos y Si los que se hallan vacantes por fallecimiento de D. Pedro Vicente Berrio yde D. Narciso Marcos, á D. Francisco Barrio, con dimisión dé la canongía que'obtiene en la iglesia colegial dé San Quirce de aquel arzobispado: párá.la prestaméra dé la villa de íá Frontera, vacante por muerte de Don Joaquín Canosa, y la de la villa de Alconchel, qué fo está por…</t>
  </si>
  <si>
    <t>Mareli, Francisco</t>
  </si>
  <si>
    <t>Francisco Mareli</t>
  </si>
  <si>
    <t>…Morales, D. Joaquín Soravilla , D. Francisco,Mora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 los sargentos primeros D. Juan Pedro Boullu, D. Miguel Campillo, D. Juan López, D. Manuel de Pedro, D…</t>
  </si>
  <si>
    <t>Marensein</t>
  </si>
  <si>
    <t>…por medio de la rapidez y atrevimiento, k&gt; que determinó ai general Vallesteros; teniendo á la vista estos objetos interesantes, y para trastornar todo plan de Soult, á ata car al general Marensein en su ventajosa posición de Cártama, guarnecida de infantería y caballería escogida , sin embargo de hallarse situado en una lla nura, y lo verificó dejando á su espalda una línea de-plazas y. puntos forti ficados por el enemigo ; siendo, Señor, un ataqúe tan…</t>
  </si>
  <si>
    <t>Marescaíchi, Cários</t>
  </si>
  <si>
    <t>Cários Marescaíchi</t>
  </si>
  <si>
    <t>…xtraordinario de S. M. el emperador de Austria cerca de la Santa Sede : el arzobispo Gio; Marcheti; el conde De-la-Tourdupin, embaxador extraordinario en el con greso de Viena: el conde Cários Marescaíchi, gentilhombre del emperador de Austria, con su esposa y con la duquesa Daberg: los señores conde Manfredi, secretario de embaxada de S. M. cerca de la Santa Sede : Hendrik Vankempen, capitán de navio holandés, cónsul en Trípoli: Loeben, austríaco, coronel de…</t>
  </si>
  <si>
    <t>Marescot</t>
  </si>
  <si>
    <t>…ndréis que defender á Dantzlck; pero cuento con vos.”__ Al mariscal Serrurier: ,, Creo mariscal que esteis con tento con los inválidos: estos antiguos soldados serán fieles.”__ Al general Marescot: ,, General, la opinión que tengo de vuestros sentimientos está fundada sobre los de mi mas profunda estimación.” El embaxador de las Dos Sicilias entró después. Su voz excitó la mas viva y profunda conmoción, y en todos los puntos de palacio y del jardín no…</t>
  </si>
  <si>
    <t>Marga, Juan Josef García</t>
  </si>
  <si>
    <t>Juan Josef García Marga</t>
  </si>
  <si>
    <t>…para el de S. Salvador de Nocedo v á j£&gt;.j Diego, Villar y Tenreiro , abad de Santa María de^Castromao, en el mismo estaco y diócesi de Orense, para el de S. Andrés deGuillamil: á D. Juan Josef García Marga lio.-, cura párroco, del lugar de Navascurial en el eftado "secues-y irado de Piedrahita y obispado de Avila, para el de S. Martin de Aguis: ^ D: Pedro Al varea, abad de Santa María de Fumáces, en el obispadoi~' Orense y estado de Monterey, para el de Santo.…</t>
  </si>
  <si>
    <t>Margallo, Juan Josef García</t>
  </si>
  <si>
    <t>Juan Josef García Margallo</t>
  </si>
  <si>
    <t>…iácono, natural de Villamayór de la Boullosa,dió¿ cesis de Orense; y para el curato del lugar de Navascurial, en el estado de Piedrahita, diócesis dé Avila, vacante por ascenso de D. Juan Josef García Margallo al de S. Martin de Aguis, en ei obispado de Orense, á D. Manuel Benito Alvarez, presbítero, residente en la parroquia de Sardonia, dió cesis de Tuy. Al mismo tiempo que el Rey nuestro Señor se ha servido admitir el do nativo de 913 fanegas de toda especie de…</t>
  </si>
  <si>
    <t>María</t>
  </si>
  <si>
    <t>…derechos del trono cón admiración-y gloria del nombre españoL" £1 dia 23 de Diciembre último falleció en lá ciudad de Zaragoza á los 39 años , 7 meses y 12 dias de su edad la Sra. Doña María de la Consola* cion Azlor y VJIJavicencio, condesa viuda de Bureta» y al tiempo de su fallecimiento casada con el Sr. D. Pedro María Ric, barón de V aleteóla vos, regente de la Audiencia de Aragón, y ministro honorario del Real y su premo Consejo de Castilla.…</t>
  </si>
  <si>
    <t>…^ &gt;n\i or z w.:&gt;s;s¿:í au ¡ib Por el presente se cita ¿Jlamn y? emplaza: áblasípersonal que, se oontemplencon . derechoJr los bienes quedados por' élr^&amp;ljécimientb abintestat^ dje Doña María¡An tonia Uifupja, viuda que jFu$ide^Dc Juaq de I bar,. para que-en el términ^de 3 0 d¿as acudan á deducirle ante el Sr.jD. I.etm-.-de 'Ja; CámaraCano, del eonsejo de S. M., primer teniente corregidor de esta heroyea villa, y escribanía del número , quc en vir…</t>
  </si>
  <si>
    <t>Máría</t>
  </si>
  <si>
    <t>…otros 6© á pagar den-? tro de seis meses; D. Antonio Ramírez de Sevilla, vecino; de Lupion, en el reino de Jaén, .dé 47$ rs.; yñ. que adeuda.,(de suministros hechos á las tronase Doña Máría ;de, la CpncepciqnGonzalezde -Avellaneda , cqndesa del Valle de S. Juan ,• de 28564 rs. y 32 mvs. vn. á que asciende el rédito_que se la de-*be de unas imposiciones: D. Juan Adan Trugillos,. alcalde mayor de la ciu dad de Caiatayud; dé 1® rs. vn.; y una perso…</t>
  </si>
  <si>
    <t>…pnes á una de las huérfanas de los militares ó patriotas que hubieren muerto en defensa dp la justa causa de la nación, ha cabido en suerte del primer estracto de la.de este dia á Doña María de los Dolores Cevallos Escalera, hija del teniente cor* ronel D. Rafael, muerto en el campo del honor. La estraccion siguiente se egecutari el 21 de Agosto próximo». / ARTICULO DE OFICIO. Circular del ministerio de IIácr:nda* El Rey nuestro Señor, que no pue…</t>
  </si>
  <si>
    <t>…en la gaceta, como se hizo llamando á D. Francisco y D. Antonio García Mayor de Londoño, á sus hijos y descendientes nombrados para suceder en el vín culo después de la muerte de Doña María de los Dolores García Mayor de Londo-* fío, ya difunta, para que acudiesen al referido juzgado y autos á deducir su derecho con ia debida justificación; y como no lo hayan verificado hasta ahora se ha libra do nuevo exhorto con fecha de 28 dé Junio, que se ha…</t>
  </si>
  <si>
    <t>María, Angel Santa</t>
  </si>
  <si>
    <t>Angel Santa María</t>
  </si>
  <si>
    <t>…y los oficiales siguientes: el teniente de fragata graduado D. Francisco Guiral, el alférez de navio é ingeniero de la escuadra IX Vicente Sánchez Cerqüero, el teniente de brulot D. Angel Santa María y el guardia marina D. Manuel Salas, y de egér cito el subteniente de la Union lX Ramón Abois, los que Hasta el último mo mento se mantuvieron con una serenidad y valor sin egemplo; ó infatigables y llenos de un zelo extraordinario animando á los pocos que qu…</t>
  </si>
  <si>
    <t>María, Antonio</t>
  </si>
  <si>
    <t>Antonio María</t>
  </si>
  <si>
    <t>…. Josef Co nejo, D^Ramon Agón', D. Manuel -Gá'stambide , D. Juan Palomero , D. Ra^ mon Oleína, D. Fernando Belarde,;D. Miguel Almagro, D. Manuel Ovan do , Ds. Bartolomé González , D. Antonio María; Mvuñoz , , Dr Miguel María Muñoz V D. Josef Sancliez, D. Mánüel Áranda ^A?tóiiiqfCpuxYlU^»inl^l</t>
  </si>
  <si>
    <t>…dida por él señor alcalde de corte y de dicho cuar tel D. Joaquín Sistemes, del consejo de S. M., en la que se cantó con ia mayor solemnidad- una misa por su diputado eclesiástico D. Antonio María ¡«dé Bustiq y Yéla&lt;; haciendo mas vistosa y plausible esta función la asistencia de la música’ del regimiento de la Corona, que con la mayor generosidad franqueó su coronel O. Pió Falces. Concluida la misa se dirigió lá diputación téh oueppó/precedida de las…</t>
  </si>
  <si>
    <t>María, Bernardo</t>
  </si>
  <si>
    <t>Bernardo María</t>
  </si>
  <si>
    <t>…o Víctores á D. Julián Nicanor Recuero, capellán párroco del cuarto escuadrón de artillería ligera; la ración de la misma iglesia que ha vacado por muerte de D. Pédro Perdiguero á D. Bernardo María dé Ho mar; la canongía vacante en dicha catedral por promoción de D. Antonio Vidaurreta al aeanato de Almería á D. Severo Alonso Carrasial, cura pár-r» roco de Sta. María del Templo de la villa de Villalpando, en el obispado de . León , y la capellanía del nu…</t>
  </si>
  <si>
    <t>María, Cáríos</t>
  </si>
  <si>
    <t>Cáríos María</t>
  </si>
  <si>
    <t>…resentada en el coliseo del Príncipe. Vén dese á 4 rs. en las librerías de Rodríguez y Matute, calle de las Carretas, y en la de Villa, plazuela de Ste. Domingo. Retrato dd Ssrmo. Sr. D. Cáríos María, Infante de España, pintado por Don Vicente López, pintor de cámara de S. M., copiado por D. Antonio Guerrero, y grabado por D. Manuel Alrgre, de igual tamaño al del Rey nuestro Señor Don Fernando vrr ya publicado anteriormente. Ambos se venden en el almacén…</t>
  </si>
  <si>
    <t>María, Carlos</t>
  </si>
  <si>
    <t>Carlos María</t>
  </si>
  <si>
    <t>…igual eri la memoria de los tiempos; ¿qué no harán cuando sepan que • V. M. se ha dignado darles por protector de la universidad literaria de Zaragoza á su augusto Hermano el Sr¿ D. Carlos María , al imitador dé to das sus virtudes y bondad, al Compañero inseparable en sus desgracias, yál objeto mas tierno de su amor fraternal? Ufanos de tener al frente de sus estü^ dios generales un Príncipe tan escel'Só y generoso , como amanté de las cien cias y d…</t>
  </si>
  <si>
    <t>…instancia del colegio mayor de. Santa María de Jesús,, universidad de la ciudad de Sevilla, nombro para protector de este establecimiento litera rio á mi augusto y amado. Hermano D. Carlos María , no dudando que em pleará todo su zelo en su prosperidad y lustre. Tendreislo entendido y lo comunicareis á quien corresponda. Continu tcim dé las gracias concedida-s por S, M, en los Reales cuerpos de Artillería í Ingenieros en él memorable dia dé S. Fernan…</t>
  </si>
  <si>
    <t>María, Cirios</t>
  </si>
  <si>
    <t>Cirios María</t>
  </si>
  <si>
    <t>…ndado en ellas , y que se pasasen á la Cámara para que se hiciesen presentes en ia misma. Al propio tiempo se acudió al referido mi Consejo á nombre de mi amado Hermano el Infante D. Cirios María, exponiendo que por la citada Real orden de 20 de Febrero último me había dignado resolver se le considerase exento de las restricciones pre venidas en la Real Cédula de 15 de Setiembre último con respecto á los de rechos jurisdiccionales que fueron incorpora…</t>
  </si>
  <si>
    <t>María, Joscf</t>
  </si>
  <si>
    <t>Joscf María</t>
  </si>
  <si>
    <t>…ualquier universidad aprobada en estos reinos. " Por providencia de los señores del Real y su premo consejo dé Castilla; y su sa la de Mil y Quinientas, ie cita, llama y emplaza i D. Joscf María fiuenorya y Don</t>
  </si>
  <si>
    <t>María, Josef</t>
  </si>
  <si>
    <t>Josef María</t>
  </si>
  <si>
    <t>…los sentimientos de lealtad y amor á su Real Persona que le han manifestado D. Josef Verges Rodríguez de Ribera, caballero de la Real y distinguida orden de Car los ni , y su hijo D. Josef María, que po satisfechos con haber dexado á favor de la Real Hacienda durante la pasada guerra cerca de 12® reales que produce anualmente la prestamera que disfruta este en ja iglesia parro quial de S. Miguel de la vi la de Mui?, Obispado de Cartagena , deseoso de…</t>
  </si>
  <si>
    <t>María, Josef López Santa</t>
  </si>
  <si>
    <t>Josef López Santa María</t>
  </si>
  <si>
    <t>sutura vacante por promoción de D. Josef López Santa María al dea nato de la misma, á D. Pedro Esteban Gómez, cura párroco de la villa de Almaluez en la misma diócesis: para otra canongía de la misma catedral, que resultará vacante por promoción de D. Andrés Esteban Gómez al obispado de Ceuta, á D. Juan Luis Barbajos…</t>
  </si>
  <si>
    <t>María, Juan</t>
  </si>
  <si>
    <t>Juan María</t>
  </si>
  <si>
    <t>794 te para fomentar la educación de los niños y la aplicación de los artistas. Había precedido á esta ceremonia el certamen público en que los maes tros de primeras letras D. Juan María y D. Félix Carrion presentaron 41 alumnos á la censura de la sociedad y del público; y aunque todos dieron testimonios de sus adelantamientos en leer, escribir, catecismo, aritmética y ortografía castellana, fueron premiados con medallas de oro y plata como los mas sobresalient…</t>
  </si>
  <si>
    <t>María, Luis</t>
  </si>
  <si>
    <t>Luis María</t>
  </si>
  <si>
    <t>…o. Tendreislo entendido, y lo comunicareis á quien cor responda par'a su cumplimiento. = Está rubricado de la Real mano. = Dado en mi Palacio1 de’ Madrid á 26 de Agosto de 1815.=A D. Luis María dé Sala¿á3rí”' '''•1 ' 1 ‘ ; - ■ ’'!_■ \ , (Circular del Ministerio dé Hacienda. Por el'Ministerio de Hacienda con fecha de 6 del corriente se nos ha co municado la Real orden que signe: „Con esta fecha comunico al Teso-tero general la Real orden siguiente: E…</t>
  </si>
  <si>
    <t>María, Manuel</t>
  </si>
  <si>
    <t>Manuel María</t>
  </si>
  <si>
    <t>…amiento de Escelencia al ayuntamiento en cuerpo de la ciudad de S. Juan Bautista de Puerto-Rico. Honores de oidor de la K.eal, audiencia de Cuba á D. Francisco Marcos Samadla, y á D. Manuel María. Figuera, fiscal de Real hacienda de la Ha vana. : . / Por el ministerio de Hacienda. ■ - ’ * . • Honores del consejo de Hacienda al marques de Fuerte Gollano, minis tro de la cámara de Comptos Reales de Navarra. Honores del tribunal de Contaduría mayor á IX…</t>
  </si>
  <si>
    <t>María-, Carlos</t>
  </si>
  <si>
    <t>Carlos María-</t>
  </si>
  <si>
    <t>727</t>
  </si>
  <si>
    <t>…ión v decorando la fachada ; de jsu easa propia con la posible .brilla rítese iluminación y música delante del.JetrátoCdé^S^M.yfofreciendo^por ntedio de S. JV. R.! el Sr.; Infante D. Carlos María-, hermano mayor ¡•de ia nilsma maestranza, un donativo de 20© reales para los gastos del egército, queS. Mí lia admitido con particular agradó , mandando se aplique esta cantidad ajtaá importante objeto , y que se publique en 14 gaceta esta verdadera demostra…</t>
  </si>
  <si>
    <t>Mariano</t>
  </si>
  <si>
    <t>…ica aplicada á la agricultura; y el de la aplicación de esta misma cienqia: á la medicina j debiendo ser-desempeúada* estas tres cátedras: la primera p^r el encargado del} lar dio D. Mariano _XaW Gasea*, la segunda, por D. AritoóÍQ¡ SapdaUo de Áriási y Costa; y por Don Vicente Soriano, catedrático de botánica: en Valencia, la última á la ex^ periencia del. zelo^ y aplicación de estos profesores en el desetripeño de sus respectivas cátedras, quier…</t>
  </si>
  <si>
    <t>Mariasi</t>
  </si>
  <si>
    <t>…6® hombres. También ha pasado un gran tren de artillería con muchas municiones de guerra y bagages austríacos, y ademas varias divisiones de infantería húnga ra á las órdenes del general Mariasi. Parece que trata de establecerse en Suiza el general Rapp,á quien el Rey de Francia acaba de dar lisonjeras muestras de estimación por la conducta leal que ha observado en el egércíto del Rhin. Lausana 17 de Octubre. Los cuatro regimientos suizos que estuvie…</t>
  </si>
  <si>
    <t>Marín, Francisco</t>
  </si>
  <si>
    <t>Francisco Marín</t>
  </si>
  <si>
    <t>…Madrid 20 de Setiembre.de 1815. Con fecha de 7 del corriente se ha dirigido á la Cámara el Real decreto siguiente: „Teniendo en consideración el mérito y distinguidos servicios de D. Francisco Marín, ministro de mi Consejo Real, y deseando dar un pú blico testimonio desaprecio que me merecen, y asimismo indemnizarle de • los perjuicios que le ha ocasionado el procedimiento contra su persona, que ha resultado exenta del menor cargo , ne venido en nombrarl…</t>
  </si>
  <si>
    <t>…jpdtjj., Ju^rn Ignacio de Ay estarán;, Secretario del¿ B.Ey nuestro Señor , ía | hice escribir p9* su mandado» == El Duque del Infant3do. =D. Domingo Fer.nandez de¡ Campománes.=r D. Francisco Marín. D. Jadeo Gómez, ar D.¡Manuel 1 de Torres; se Registrada ,' Aquilino Escudero. .s= Teniente de Canciller mayor, Aquilino Escudero. ' k : i , ■ - .1; No habiéndose pres,en|ad^ cÚ. l^iDífeccion/g¿neíál de Rentas al remate</t>
  </si>
  <si>
    <t>…iciembre de t8i). = YO EL REY. = Yo Don Juan Ignacio de Ayestarán, Secretario del Rey nuestro Señor, la hice escri bir por su mandado.=rEl Duque del Infantado. = D. Tadeo Gómez. = Don Francisco Marín. =±D. Manuel de Torres. = D. Ramón López P¿legrin. = Re gistradas Aquilino Escudero.—Teniente de Canciller mayor, Aquilino Es cudero. En virtud de providencia del Sr. D. León de la Cámara Cano, dei consejo de S. "M., teniente primero de corregidor efe esta he…</t>
  </si>
  <si>
    <t>Marín, Josef</t>
  </si>
  <si>
    <t>Josef Marín</t>
  </si>
  <si>
    <t>…D. Angel Póns, D. Rafael Martínez, D. Josef Caballero, D. Josef Góózalez^B. Manuel Aguí rre , B. Josef Muñoz ,D* Juan Paredes y D. Andrés Leqnor. Grado Je capitanes ádos tenientes D. Josef Marín, D. Josef Alcázar, Dr Josef de Castro, D. Pascual,Atiza , Dv Víctor Conegero, D. Cristóbal Dávtk:, D. Ladislao Luco , D. Juan Enébuisen, D. Juan Piich, D. Mariano Al-* dama, D. Pablo Estogui, D. Policarpo Aldama, D. Josef Guerrero , D. Jo^.ef Torrubiai, Di Ga…</t>
  </si>
  <si>
    <t>Marín, Juan Yarza</t>
  </si>
  <si>
    <t>Juan Yarza Marín</t>
  </si>
  <si>
    <t>…gratos le eran los esfuerzos de sus vasallos dirigidos al bien y engran decimiento de la naden. ARTICULO DE OFICIO. El Rey se ha servido nombrar para el corregimiento de Ledesma á Don Juan Yarza Marín: para e! de Illéscas á D. Isidro Preciado: para el de Bae-. xa á D. Vicente Ximenez Granados: para él de Orense á D. Vicente Pedio Rebollo: para el de Bilbao z D. Antonio Apellan!?, oidor de la, chan-, ciMéría dé Váíladolid: para el dé Guipúzcoa á D. Ramón Ma…</t>
  </si>
  <si>
    <t>Marín, Julián Ruia</t>
  </si>
  <si>
    <t>Julián Ruia Marín</t>
  </si>
  <si>
    <t>…de la cámara, Honores de alcalde del crimen de la chancillería de Valladolid: de alcalde.del crimen de la de Granada á D. Ignacio Mariano de Mendoza, alcalde mayor de Murcia* y á D. Julián Ruia Marín , alcalde mayor de Ubriquei , En atención á los méritos y particulares; servicios de D, Manuel Antonio de Echevarría, D. Ramón Alaasoro, D. Andrés Ibañez y D. Ramón Queraltó j ha tenido i bien S. M. nombrarles al primero para la intendencia del egército de op…</t>
  </si>
  <si>
    <t>Marín, Julián Ruiz</t>
  </si>
  <si>
    <t>Julián Ruiz Marín</t>
  </si>
  <si>
    <t>…el Duque á D. Eugenio JavaIquinto; para la de Calahorra en Granada á D. Miguel de Lerin Braca monte: para el corregimiento de Reynosa á D. Josef Hervás: para la vara de Ubrique á, D. Julián Ruiz Marín: para la de Oiiva á D. Josef Fernandez Villamil: pa- , ra la ce Villafranca del Vierzo á D. Antonio Piernas : para la dé Rivadavia á D. Martin Rodríguez Ojea: para la de la Rambla á D. Antonio Hermida , Bascoas: para la de Belmonte á D. Josef Sánchez Cueto: p…</t>
  </si>
  <si>
    <t>Marín, Raimun do</t>
  </si>
  <si>
    <t>Raimun do Marín</t>
  </si>
  <si>
    <t>7X9 Josef Saavedra , D. Maimel del Barrio, D. Bartblómd Labrador, D. Raimun do Marín, D. Josef Fernandez de los Muros, D. Fernando Plaza, D. Isidro Cifuentes, O. Antonio Montesinos, D. Lorenzo García, D. Miguel1 Blanco* D. Francisco Sancha, D.-AntonioEstevezyD; Ildefonso Mansilla, D. Gre-f gOrio Pieoir, D. Cristóbal Bermejo ,D. Francisco Lópe…</t>
  </si>
  <si>
    <t>Marín, Rodrigo</t>
  </si>
  <si>
    <t>Rodrigo Marín</t>
  </si>
  <si>
    <t>…. Capellanía de Dóqa Bernarda García Dueñas. Tercera párr te un molino harinero en,lá Vega. , Capellanía de D. Francisco de Ortega. Una hacienda de riego en Benádüx. Capellanía de D. Rodrigo Marín de la Ala. Dos bancales de tierra en id., Vega, Viator, Capellanía de D. Miguel Mendez y Doña Catalina Bascas. Cinco casas pequeñas frente del hospital , Almería'. Séptima s parte de los bienes del convento de , monjas de lá Concepción de Almería. Un pedazo d…</t>
  </si>
  <si>
    <t>Marín, Sabas</t>
  </si>
  <si>
    <t>Sabas Marín</t>
  </si>
  <si>
    <t>…Zarate, D. Josef Odriozola, 0. Pe dro Fuenmayor, p. Juan de Dios Gil de Lara., D. Anastasio Navas, Don Manuel Rodríguez, 0. Fernando López, 0. Juan Sénovilla, 0. Santiago Pereira, D. Sabas Marín, D.1 Manuel dét Castillo * 0 Juiuin Benita,' 0. Jñari González deL Castfllo, D. Francisco Jouy D- Juan Alaminos#, D* Pedro Gar cía ,JX Juan" Sánchez Illescas-, D. Antonio González.* 0.' ManueL de las Ríos, D. Juan López , 0. Luis Rodríguez , 0« Manuel Ravaner…</t>
  </si>
  <si>
    <t>Marina, Juan de Mata</t>
  </si>
  <si>
    <t>Juan de Mata Marina</t>
  </si>
  <si>
    <t>…riano dél Puk ar, D. Josef Arias Saavedra, 0. Antonio Hoscoso , Salvador Moreno* Vicente Vázquez, D. Tomas Dolagaray, D. Silvestre Blanco , D.&lt; Pedrof Valera, D. Santiago Piñeiro, D. Juan de Mata Marina, 0. Fernando Ruiz&gt; 0, Fulgencio de Toro, D. Andrés Costa, 0.: Manuel Guillelmi ;0.^Jüañ Pé rez Dd vi la, 0. Antonio Primo de Ribera, D. Miguel Coca ySandovalt0bn Juan Pernee de León, 0. Juan López Pinto , 0. Eusebio Martínez* 0* Fran* cisco Bedoya, D. Sebasti…</t>
  </si>
  <si>
    <t>MarkofE</t>
  </si>
  <si>
    <t>…atro cañones.. . i . ■.»; ...• &gt; v; Ouinto cuerno de egército, general Lacketl._ 12.* división de infantería;*■ 1 u ' u general el conde Woronzóff.-i-15 .a división id.,í teniente general MarkofE— 26.a división id., general Emme._-2.a de dragones, el general RosíL — Ciento veinte piezas de artillería. Este cuerpo forma el centro , y marcha por Bamberg sobre Oppenheim, el cuartel general marcha con.ellos. Sesto cuerpo de egército , general coirde Lauge…</t>
  </si>
  <si>
    <t>Marley</t>
  </si>
  <si>
    <t>…tamf* bien,sil retirada con mucha perdida. El capitán Btacfcney que lo mandaba y su segundo fueron también muerfÓS*—- Con esta noticia ¡re pusieron en mar cha todas ks tropas del general Marley , y «e cree que el enemigo se retirará al otro lado de los pantanos.” ■ ■ — , ‘ - FRANGÍA., ,, , p, :&gt;-7 ' París 21 de Agosto. ■ . El mariscal Ney ¡legó ayer a esta capital escoltado por dos oficiales de ta gendarmeiía que le acompañaban en el coché. Se han c…</t>
  </si>
  <si>
    <t>Mármol, Rafael del</t>
  </si>
  <si>
    <t>Rafael del Mármol</t>
  </si>
  <si>
    <t>…te en dicha iglesia metropolitana por muerte de D. Julián García de Paredes, á D. Francisco Calvo Ruiperez; y para una media ración de esta propia igle sia , vacante por muerte de D. Rafael del Mármol, á D. Josef Larena. El Rey nuestro Señor se ha dignado conceder grado de coronel de exército al teniente coronel D. Msteo Ballesteros, comandante del tercer batallón del regimiento infantería de Buenos-Ay res, agregado á la expedi ción del Rio de la Plata: id…</t>
  </si>
  <si>
    <t>Marmont</t>
  </si>
  <si>
    <t>…ace á la acción de Coin , en el plan de la campaña abierta por el general Vallesteros para llamar hacia sí todas las fuerzas de las Anda lucías , é imposibilitarlas de auxiliar al mariscal Marmont en la batalla que este- perdió de los Ara piles, entró como uno de los golpes decisivos de ella atacar y batir á Levajl, que mandaba las fuerzas del reino de Granada , y para ello marchando de noche desde Monda batió al amanecer del dia siguien te las que ten…</t>
  </si>
  <si>
    <t>Maroto, Antonio García</t>
  </si>
  <si>
    <t>Antonio García Maroto</t>
  </si>
  <si>
    <t>…iglesia; y esta 'canongía á D. Juan García Beltran, cura párroco de la iglesia de S. Esteban de aquella ciudad: otra canongía de la propia iglesia catedral, vacante por muerte de D. Antonio García Maroto, á D. Matías González, teniente cura de palacio, nombrado anteriormente para una canongía de Orense; y la me dia-ración vacante en la misma iglesia por fallecimiento de D. Estéban Duran á D. Estéban Cayuela, con retención del beneficio de Beceite que obtiene…</t>
  </si>
  <si>
    <t>Marques</t>
  </si>
  <si>
    <t>…cie én los periódicos, comparezcan en el juzgado de su secretaria y es cribanía citada de provincia á deducir las acciones que les competan en la deman da que ha introducido dicho señor Marques sobre la legitimidad de tres vales Rea-' les de á 300 pesos cada uno de la creación de Mayo de 1808, que tiene reclamados; con apercibimiento que pasado dicho término sin haber comparecido, se tomará la providencia qué correspónda contra los bienes de cada un…</t>
  </si>
  <si>
    <t>Marqués</t>
  </si>
  <si>
    <t>…zcan con poder bástante y por medio dé procurador en la audiencia de S. S. por la presénte escribanía, á deducir las razones qué les asistan en la demanda que ha introducido dicho Sr. Marqués 4éobre la legi timidad de tres vales Reales de á 300 pesos que tiene reclamados; con apercibid miento.que pasado dicho término sin haber comparecido se tomará la. providencia que corresponda contra los bienes de cada lino de ellos, y lcspararáel perjuicio que…</t>
  </si>
  <si>
    <t>Marques, Diego Josef</t>
  </si>
  <si>
    <t>Diego Josef Marques</t>
  </si>
  <si>
    <t>…pellán del regimiento de infantería voluntarios tiradores de Cádiz. = La ca nongía que resulta vacante en la iglesia colegial deí Salvador de la ciudad de Sevilla por promoción de D. Diego Josef Marques á una media-ración de la catedral de la misma á D. Josef Ruiz Carrer en premio de su lealtad y pa-r triotismo.=Una canongía vacante en la catedral de Segovia,que obtuvo Don Lucas. Orejas, á D. Juan Manuel de Murilio , cura de la&gt; parroquial de Zamarrainala ,…</t>
  </si>
  <si>
    <t>Marques, Vicente</t>
  </si>
  <si>
    <t>Vicente Marques</t>
  </si>
  <si>
    <t>…no' Espinosa é hijo á favor de ios mismos: 167008, endosado.cn 8 de Agosto último por D. J. Y. Sagrista y Soler ¿ favor de los mismos: 14418b, endcsádB'en 25 de Octubre último por D. Vicente Marques á los dichos señores: 174948 , endosado en dicho dia último por D. Juan JDorda á favor de los dichos señores; y 185643 . endosado en 13 de Setiembre último por los Sres. Mallen¿ Salvoi y compañía á los mismos. Y no habiéndolos recibido los indicados Sres. Arx…</t>
  </si>
  <si>
    <t>Márquez, Fernando</t>
  </si>
  <si>
    <t>Fernando Márquez</t>
  </si>
  <si>
    <t>…ttens, de Sevilla; D. Rafael de Góngora y Delgado; Do* Ignacio Casal ; D. Andrés Marzan; D. Pedro Martínez Lozano; D. Rafael Ignacio Fañtohfip D/"Joaquín dé la Barrera y Cuadra, y D. Fernando Márquez de la Plata, i fin de que los qué*$e’contemplen con algún derecho al citado vale comparezcan por sí ó por medio de sus respectivos apoderados á deducirle con las formalidades que se requieren en el término de go días , contados desde el 2.0 del corriente, ai…</t>
  </si>
  <si>
    <t>Marr</t>
  </si>
  <si>
    <t>…urgos por muerte de D. Diego Bernar do de Oruña á D. ífélix Rojo, fiscal eclesiástico del mismo arzobispado;; la que ha resoltado vacante en la propia metropolitana por ascenso de D. Marr tin Ramírez de la Piscina á la abadía de la colegiata de Alfaro á D. Manuel Hercilla , y la ración que. ha vacado en dicha iglesia por promoción de Don , Casimiro Mendez al beneficio simple servidero de S. Patrjqio de Loica, y al de la parroquial de S. Mateo,…</t>
  </si>
  <si>
    <t>Marrinddt</t>
  </si>
  <si>
    <t>…cias recibidas esta semana acerca de las operaciones tdel epicub qiie inandatí lés-gene rales, Maftiijdelt, Wood y Mar ley contra el Napaul, son poco favorables___ La división del general Marrinddt, qué se haKaba en las inmediaciones de Nahun, había destacado dos columnas el. 16 de Enero; la una mandada por el mayor Ludlow, avan zó siete millas, y habiendo sido atacada, tuvo que retirarse después de ha ber consumido todas sus municiones, sin poder,recib…</t>
  </si>
  <si>
    <t>Martena, Joaquín</t>
  </si>
  <si>
    <t>Joaquín Martena</t>
  </si>
  <si>
    <t>…ta corte con tienda de barbería, se presentarán en el preciso término de ocho dias de once á una de su mañana en casa del hermano mayor de la congre gación de S. Cosme y S. Damian D. Joaquín Martena, cirujano de familia ae S.'M. * subida de S. Martin, num. 2 , cuarto principal , en los dias que no sean festivos para hacerles saber una orden que se ie ha comunicado: y que todos los barberos de portales, tiendas y demás en los mismos ocho dias de este avis…</t>
  </si>
  <si>
    <t>Martí, Francisco de Paula</t>
  </si>
  <si>
    <t>Francisco de Paula Martí</t>
  </si>
  <si>
    <t>…n la calle del Turco , casa que fue almacén de cristales* cuyo establecimiento está ai cuidado de la Real Sociedad económica de Ami gos del País de Madrid, y bajo la dirección del profesor D. Francisco de Paula Martí. Los que quiéran instruirse en este arte acudirán á matricularse á dicha Real escuela; pero se advierte que han de saber gramática castellana ó latina., y escribir de corrido, y han de llevar el arte de Taquigrafía que se enseña én esta .escuela. . Eí ¿omisar…</t>
  </si>
  <si>
    <t>…os escribiesen en el encerado cuantas cuestiones tuvieron, á bien proponerles, dando las convenientes es piraciones. El Sr» presidente dió gracias á la concurrencia por ella, y al profesor D. Francisco de Paula Martí por su esmero en la enseñanza, ani mando al /mismo tiempo á Iqs discípulos á la continuación y aprovecbamieiíto de sus estudios, y á todos á la de sus tareas en beneficio público, con lo que se disolvió la junta. ARTICULO DE OFICIO. ' Circular del ministerio…</t>
  </si>
  <si>
    <t>Martí, Josef</t>
  </si>
  <si>
    <t>Josef Martí</t>
  </si>
  <si>
    <t>…lería í Ingenieros en él memorable dia dé S. Fernando, . ' En el Real cuerpo de Artillería.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t>
  </si>
  <si>
    <t>MartiH</t>
  </si>
  <si>
    <t>…sto y dictámen general de ellas mismas la elección de su idiseño y' dimensiones. , ~ / v, -mí •. ' !» ;J ir '•* •- .1 ' En 18 de Noviembre de 1812 salió1 de Cádiz * para Baltimore D. MartiH* de Triarte, en la Clase de capitán y piloto de lá golétá mercante S,. Antonio,' alias la Serafina , de la prbpiedad á T)L: Añtónib ^Figüéroa,, eñ cúVá desgracia da hávegácipíi , faltando los víveres , filé víctima sacrificada ál hambre de los1 individuos de…</t>
  </si>
  <si>
    <t>Martin</t>
  </si>
  <si>
    <t>…as de la costa de Francia anuncian que todos los ministros extrangeros que habia en París han salido para residir cerca de Luis xvm, que se cree no tardará en ir á Amsterdam.___El almirante Martin debe salir á to mar el mando de una esquadra, que á la embocadura del Escalda favorezca las operaciones del duque de Wellington. Idem 4. El i.°del corriente llegó á Douvres un oficial francés con pliegos para el embaxador de S. M. Cristianísima cerca de la co…</t>
  </si>
  <si>
    <t>…ociedad, que dan una idea exacta del estado actual de los establecimientos fundados para su dirección. La escuela establecida en la iglesia del colegio de Lisieux, dirigida por el profesor Martin, cuenta ya cerca de 140 discípulos. Treita y seis niños que había enviado allí la duquesa de Duras para instruir se en el nuevo método, han salido ya para formar una nueva escuela esta blecida por esta respetable señora. El número de los individuos de la soci…</t>
  </si>
  <si>
    <t>Martin, Angel</t>
  </si>
  <si>
    <t>Angel Martin</t>
  </si>
  <si>
    <t>…ejo., del Batallen de Urbanos de la misma: al de Subtenientes á los Sargentos Ó. Francisco Ca lleja, JD. Isidro Cifuentes, y D. Manuel Lozano., det Real Cuerpo"de Arti llería; y á D. Angel Martin , E&gt;. Cayetano del Cás.tiliío, D. Josef Quenedí, D. Basilio Moran, D. Agustín Santero, y D. Josef Mediero, del Regimien to de Voluntarios de Avila; y asimismo se ha dignado S. M. conceder una Cruz pendiente del ojal de la casaeq con una cinta morada, la qual…</t>
  </si>
  <si>
    <t>Martin, Cristóbal</t>
  </si>
  <si>
    <t>Cristóbal Martin</t>
  </si>
  <si>
    <t>…Noguera, D. Josef Zoyíó Calvo, D. Manuel García y D Vicen* te Salvador; y á los del Cuerpo de urbanos de la ntisaia plaza de Ciudad-* Rodrigo D. Eulogio González, D. Manuel Lúeas, D. Cristóbal Martin, D. Joaquín Serrano y D. Amonio Pinalero2.a Enterado el Rey nuestro Señor del mérito que contraxo la División expedicionaria del mandó del Mariscal de Campo D. Juan de la Cruz Mourgeon en la reconquista dé Sevilla , verificada el día tj de Agosto del año de 1…</t>
  </si>
  <si>
    <t>Martin, Estéban Sánchez</t>
  </si>
  <si>
    <t>Estéban Sánchez Martin</t>
  </si>
  <si>
    <t>…Juan Manuel Maurat y D. Benignode Rodenas. .. Grado de comisario de guerra al oficial primero D. Juan del Pico. • „Jiscenso X oficiales primeros á los segundos D. Juan de Sierra, D. Estéban Sánchez Martin, D. Agustín Perez de Lérma, D. Gregorio La Bustay p, Gabriel Azpilcueta , D. Josef Alfonso' Pantoja, D, Félix Ramo, D. Alejo Bada y D. Manuel Gómez. Bo res., r . ' ’ . . Ascenso ,á oficiales segundos á los terceros D. Prudencio María Piohai*do,' Po Joaquín Na…</t>
  </si>
  <si>
    <t>Martin, Gregorio</t>
  </si>
  <si>
    <t>Gregorio Martin</t>
  </si>
  <si>
    <t>…a, 0. Tomas Yarto, D. Santiago Otero, D. Andrés Floren, D. Juan Albelda, 0'. Manuel Michel, D. Francisco Arahgo, y D. Estéban López, del Regi miento de Mallorca; á D. Félix Llano, D. Gregorio Martin, D. Gabriel Olgado, D. Josef Mela, D. Felipe San Alberto, D. Pedro García de Várgas ,y D. Agustín Reviila, del de Voluntarios de Avila; á D. Pedro Doz, D. Ignacio Fuerte , D. Josef Gacet, D. Guillermo Dot, y D. José f Villar de Francos, del Provincial de Sego…</t>
  </si>
  <si>
    <t>Martin, Lorenzo S.</t>
  </si>
  <si>
    <t>Lorenzo S. Martin</t>
  </si>
  <si>
    <t>…nero; Fernando Sains, maestro carpintero, y Francisco Rojas, maestro batidor de Ofo&lt; . Del cuartel del Barquillo. A D. Vicente Zalle, maestro confitero; Francisco Agudo, cirujano; Don Lorenzo S. Martin, librero y estampador; Juan Pomar, maestro pasamane ro; Leonardo Escudero, maestro pasamanero, y Pedro Toro, maestro car retero. . ^ ' 7 •'1' - • ‘ Del'cuartel de Palacio* f ; A Martuel Armayóf1, maestro calderero ; Manuel García, maestro ebanis ta; Santiago…</t>
  </si>
  <si>
    <t>Martin, Manuel</t>
  </si>
  <si>
    <t>Manuel Martin</t>
  </si>
  <si>
    <t>…ovadonga, diócesis de Oviedo, vacante por fallecimiento de D. Manuel González de la Granda, á D. Francisco Escandon : la canongía que vacó en aquella catedral por fallecimiento de D. Manuel Martin á Don Segundo Cayetano García, canónigo de la iglesia catedral de Jaén: otra ca__ CO Véase la gaceta del martes 6 deb corriente.</t>
  </si>
  <si>
    <t>Martin, Manuel Alonso</t>
  </si>
  <si>
    <t>Manuel Alonso Martin</t>
  </si>
  <si>
    <t>…e Granada, vacante por premoción de D. Andrés Subiza á oidor de ella, á D. Salvador Fernandez y Torres. Habiéndose dignado el Rey nuestro Señor admitir los donativos que han hecho D. Manuel Alonso Martin, vicario del monasterio de S. Andrés del Arroyo, en la provincia de Palercia, de 2500 rs. vn., única cantidad que há podido rescatar de la rapacidad de las tropas francesas ; el presbítero Don Bernabé Antonio Garrido, de Fucnmayor de Rio, de los granos corres…</t>
  </si>
  <si>
    <t>Martin, Manuel Martin</t>
  </si>
  <si>
    <t>Manuel Martin Martin</t>
  </si>
  <si>
    <t>…do nombrar, para el corregimiento de. Conil á Pon Ramón Antonio Antuñano: para la vara de Alburquerque á D. Luis Tabira: para la.de Baena á D. Lorenzo Casaux: para la .de Arnedo á Don Manuel Martin Martin; y para la de Vexer á P«.Ramen de Jbarra Asensio: para el corregimiento de Alhama ha nombrado el Rey á D. Juan Verges y Lostau: para el de Vhlena á D, Antonio Fernandez Villanuéva: pa ra la vara dé alcalde mayor de la ciudad de Mctrjl á D. Josef Villanuéva: p…</t>
  </si>
  <si>
    <t>Martines, Gerónimo</t>
  </si>
  <si>
    <t>Gerónimo Martines</t>
  </si>
  <si>
    <t>…tico ha escedido los deseos de la universidad, pre sentando el dia 22 de Junio los cinco de sus discípulos D. Cándido Sebastian, D. Juan Antona, D. Saturnino Martínez de Llórente, D. Gerónimo Martines y D. Antonio Mazo á examen público y general de aritmética , algebra, geo metría, trigonometría, geometría práctica, secciones cónicas t seríes y su apliCacioir á los logaritmos. La prontitud con que los referidos alumnos resolvie ron cuantos problemas y demostraciones se les…</t>
  </si>
  <si>
    <t>Martínez, Antonio</t>
  </si>
  <si>
    <t>Antonio Martínez</t>
  </si>
  <si>
    <t>…s muchas y graves ocupaciones, he venido en crear una junta, compuesta del Presidente del misino Consejo, de los Ministros de él jCond* &lt;ki Pisar y D* Josef Antonia Larrumbide, de D. Antonio Martínez</t>
  </si>
  <si>
    <t>Martínez, Bernardo</t>
  </si>
  <si>
    <t>Bernardo Martínez</t>
  </si>
  <si>
    <t>…catedral de Cuenca,; vacante por: muerte de D. Pedro Ñuñez Alegría , á D. Josef Raymundo Si-&gt; velo: para una canongía dt la iglesia catedral de Orense, vacante por pro-, moción de D. Bernardo Martínez al arcedianatb de Huete, dignidad de la iglesia catedral de Cuenca rá D. Pedro Telmo. Hernández , racionero de laiglesia metropolitana.de Burgos: para otra canjmgía de la iglesia colegial de Santa María deí Campo de ia ciudad de ia Coruua, en ei arzobispado d…</t>
  </si>
  <si>
    <t>Martínez, Cipriano</t>
  </si>
  <si>
    <t>Cipriano Martínez</t>
  </si>
  <si>
    <t>…en el arzobispado de Santiago: para el de Sta. María de Castromao,eri la propia diócesis, vacante por ascenso de D. Diego. Villar y Tenreiro al curato deS. Andrés de Villamil , á D. Cipriano Martínez , pres bítero patrimonista de Sta. María de Albeira en el arzobispado de Santiagos para ei de Sta. María de Pegeiros, en la propia diócesis de Orense, vacante por muerte de D. Jacobo Cid Salgado, á D. Bernardo Velasen -.y Losada* cura párroco de Santiago de R…</t>
  </si>
  <si>
    <t>Martínez, Diego</t>
  </si>
  <si>
    <t>Diego Martínez</t>
  </si>
  <si>
    <t>…casa y demas , pago de la Cruz alta, id. Capellanía de D. Alonso de los Ríos. Un cortijo del Nogal, compuesto de casa, y 349 fanegas, 8 celemines tierra , en Alhama. Capellanía de D. Diego Martínez. Treinta y tres marjales y un cuarto en</t>
  </si>
  <si>
    <t>Martínez, Francisco</t>
  </si>
  <si>
    <t>Francisco Martínez</t>
  </si>
  <si>
    <t>…Junio de 181 f. Por el presente se cita, haim.y emplaza á Doña Josefa Martínez, natural de esta villa, hija de D. Jostf, qro.urador que fue del número de ella, y heredera única d&gt; D. Francisco Martínez 11 hermano, cuyo paradero y existencia se ignora, t á todos los parientes v dem s p r^onas que puedan tener derecho á los bienes de Í a misma'Doña Josefa Martínez . para que dentro del término preciso de 15 días se presenten ante el Sr. D, Joaquín’Almazan, de…</t>
  </si>
  <si>
    <t>…iese el colegio el día 15. de Octubre, lo que se verificó puntual mente , después de haberse celebrado la apertura con un magnífico Te Deum, una solemnísima misa que cantó el Lie. D. Francisco Martínez, canónigo de la insignecoíegiiil, y un sermón inaugural que predicó el rector del propio co legio el Dr. D. Josef Avadie y Salinas, canónigo lectora! dé la misma insigne iglesia, hacendó palpables hasta la evidencia las útiles ventajas para el esta do, é inca…</t>
  </si>
  <si>
    <t>Martínez, Francisco Muñoz y</t>
  </si>
  <si>
    <t>Francisco Muñoz y Martínez</t>
  </si>
  <si>
    <t>…rs. vn. Por la manutención de una niña 40. Un sugeto que no quiere ser nombrado 1®. Otro ídem 6®. La Sra. marquesa de Fuerte* Hijar 400. D. Josef Píngallo 600. La testamentaría de D. Francisco Muñoz y Martínez 3®. D. Josef Quintero 150 cucharas de madera. D. Josef Olorrian 150 cazuelas de madera. El dueño de la fonda de Malta 3320 rs.vn. Una ersona que ha ocultado su nombre 718 varas de lienzo para sábanas. La xcma. Sra. condesa deBenavente 6® rs. vn. Un bienhechor…</t>
  </si>
  <si>
    <t>Martínez, Joaquín</t>
  </si>
  <si>
    <t>Joaquín Martínez</t>
  </si>
  <si>
    <t>…no de provincia y comisiones en este dia de la fecha, a instancia de losSres. Mar queses de Sta. Colonia se cita, llama i y. emplaza, por segundó términoáD.Bal tasar déla Iglesia, D. Joaquín Martínez, Doña María Gira! y D. Francisco Forvides, sus herederos ó sucesores, para que en el preciso término de 15 días, último y perentório, contado desde 14 del presente, comparezcan con poder bástante y por medio dé procurador en la audiencia de S. S. por la presé…</t>
  </si>
  <si>
    <t>…Gómez de Aedo, oficial de la secretaría de la cámara por loperteneciente al Real patronato-, que vive calle dePreciados, núm. 6. í Sedesea saber de Doña María Bautista , viuda de D. Joaquín Martínez que'mu rió en la plaza de S. Sebastian, ó su hija Doña Rosa Martínez, cuya noticia sé ser virán comunicarla á D. Luis Urraca, carrera de S. Gerónimo, pasada la Fontana de Oro, núm.,4. ‘ r v ■ . Apuntamientos de cómo se deben estudiar y enseñar las ciencias, y…</t>
  </si>
  <si>
    <t>Martínez, Josef</t>
  </si>
  <si>
    <t>Josef Martínez</t>
  </si>
  <si>
    <t>…, del Provincial de Santiago; D. Jacobo Pardo y D. Josef Boltorna, del de Tuy; D. Lorenzo Valcarcel y D. Josef Sansiz, del de Lugo; D. Baltasar Valcárcel, del segundo de Asturias; Don Josef Martínez, del de Cazadores del Rey; D. Rainon Maurin, del de Zaragoza; D. Gregorio Flores, D. Juan Miguel Rodríguez, D. Eusebio Rodríguez, D. Francisco Masías, D. Pedro Rodríguez, D. Manuel Diez, D. Miguel María Robles, D. Pedro Maratino, D. Francisco Antonio Pe rez y…</t>
  </si>
  <si>
    <t>Martínez, Josef Pedro Parada y</t>
  </si>
  <si>
    <t>Josef Pedro Parada y Martínez</t>
  </si>
  <si>
    <t>…^presbítero,; resi-r dente en S. Salvador deAlmariz: para el de Santiago,de Copas, en el ihbmo obispado, vacante por ascenso de. D. Josef Peña al curaío; *de S. Payé de Araujo , á D. Josef Pedro Parada y Martínez, cura párroco déSta. María dé</t>
  </si>
  <si>
    <t>Martínez, Josefa</t>
  </si>
  <si>
    <t>Josefa Martínez</t>
  </si>
  <si>
    <t>…s armas .propias del principado «n lugar de las de Galicia, que son las designadas en la citada resoljucion. Madrid 25 de Junio de 181 f. Por el presente se cita, haim.y emplaza á Doña Josefa Martínez, natural de esta villa, hija de D. Jostf, qro.urador que fue del número de ella, y heredera única d&gt; D. Francisco Martínez 11 hermano, cuyo paradero y existencia se ignora, t á todos los parientes v dem s p r^onas que puedan tener derecho á los bienes de Í a…</t>
  </si>
  <si>
    <t>Martínez, Lorenzo</t>
  </si>
  <si>
    <t>Lorenzo Martínez</t>
  </si>
  <si>
    <t>…e Chinchilla,, D. Manye! Carrasco, D. Tomas López, D. Miguel Bueno, JX Juliani Lop£z dq Ansó ¿'Di* Antonio Martínez, D. Eleuterio Munida, Don Á^anueí Andrada , !)» Domingo Blanco, D. Lorenzo Martínez, D. Isidro QJi* vares , D. Tomas Zamora, L&gt;. Benito Reehel, D. Gaspar Nogueruela, Don Luis Medinilla , D. Pedro Medinilia, D, Joaquín García., D. Gregorio Arta-r cho, D. Josef Aguilar, D. Antonio Quadra, D. Felipe Doria, D. Vicente Ruiz)jD. ^Ramón-Quinan^ &amp; G…</t>
  </si>
  <si>
    <t>Martínez, Manuel</t>
  </si>
  <si>
    <t>Manuel Martínez</t>
  </si>
  <si>
    <t>…, D. Juan Miguel Rodríguez, D. Eusebio Rodríguez, D. Francisco Masías, D. Pedro Rodríguez, D. Manuel Diez, D. Miguel María Robles, D. Pedro Maratino, D. Francisco Antonio Pe rez y D. Manuel Martínez, del de Voluntarios de León; D. Raymundo Provedo, D. Cipriano Alvarez, D. Mariano López y D. Andrés Garrido, del de Voluntarios del Ribero: de Subteniente á D. Pedro Losada, D. Jo sef Novales, D. Josef Ulloa, D. Nicolás Quiñones, D. Andrés Blanco, D. Juan Val…</t>
  </si>
  <si>
    <t>Martínez, María</t>
  </si>
  <si>
    <t>María Martínez</t>
  </si>
  <si>
    <t>…ones á una de las huérfanas de (os militares ó patriotas que hubieren muerto en defensa de la justa causa de la nación, ha cabido en suerte del primer extracto de la de éste dia á Doña María Martínez, hija del comandante D. Francisco* muerto en el campo del honor. La extracción siguiente se executaiá el 17 de AbriL próximo. ARTICULO DE OFICIO. Artículo comunicado vor la primera Secretaría de Estado* , Con fecha de 14 del corriente mes se remitió ai Consej…</t>
  </si>
  <si>
    <t>…ñas frente del hospital , Almería'. Séptima s parte de los bienes del convento de , monjas de lá Concepción de Almería. Un pedazo de hacienda 6 paratas, Illár. MALAGA. Obra pia de Doña María Martínez dé Silva. Varías viñas y lasares deteriorados. ’ ■ t p Monjas de Sta. Clara. Una casa num. 9, maqz. 104, calle S. Juan. Capellanía de D. Gaspar Marqués Cabrera. Uña casa num. 29, manzana 119 , calle Alta. Capellanía del convento dé S. Agustín. Uña casa num. 2…</t>
  </si>
  <si>
    <t>Martínez, Martin</t>
  </si>
  <si>
    <t>Martin Martínez</t>
  </si>
  <si>
    <t>118 Higuera, que vacó? por ascenso de D. Martin Martínez, y el de Santiago dé Andúxar, que lo está por fallecimiento de D. Ale’chor de la Cuesta y Jara, todos'tres en el; obispado de&gt;Jaeqi té- Josef (pavilan; para otro be neficio simple de la: Alameda,;^ efaf?id&gt;ispjdp de/Tpledo, vacante por/a*» llectmiento de p. J…</t>
  </si>
  <si>
    <t>Martinez, Miguel</t>
  </si>
  <si>
    <t>Miguel Martinez</t>
  </si>
  <si>
    <t>…e Murcia á D. Ignacio Mariano de Mendoza: para la de Rueda á D. Manuel* Sotillos Montijo ; y para la de Moron á D. Francisco Caballero Henrújuezrpara el corregimiento de Requena á D. Miguel Martinez Del gado: para la vara'de Alcalá la Real é D„ Josef Melitcn de Nava*, para la de Villaroblcdó á D. Joaquín María López de Ayala: para la de la Motiila del Palancar y Campillo de Aito Buey á D. Pedro Henrique Montero: para Ja de Navalcarnero á D. Antonio Castejon…</t>
  </si>
  <si>
    <t>Martínez, Rafael</t>
  </si>
  <si>
    <t>Rafael Martínez</t>
  </si>
  <si>
    <t>….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Josef Marín, D. Josef Alcázar, Dr Josef de Castro, D. Pascual,Atiza , Dv Víctor Conegero, D. Cristóbal Dávtk:,…</t>
  </si>
  <si>
    <t>….. . D. Antonio Gómez,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'Aquiíinb Otolá ,(D&gt;í Josef Sálas-, ©. Antonio Bolu* fer, D. Cipriano Castro ; D. Josef Tovar y D. Josef González , Di Josef de…</t>
  </si>
  <si>
    <t>Martínez, Rosa</t>
  </si>
  <si>
    <t>Rosa Martínez</t>
  </si>
  <si>
    <t>…nte al Real patronato-, que vive calle dePreciados, núm. 6. í Sedesea saber de Doña María Bautista , viuda de D. Joaquín Martínez que'mu rió en la plaza de S. Sebastian, ó su hija Doña Rosa Martínez, cuya noticia sé ser virán comunicarla á D. Luis Urraca, carrera de S. Gerónimo, pasada la Fontana de Oro, núm.,4. ‘ r v ■ . Apuntamientos de cómo se deben estudiar y enseñar las ciencias, y reformar las doctrinas para reducirlas á su antigua perfección y ent…</t>
  </si>
  <si>
    <t>Martínez, Rufo</t>
  </si>
  <si>
    <t>Rufo Martínez</t>
  </si>
  <si>
    <t>asociado del asesor segundo el licenciado D. Rufo Martínez, abogado asitnismo del (ilustre colegio de esta corte. A voluntad de su «dueño, que lo es í). Gerónimo Perez de la.Concha, vecino de la villa de Villacastin en la provincia de Segovia, y de los demas interesados á .los bienes que quedaron por e! fallecimiento…</t>
  </si>
  <si>
    <t>Martínez, Sinforiano Blanco</t>
  </si>
  <si>
    <t>Sinforiano Blanco Martínez</t>
  </si>
  <si>
    <t>…rgos por ascenso de Do» Ramón Adurriaga ai deanato de la catedral de Cuenca, á B. Joaquín Mi'guei de Salamanca: para otra canongía, vacante en la catedral de Osma por promoción de D. Sinforiano Blanco Martínez á la dignidad de deán de la misma iglesia, á D. Gregorio Alonso, cura de la Bañeza, en el obispado de Astorga. Asimismo en consideración al mérito distinguido, lealtad acendrada y servicios honrosos con que se ha hecho acreedor al Real aprecio, y temíb.e a Jo…</t>
  </si>
  <si>
    <t>Martínez, Tiburcio</t>
  </si>
  <si>
    <t>Tiburcio Martínez</t>
  </si>
  <si>
    <t>…Aguilar, D. Antonio Quadra, D. Felipe Doria, D. Vicente Ruiz)jD. ^Ramón-Quinan^ &amp; Geróriimq»dé G.éus, IX Josef Carrasco , Don josef Rae^a f ,D. Miguel Sánchez,,¡ D. Litis Vidarte, D. Tiburcio Martínez, IX Rufino; Andinql IX Antonio la Rosa i D. Pedro Albo, D. Nicolás Giezar, DvJuanVicente , D. Eduardo Paules , ,D. Francisco Sánchez, D. Josef de Castro, D. Venancio, Garnez , D. Nicolás Laborda, D. Manuel 1 aborda*, D. Nicolao Ribera, D. Gregorio Dalmao ; D.…</t>
  </si>
  <si>
    <t>Martínez, Toinas</t>
  </si>
  <si>
    <t>Toinas Martínez</t>
  </si>
  <si>
    <t>…ajad critos/num. 6 y 7oermon, que por el teuz arribo a su destino, y buen éxito en el objeto de la «pedición á América mandada por el general JD. Pablo Morillo, predicó en Caceres D. Toinas Martínez del ílortíil, presbítero/enj la fpncíon de rogativa que costeó la devoción de dos 'caballeros, ,&lt;le jqupíla ciudad , cüya piedad loable destina el p.roduato de este papel en beneficio de los niños espósitos de Madrid. Véndese erila librería de Coronel, gradas…</t>
  </si>
  <si>
    <t>Martínez, Vicente</t>
  </si>
  <si>
    <t>Vicente Martínez</t>
  </si>
  <si>
    <t>…el sargento Francisco Duprit •. et empleo de alférez d cadete de1 dicho, batallón D. Lorenzo Aguirre, por ser 1 el mas antiguo de $u ciase; eL grado de teniente coronel al alférez D. Vicente Martínez, ayu dante dragón: el empleo de capitanes supernumerarios, sin antigüedad, á los primeros tenientes D. Josef Cortes y D. Manuel Liaño: el grado de coronel al primer ayudante mayor del batallón D. Carlos Gonzakz Lianos con la antigüedad del 29 de Mayo. También…</t>
  </si>
  <si>
    <t>…que hagan arregladas, bien sea al contado ó á plazos, y también admitirá alguna parte en fincas en Madrid ó sus in mediaciones; y en Madrid dará razón en la carrera de S. Gerónimo D. Vicente Martínez. En la villa de Sta..María la Real de Nieva, provincia de Segovia , se halla va cante el magisterio de.primeras letras, dotado con 12 rs. diarios, pagados por-tericios á cargo del juez de propios, y casa en que vivir. Los pretendientes se dirigirán al ayuntam…</t>
  </si>
  <si>
    <t>…dmitida á cumplimentar al Rey nuestro Señor y besar su Real mano la diputación de Valenzuela, reino de Córdoba, compuesta de D. Ignacio Jáuregui, primer médico te cámara de S. M., D. Vicente Martínez, segundo médico ae cámara de S. M. de continua servidumbre, y D.Josef Alvemosa, médico de los Reales egércitos de S. M.; el último de los cuales arengó á S. M. en los términos siguien tes: „ Señor: El templo de Esculapio representado por los médicos de cáma r…</t>
  </si>
  <si>
    <t>MartinianoFrancisca</t>
  </si>
  <si>
    <t>vrou muerte de D. Josef Fernandez Mesa á D. MartinianoFrancisca) Pastor; ssEi deanato y canongía de la catedral de Lérida, vacantes por promoción de Don Eduardo María Saenz de la Guardia á la iglesia y obispado dé Huesca, á Doit&gt; Cayetano Foncerrada, canónigo de la iglesia metropolitana de Mégico : unacanpngía; vacante ep…</t>
  </si>
  <si>
    <t>Martos, Blas Josef de</t>
  </si>
  <si>
    <t>Blas Josef de Martos</t>
  </si>
  <si>
    <t>…Puerto Real á D. Joaquín Pardiñas de Soto: para la de Almería á Don Manuel Perez de los Ríos: para la de la villa de Haro á D. Antonio Guar dilla: para la de Aguilar de Córdoba á D. Blas Josef de Martos: para la de Moron á D. Manuel Sotillos Montijo: para la de Medinasidonia á D. Leo nardo Talens de la Riva: para la de Berlanga á D. Josef Codina y Gómez: para la de Cuellar á D. Gaspar Antero Rochel: para la de Luque á D. Jo sef Carrillo; y para el corregimie…</t>
  </si>
  <si>
    <t>Martrndelt</t>
  </si>
  <si>
    <t>…e á una altura, donde se sostuvo por espacio de siete horas p pero habiéndose consumido: Sus municiones, se disponía á aco meter al arma blanca al enemigo,cuando recibió orden del general Martrndelt para retirarse', comó lo hizo peleando,aunque con bastante pérdida. Quedaron* muertos.en el campo tres oficiales, y se cree que otros dos tuvieron la mis-*0"' ma-sü.erte.‘Xás'c-láltlH»,ás relaciones aseguran que la pérdida total es de 19 ofi ciales entre muer…</t>
  </si>
  <si>
    <t>Mary</t>
  </si>
  <si>
    <t>…anceses que han llegado últimamente de París con pasaportes legítimos. Ma dama Muraf, que no quiere tomar parte alguna en las noticias que; circulan, ha enviado, según se dice, al caballero Mary para solicitar el permiso de es tablecerse en Praga, y dar á sus hijos la conveniente educación. Idem %4. 'v A consecuencia del restablecimiento de la paz S. M. el Emperador ha mandado licenciar de sus egércitos las tropas siguientes: dos batallones de ca zad…</t>
  </si>
  <si>
    <t>Marzan, Andrés</t>
  </si>
  <si>
    <t>Andrés Marzan</t>
  </si>
  <si>
    <t>…f Caree, h¡jó j compañía ;'D. Pedro Fermín Hernaez; D. Josef Félix Gómez; D* Diego Gas* támbide; D. Jícóbo Gattens, de Sevilla; D. Rafael de Góngora y Delgado; Do* Ignacio Casal ; D. Andrés Marzan; D. Pedro Martínez Lozano; D. Rafael Ignacio Fañtohfip D/"Joaquín dé la Barrera y Cuadra, y D. Fernando Márquez de la Plata, i fin de que los qué*$e’contemplen con algún derecho al citado vale comparezcan por sí ó por medio de sus respectivos apoderados á ded…</t>
  </si>
  <si>
    <t>Mas, Ramón</t>
  </si>
  <si>
    <t>Ramón Mas</t>
  </si>
  <si>
    <t>…reglar teatino, D. Josef Navarro , sargento del regimiento de infantería de Soria, D. Juan Massana, oficial de la Consolidación de vales Reales, D. Salvador Aulet, co merciante , D. Ramón Mas, carpintero de ribera , D. Julián Portet, espar tero, y D. Pedro Lastortras. El público expresó con sentimientos de ternu ra la dulce emoción de su voluntad. ,,El día 15 por la mañana fueron conducidos los cadáveres desde la Real iglesia de la ciudadela al lu…</t>
  </si>
  <si>
    <t>Masías, Francisco</t>
  </si>
  <si>
    <t>Francisco Masías</t>
  </si>
  <si>
    <t>4^4 nio Perez, D. Fidel Provecho, D. Francisco Masías, D. Antonio Fernan dez, D. Valentín Roxo, D* Carlos Osorio y D. Josef Laso de la Vega, del de Voluntarios de León; D. Pedro Valcárcel, D. Manuel González Campillo, D. Juan Villapaderna, D. Juan Manuel Mancebo, D. Francis co Diez Sopeña, D. Josef Provedo, del…</t>
  </si>
  <si>
    <t>Massana, Juan</t>
  </si>
  <si>
    <t>Juan Massana</t>
  </si>
  <si>
    <t>…ron en Barcelona bajó dé la tirahíá fráncesa los cinco héróeS el 0ri Di Joaquín Poií, cura -párroco de ía ciudadéla, el Pr. Di -JtoaníGallifa, D. íosef Navarro, sargento de Soria, D. Juan Massana y D. Salvador Auiet: por. cl R¿ Pr; D. Raymundo Ferrer ¿ del oratorio de S. Felipe Neri de Barcelona. Se hallafá en la librería de Dávilá, calle de las Carretas. -¡.."í • :, ¡;r o ,Colección de las primeras poesías que ¡se han-publicado en¡ España eíx obsequia del Rky nuestro, S…</t>
  </si>
  <si>
    <t>…arceloneses el Dr. D. Joaquín Pou, cu ra párroco de la cindadela, el P. D. Juan Gaiiiía, clérigo reglar teatino, D. Josef Navarro , sargento del regimiento de infantería de Soria, D. Juan Massana, oficial de la Consolidación de vales Reales, D. Salvador Aulet, co merciante , D. Ramón Mas, carpintero de ribera , D. Julián Portet, espar tero, y D. Pedro Lastortras. El público expresó con sentimientos de ternu ra la dulce emoción de su voluntad. ,,El día…</t>
  </si>
  <si>
    <t>Mata, Josef Pedro de</t>
  </si>
  <si>
    <t>Josef Pedro de Mata</t>
  </si>
  <si>
    <t>…ha sido cónstante la adherencia mia á ios sagrados deberes que me ligan con V. M. y conla patria.” ’ ’l. El mismo día el conde de Clavijo, y los Sres. D. Antonio Martínez Salcedo, D. Josef Pedro de Mata y D. Santos Sánchez, comisionados por la villa dé Caravaca, tuvieron el honor de felicitar á S. M. en los términos siguientes:• „ La villa de Caravaca, la primera que en vuestro reyno de Murcia alzó -pór,-su Rey» á V. M., y que siempre fiel á V. R. P. en ninguna época ha reconoc…</t>
  </si>
  <si>
    <t>Mate, Antonio</t>
  </si>
  <si>
    <t>Antonio Mate</t>
  </si>
  <si>
    <t>…ante por.promocioti del referido D, Josef Ortuzar á D. Matías Calva, racionero de la iglesia pri mada de Toledo. ^ ¿ La, canongía yacante en la catedral de Segovia , por muerte de D. Antonio Mate:Gil á D. Josef Manso, cura de las Navas de S. Antonio en aquella dió cesis , y la canongía de la,.misma iglesia que ha vacado por fallecimiento de L).;Isidro Antonio de Guevara, á D. Matías Villegas , cura&gt; de- la parroquial de S. Pedro.de ja villa de Guellar…</t>
  </si>
  <si>
    <t>Mateo, Gregorio</t>
  </si>
  <si>
    <t>Gregorio Mateo</t>
  </si>
  <si>
    <t>…uín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 IX Plácido Gúell, D. Joaquín González', IX Juan García-, '0; Ramón de Coba, D. Josef Mon tano,,? D. Ignacio Foja, r…</t>
  </si>
  <si>
    <t>Mateo-Miranda</t>
  </si>
  <si>
    <t>…á Don Agustin Velasco y Calleja: para la de Novelda á D. Miguel Elias Sicardo: paraTa de Pego Ú D. Pedro Antonio Portillo y Clemente: pajra la de Planes y pueblos de su Baronía á D. Mateo-Miranda; y para la de fa villa de Albaida á D. Antonio Rico y Gómez. Igualmente ha nombrado S. M. para la vara de alcalde mayor de la ciu dad de Palma, en Mallorca, á D. Juan Manuel Lubet. ' Los habitates de la ciudad de Ronda, deseosos de dar nuevas pruebas del acen…</t>
  </si>
  <si>
    <t>Mateos, Fernando</t>
  </si>
  <si>
    <t>Fernando Mateos</t>
  </si>
  <si>
    <t>…e la Comisión Militar de Policía y Gobierno de la plaza de Ciudad-Rodrigo: al de Teniente Coro nel á D. Benito Sandoval y D. Pablo Pairot, Capitanes del Real Cuerpo de Artillería, D. Fernando Mateos, D. Fernando Valdés, D. Juan Solda do, y D. Juan Pió Quijano, Sargento mayor y Capitanes del Regimiento Provincial de Segovia; á 0. Fernando Alcocer, D. Josef Gines de Zamora, 0. Joaquín. Esoatolero, y D. Rafael Pizarro , Capitanes del Regimiento de Mallorca;…</t>
  </si>
  <si>
    <t>Mateos, Pedro Ruiz</t>
  </si>
  <si>
    <t>Pedro Ruiz Mateos</t>
  </si>
  <si>
    <t>e&amp;ucáciOiY jfóédícápa ra que ésta llegue1 dl:iiiifs alto grádo dé perfección poAscenso á brigadieres á los capitanes de navio D. Pedro Ruiz Mateos» D.Joaquin de ■la-Croixy'D. Joalquin Mozo, D. Tomas, Herrera y Cruzar» D.Francisco Vizcarrondo, D-Joaquiñ !de Castañeda» D. Juan Francisco Püi¿t D. Ramon Hcrrera yíCfüzat, D. Francisco Millau, D. Vicente Fran cisco1 de ¡Voz , Martin Francisco Triarte, D. Jose…</t>
  </si>
  <si>
    <t>Mateos, Santiago</t>
  </si>
  <si>
    <t>Santiago Mateos</t>
  </si>
  <si>
    <t>…sero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 IX Plácido Gúell, D. Joaquín González', IX Juan García-, '0; Ramón de Coba, D. Josef Mon tano,,?…</t>
  </si>
  <si>
    <t>Matías</t>
  </si>
  <si>
    <t>…el éspreíádo Atoareis Cienfaegósá 'í&gt;; Mattih Mituróvies: pára la dignidad de ¡arcediano de Cáceres de la iglesia catedral de Coria , vacante por fallecimiento de D. Josef Romo ,á D. Matías -dé Sók y Beltráh,, Cáfróhfgo -péniéenckrió de la catedral de Ibiza: pára una canongía de la iglesia metropolitana de Sevilla, VáCante-pOr falleóimíento*de D. Francisco Vicente Venesas f á D. Mieuel de Vargas Fernandez, racio%féro&lt;:dé-4a^nismanigle^? {mnFtítN…</t>
  </si>
  <si>
    <t>Matm, Manuel</t>
  </si>
  <si>
    <t>Manuel Matm</t>
  </si>
  <si>
    <t>…ados si* íguientest; ¡ h nov. nvi'tr.i br.Lítio r.uz ~A.&gt; tnriHiV/ &gt;? ;c(¡oí¡í;n% :vri ih t.v- i o En el Real cuerpo de Aírtdtóav &gt; :&gt;: n r-yj .v.l'p.'-ío - De coronel al teniente coronel D. Manuel Matm&gt; de Guinea: de tenientes coroneles á los&gt; sargentos mayores 0.* Juan Ramírez Piéarro i, D. Cristóbal dé Reina, D. Vicente González Moro, D. &gt; Jman Loriga, D. Fernando Gocho, D. Mateo Hernández, 0. Pedro del Barco ; Jrá los capitanes D. Luis Abneig^ D. Josef L…</t>
  </si>
  <si>
    <t>Mato, Josef Garea y</t>
  </si>
  <si>
    <t>Josef Garea y Mato</t>
  </si>
  <si>
    <t>…sef Ma ría Lebrou; para la del partido de la Uiloa al Lie. D. Pedro Arias; para la del partiidó de Raeriz dé Veiga á D. Diego Suarez de Ribera ; para la del Í&gt;artido dé Abeancós á D. Josef Garea y Mato; para la del partido de Orce- Ion á D. Juan Romero ; para la del partido de villanueva ae los Infantes al Lie. D. Juan Francisco Arias; para la del partido de Baítar al Lie. D. An tonio de la Sierra y Lamas; para la del partido de Puente-Cástrelo á Don Juan V…</t>
  </si>
  <si>
    <t>Matute, Eugenia</t>
  </si>
  <si>
    <t>Eugenia Matute</t>
  </si>
  <si>
    <t>…n una ha za, lindando con el camino real de Jaén, Arbolete. Capellanía de D. Alonso Salido. Una haza, cinco marjales de tierra, pa go de S. Antón el Viejo , Granada. Capellanía de Doña Eugenia Matute. Una huerta ó cármen, titulado los Caños, con casa y demas , pago de la Cruz alta, id. Capellanía de D. Alonso de los Ríos. Un cortijo del Nogal, compuesto de casa, y 349 fanegas, 8 celemines tierra , en Alhama. Capellanía de D. Diego Martínez. Treinta y tres…</t>
  </si>
  <si>
    <t>Mauduit, Miguel</t>
  </si>
  <si>
    <t>Miguel Mauduit</t>
  </si>
  <si>
    <t>…arques dé A-yerve , 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 Zaballa , D. Juan Ilzalbe, D. Ventur…</t>
  </si>
  <si>
    <t>Maumonv, Feliciano Josef Áúiz</t>
  </si>
  <si>
    <t>Feliciano Josef Áúiz Maumonv</t>
  </si>
  <si>
    <t>…andro Perez y Romero» cura propio de la colegiata de Osuna. . El arcedianato y canongía vacantes en la colegiata dé Vitoria por falle cimiento de D.-Juan Prudencio de Verástegui á D. Feliciano Josef Áúiz Maumonv '■ •• :: - u* La ración vacante eñ ía metropolitana de Sevilla por- promoción de U. Mi*, cuel de Vargas á canongía de la misma iglesia á D. Jpan MontemayOir y Car rasco» médio-racioner© de ella, y para esta resulta a D. Diego Josef Mar,* quez , canónigo de la…</t>
  </si>
  <si>
    <t>Mauri</t>
  </si>
  <si>
    <t>…gación tiene por objeto el eximen de la conducta de monse ñor Campanelli, obispo de Perusa» y luego entenderá en la del obispo de Agnani. No se ha principiado todavía la causa del cardenal Mauri, que se halla aqui disfrazado, sin ninguna insignia de su dignidad. Se cree general mente que si el espíritu de justicia ha hecho que S. S. mandase exáminar y censurar su conducta, su espíritu de moderación y de indulgencia serán par te para no privarlo de su…</t>
  </si>
  <si>
    <t>Máuri</t>
  </si>
  <si>
    <t>9</t>
  </si>
  <si>
    <t>…a T7 de. Julio. Varios destacamentos de tropas del Padre Sto. han ocupado á Benevento, Camárinó, Ancoha y Otras varias ciudades restituidas á S. S. por el congre so de Viena. v El cardenal Máuri, que cuando salió el Papa de. Roma se presentó al público con sobrada satisfacción propia, ha querido poco há„ marcharse sin ser visto; pero habiéndosele acusado de algunas intrigas , S. S. le ha mandado arrestar y conducir ai castillo de Santángelo. AUSTRIA.…</t>
  </si>
  <si>
    <t>Maurin, Rainon</t>
  </si>
  <si>
    <t>Rainon Maurin</t>
  </si>
  <si>
    <t>…y D. Josef Boltorna, del de Tuy; D. Lorenzo Valcarcel y D. Josef Sansiz, del de Lugo; D. Baltasar Valcárcel, del segundo de Asturias; Don Josef Martínez, del de Cazadores del Rey; D. Rainon Maurin, del de Zaragoza; D. Gregorio Flores, D. Juan Miguel Rodríguez, D. Eusebio Rodríguez, D. Francisco Masías, D. Pedro Rodríguez, D. Manuel Diez, D. Miguel María Robles, D. Pedro Maratino, D. Francisco Antonio Pe rez y D. Manuel Martínez, del de Voluntarios de L…</t>
  </si>
  <si>
    <t>Mauriz, Manuel Martin</t>
  </si>
  <si>
    <t>Manuel Martin Mauriz</t>
  </si>
  <si>
    <t>…ción de'la iglesia catedral de Piasencía, vacante por muerte de D. Manuel de la Vega, á D. Manuel Elvira: para otra ración de la de Segovia, que resultará vacante pbr promoción de D. Manuel Martin Mauriz. a canongía dé la misma iglesia catedral, á D. Eugenio Rodríguez, capellán de coro de la Real iglesia colegial de S. Ildefonso: para otra ración de la iglesia cole gial de Sancti Spiritus de la ciudad de Santiago * que resultará vacante por promoción de D. Ma…</t>
  </si>
  <si>
    <t>Mauro</t>
  </si>
  <si>
    <t>…rranz y D. Santiago Arroyo, este procurador del juzgado de villa, pa ra que los dos amistosa y cstrajudicialmente, asociados de D. Antonio Regino Ló pez, hijo político quelite del D. Mauro, procedan á Ja liquidación y clasificación de todos, los referidos créditos, y ha dehaberde la testamentaría, á fin de que instruidos los acreedores en nueva junta, que sé ha de celebrar el dia io de Setiembre próximo á las 9 de la mañana en la posada de dich…</t>
  </si>
  <si>
    <t>Maury</t>
  </si>
  <si>
    <t>…glesia, ha he cho publicar, que la intención de S. S. era que los fieles observasen regular mente el ayuno durante la quaresma, d fin de aplacar d Dios con obras de penitencia. El cardenal Maury prepara una apología de su conducta, á la qual se lisonjea que no habrá réplica: será voluminosa, y cuenta hacerla imprimir en Toscana. PI AMONTE. Alexandrfa de la Palla 10 de Febrero. Se esperaba aqui el regimiento de Salaces que debia formar la guarni ción;…</t>
  </si>
  <si>
    <t>Mavila, Josef</t>
  </si>
  <si>
    <t>Josef Mavila</t>
  </si>
  <si>
    <t>…o está tranquilo, y su subdelegado interino D; -Francis co Ramón del Villar y García remite 2779 pesos y medio réáf, producto de varios ramos, 50 de donativo voluntario por el Dr. D. Josef Mavila* cura dé Aucara. El partido de Parirtacochas se halla según el estado que acompaña mos, y para su defensa y tranquilidad se le dan instrucciones ai subdelega do interino D. Francisco Velarde, quien se está conduciendo con el - mayor ■'acierto. - ■ 7 - u; :</t>
  </si>
  <si>
    <t>May, Cárlós</t>
  </si>
  <si>
    <t>Cárlós May</t>
  </si>
  <si>
    <t>…D. Juan Tirry y Lacy y D. Anastasio Fráncisco-Armenteros, coroneles agregados al escuadrón de dragones dé América lijo de aquella plaza; D. Ensebio Escudero, gobernador de Cuba ; D. Cárlós May nez, comandante general que ha sido del istmo de Panamá; D. Ricar do O-Farril, teniente coronel del regimiento darm¡líelas dé caballería de la Havana.; D. Indalecio González Socasa, comandante del batallón'de volun tarios disciplinados de Potosí; D.Tranciscó…</t>
  </si>
  <si>
    <t>Mayor, Manuel de Calvache y López de</t>
  </si>
  <si>
    <t>Manuel de Calvache y López de Mayor</t>
  </si>
  <si>
    <t>Ultimamente se lia servidoS. M. reponer en la vara de Alcalde mayor de Mazarron á D. Manuel de Calvache y López de Mayor: en la de Fiñana á D. Manuel Vicente Moreno: en la de la Población de los Barrios del Cam po de Gibraltar á D. Josef Joaquín de Eraso; y en la de Yepes, para que cumpla un sexenio, á D. Francisco de Paula Martínez Lozano. Para que los pueblos y particulares d…</t>
  </si>
  <si>
    <t>Mayor, Mariano</t>
  </si>
  <si>
    <t>Mariano Mayor</t>
  </si>
  <si>
    <t>…io Gavilanes, D. Juan Polo, D. Josef Baeza, D; Josef Dávila , D. Francis co Frades., D* Josef Urbiña, D. Antoiiio Valdivieso, D. Juan Sánchez , Don Manuel Laso, D. Domingo Cepeda, D. Mariano Mayor&gt; D*5Juan Bastos,</t>
  </si>
  <si>
    <t>Mayoral, Antonio Carrillo</t>
  </si>
  <si>
    <t>Antonio Carrillo Mayoral</t>
  </si>
  <si>
    <t>…reducción inserta en el diario administrativo de 2 de este mes* ESPAÑA* Madrid $ de Octubre. El i.° de este mes se consagraron en la iglesia de la Merced calzada los limos. Sfcs. D. Antonio Carrillo Mayoral» Obispo de Plasencia,. y D. Feli pe de Montoya, Obispo de Teruel: fue consagrante el Ilmq. Sr. D. Grego rio Cerueío, Obispo de Oviedo; asistentes Jos limos. Sres. D. Blas Jacobo Beltran, Obispo dé Coria, y ’D. Manuel Benito Tabernero , Obispo de Solsona; y pa…</t>
  </si>
  <si>
    <t>Mayoral, Antonio Carrillo y</t>
  </si>
  <si>
    <t>Antonio Carrillo y Mayoral</t>
  </si>
  <si>
    <t>…ador de la referida ciudad de Granada por fallecimiento de D. Josef Benito Palácios á D. Pedro Moreno, presbítero. Eldeanato de la catedral de Calahorra, vacante por ■promoción de Don Antonio Carrillo y Mayoral á la iglesia y obispado de Plasencia, á D. Pe dro Prado , canónigo de la colegiata de S. Isidro de esta corté , y lá canon gía de lá misma catedral, que ha Resultado vacante por la espresada promo ción, á D¿ Josef Eleutetio Barona, racionero de la colegiata d…</t>
  </si>
  <si>
    <t>Mayquez, Isidoro</t>
  </si>
  <si>
    <t>Isidoro Mayquez</t>
  </si>
  <si>
    <t>…itar á los niños la enseñanza de la lectura, por un profesor de primeras letras. St hallará venal á 4 quartos el exemplar en la librería de Gila, calle de las Carretas.Retrato del Sr. Isidoro Mayquez, primer actor del teatro del Príncipe, pinta do por D. Francisco Oiroya, y grabado por D. Rafael Esteve. Se hallará en la libre ría de Quirós , frente á los Gremios, y en la de Gila, calle de las Carretas, á 4 rr* la estampa: se le ha añadido un nuevo verso.…</t>
  </si>
  <si>
    <t>Mazo, Francisco del</t>
  </si>
  <si>
    <t>Francisco del Mazo</t>
  </si>
  <si>
    <t>…dé gobierno dedichoMtmte pío ha Vresueltb» sé avisé-al publico para que todas jas viudas* y pupilos declarados con derecho presenten las- fees de serlo, por sí o sus apoderados al Sr. D. Francisco del Mazo, contador primero , cá lle del Príncipe, núm.,7 , cuarto principal j á liquidar y percibir después en metálico del señor tesorero D. Manuel de la Viña la anualidad, que cumpli rá en fin de este año. ; TT" , } .Fn. virtud* de provipe^ia del Sr.j D. León dé la…</t>
  </si>
  <si>
    <t>Mazo, Manuel</t>
  </si>
  <si>
    <t>Manuel Mazo</t>
  </si>
  <si>
    <t>…sticia de dicha villa en todo el presente mes de Marzo. Interesando saber el paradero de Doña Josefa Perez, viuda, que existía no hace mucho tiempo en Palencia, ó-el de su hijo el coronel D. Manuel Mazo, á los nietos de aquella*señora,'suplican estos á la persona que lo supiese se sirva avi sar ó remitir esta noticia á D. Benito Aznar y Peón, calle de Jacometrezo, entre los números 8 y 9, quarto principa!. . Se desea saber qué persona en el año de 1810 giró…</t>
  </si>
  <si>
    <t>Mazuelo, Josef</t>
  </si>
  <si>
    <t>Josef Mazuelo</t>
  </si>
  <si>
    <t>…rdoba pór fallecimientó de D. Juan de Roda, á D. Juan Miguel Gómez de Mora, cura del hospital dé la sangeedé Sevilla r para otra: ración en b misma catedral, vacante por muerte de D. Josef Mazuelo» á D. Manuel Ximenez del Hóyó» médio racióneto de ella; para "esta mediad ración á JD. Pablo Romero y Castañeda: Íara la capellanía de Reyes nuevos de Toledo» vacante por promoción de ). Pedro Felipe Moreno á una canongía de la iglesia metropolitana de la mis…</t>
  </si>
  <si>
    <t>Mcntoya, Francisco</t>
  </si>
  <si>
    <t>Francisco Mcntoya</t>
  </si>
  <si>
    <t>…égimientó de' tiradores de Cantabriapara uña ración, vacante enda catedral de Piasencia por premoción de D. josef CástiSlá á uóal canongía de la iglesia car fedraí de Goatemála, á D. Francisco Mcntoya; y para eí préstamo de San Medell, en el obispado de Segovia, á D. Josef Rodríguez Alonso. D. Aléxandro Fernandez, siendo gefe del extinguido esquadron de hú sares de, CiudadReal, tomá á los enemigos de 4 á 5© arrobas de plomo;,y aunque pudo entonces, según l…</t>
  </si>
  <si>
    <t>Me</t>
  </si>
  <si>
    <t>…tanto que se hagan losrespectivos reglamentos en que se, está entendiendo* para l&amp;dpejojry mas económicas recaudación de las Reo4 tas del Estado, y en vista de lo que la Dirección general Me ha expuestode ahora* que sé suspenda ia provisión' de tódo empleóle Rentas, asi Provinciales como Generales~y estancadas,' que no fuere dé; rigurosa éscalal ó de absoluta necesidad en el actual estado de su administración y cobro^ en cuyo caso la Dirección ge…</t>
  </si>
  <si>
    <t>Me, Lorenzo</t>
  </si>
  <si>
    <t>Lorenzo Me</t>
  </si>
  <si>
    <t>…lla, de la qual es hermano mayor S. M., el privilegio que antes tenia de que sus individuos pudiesen usar de la escarapela roxa. Habiéndose dignado el Rey nuestro Señor admitir de D. Lorenzo Me dina , capitán de caballería, y de D. Manuel Silvestre Mendioia, vecino de Plasencia, los donativos que han hecho, aquel de 46200 rs. vn. de sueldos vencidos, y este de 5760 de la misma moneda, importe de los réditos de un juro, ha mandado S. M. que se les de…</t>
  </si>
  <si>
    <t>Mean, Francisco Javier</t>
  </si>
  <si>
    <t>Francisco Javier Mean</t>
  </si>
  <si>
    <t>…ditigidq,DfJAn[to^o. Agua¿qtf!d*^^tQR gftfleral de la Real academia de S. Fernando, arquitecto mayor"de Madrid. La escultor ra es del teniente director D. Josefi de Guerra, y del profesor D. Francisco Javier Mean a. ,cc). tvro :i&lt;í c .t « r; i v z \ ^ v. Oba^Real jurit^siipefjox gi^rwivftideiMe^ieiflíaii. direeforáíidel'iesiaidio*¡dfe Clínica de esta corte , incurriria en la nota-de .ingrata! »wjeuc*ie'JósbabeT ranos, si no se apresurase á anunciar que el Rey nuestro…</t>
  </si>
  <si>
    <t>Medi, Manuel</t>
  </si>
  <si>
    <t>Manuel Medi</t>
  </si>
  <si>
    <t>…anuel de Gamez y Lechuga: para la de Lezuza á D. Alfonso Josef de Soto: para la de Carvajales á D. Juan Villa y Trigueros: para la de Tiedra á D. Juan Padilla: para la de Gausin á D. Manuel Medi na y Giménez; yapara la primera de Granada á D. Manuel Alonso Her nández. - ■ ' &lt; ■ • •</t>
  </si>
  <si>
    <t>Mediero, Josef</t>
  </si>
  <si>
    <t>Josef Mediero</t>
  </si>
  <si>
    <t>…Isidro Cifuentes, y D. Manuel Lozano., det Real Cuerpo"de Arti llería; y á D. Angel Martin , E&gt;. Cayetano del Cás.tiliío, D. Josef Quenedí, D. Basilio Moran, D. Agustín Santero, y D. Josef Mediero, del Regimien to de Voluntarios de Avila; y asimismo se ha dignado S. M. conceder una Cruz pendiente del ojal de la casaeq con una cinta morada, la qual tendrá grabado en el círculo de su cara principal el quartej de las armas de Casti lla, y en el reverso un…</t>
  </si>
  <si>
    <t>Medina, Antonio de</t>
  </si>
  <si>
    <t>Antonio de Medina</t>
  </si>
  <si>
    <t>- :: Honores de Contador mayor rdel tribuna); de Cuenta de Lima á Di Francisco Morera y Matute, vecino de aquélja ciudad, &gt; Honores de comisario ordenador á ,D. Antonio de Medina, ministro te sorero dé las Reales cajas de Valladolid de Mechoacan, y á D. Félix Eourman, ministro contador de las espresadas cajas de Valládolid. ' Empleo de contador de las Reales cajas de Pachuca á D. Santiago de Goitia, oficial mayor de guias y confrontac…</t>
  </si>
  <si>
    <t>Medina, Manuel</t>
  </si>
  <si>
    <t>Manuel Medina</t>
  </si>
  <si>
    <t>611 Del cuartel de S. Martin. A Francisco Faug, ebanista y maquinista; D. Manuel Medina, tallista de cámara de S. M.; Mariano Castillo i de egercicio calesero; Juan Bermudez, maestro confitero; Francisco Rodríguez, maestro vidriero, y Josef Arnez, maestro carpintero. Del cuartel de la Plaza. A D. Manuel Alvares , profesor de escultura ; Tiburcio…</t>
  </si>
  <si>
    <t>…es á los guardias Dori Juan Nepbmuceno Roldan, D. Laureano Melena, D. Josef Sandoval, t). An&gt; • tonio Megía, É). • Eugenio Ábergoza , D. Francisco Aguírre , D. Braulio Ro-í drigo, D. Manuel Medina , D: Josef Ria ño y D. Benito Coca. (Se continuará.) t , Artículo de, .oficio del ministerio de la Guerra. &gt; , ;[ En el despacho de hoy he hecho presente al Rey nuestro Señor lo qué ■ : 1'• - ‘■:r' ,r •sigue: "v , „ Señor : Cuando guiado dé mí zelo por el mej…</t>
  </si>
  <si>
    <t>Medinilia, Pedro</t>
  </si>
  <si>
    <t>Pedro Medinilia</t>
  </si>
  <si>
    <t>…uterio Munida, Don Á^anueí Andrada , !)» Domingo Blanco, D. Lorenzo Martínez, D. Isidro QJi* vares , D. Tomas Zamora, L&gt;. Benito Reehel, D. Gaspar Nogueruela, Don Luis Medinilla , D. Pedro Medinilia, D, Joaquín García., D. Gregorio Arta-r cho, D. Josef Aguilar, D. Antonio Quadra, D. Felipe Doria, D. Vicente Ruiz)jD. ^Ramón-Quinan^ &amp; Geróriimq»dé G.éus, IX Josef Carrasco , Don josef Rae^a f ,D. Miguel Sánchez,,¡ D. Litis Vidarte, D. Tiburcio Martínez, IX…</t>
  </si>
  <si>
    <t>Medinilla, Joaquín Martínez de</t>
  </si>
  <si>
    <t>Joaquín Martínez de Medinilla</t>
  </si>
  <si>
    <t>…ntura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Josef Gerau de Arellano , E&gt;; Juan López Fraga , p. Manuel de Lardizabal y Montoya , Ba rón de Castieí, D. Santiago Usoz y Mozzi, D. Blas Manuel de Loya, Don osef Vicente d…</t>
  </si>
  <si>
    <t>Medinilla, Luis</t>
  </si>
  <si>
    <t>Luis Medinilla</t>
  </si>
  <si>
    <t>…onio Martínez, D. Eleuterio Munida, Don Á^anueí Andrada , !)» Domingo Blanco, D. Lorenzo Martínez, D. Isidro QJi* vares , D. Tomas Zamora, L&gt;. Benito Reehel, D. Gaspar Nogueruela, Don Luis Medinilla , D. Pedro Medinilia, D, Joaquín García., D. Gregorio Arta-r cho, D. Josef Aguilar, D. Antonio Quadra, D. Felipe Doria, D. Vicente Ruiz)jD. ^Ramón-Quinan^ &amp; Geróriimq»dé G.éus, IX Josef Carrasco , Don josef Rae^a f ,D. Miguel Sánchez,,¡ D. Litis Vidarte, D. T…</t>
  </si>
  <si>
    <t>Mehdieta, Lo’pe de</t>
  </si>
  <si>
    <t>Lo’pe de Mehdieta</t>
  </si>
  <si>
    <t>…s, del consejo y cámara de Castilla,-año de 16^3‘. patronos los dos señores decanos de Castilla é Indias con el vicario eclesiástico *d¿ Madrid, M etnoriá de Mendieta: su fundador D. Lo’pe de Mehdieta en Sevillá: sus patronos los tres señores consejeros de Castilla mas antiguos. —.Memoria de; Vergara: su fun dador D. Francisco Ruiz de Vergara , caballero ;del hábito de Santiago, y conseje-* ro de la Suprema, en 1692: patronos-el tixemo. Sr. conde,de forres…</t>
  </si>
  <si>
    <t>Mela, Josef</t>
  </si>
  <si>
    <t>Josef Mela</t>
  </si>
  <si>
    <t>…. Andrés Floren, D. Juan Albelda, 0'. Manuel Michel, D. Francisco Arahgo, y D. Estéban López, del Regi miento de Mallorca; á D. Félix Llano, D. Gregorio Martin, D. Gabriel Olgado, D. Josef Mela, D. Felipe San Alberto, D. Pedro García de Várgas ,y D. Agustín Reviila, del de Voluntarios de Avila; á D. Pedro Doz, D. Ignacio Fuerte , D. Josef Gacet, D. Guillermo Dot, y D. José f Villar de Francos, del Provincial de Segovia; á D. Santiago Muriedas, D, Is…</t>
  </si>
  <si>
    <t>Melena, Laureano</t>
  </si>
  <si>
    <t>Laureano Melena</t>
  </si>
  <si>
    <t>…iiñpií Bañuelos , D. Juan de la Cruz González , D. Antonio Gárcía Prado, D/ Ju lián Villacampa y D. Manuel Ubi ría : grado de tenientes á los guardias Dori Juan Nepbmuceno Roldan, D. Laureano Melena, D. Josef Sandoval, t). An&gt; • tonio Megía, É). • Eugenio Ábergoza , D. Francisco Aguírre , D. Braulio Ro-í drigo, D. Manuel Medina , D: Josef Ria ño y D. Benito Coca. (Se continuará.) t , Artículo de, .oficio del ministerio de la Guerra. &gt; , ;[ En el despacho…</t>
  </si>
  <si>
    <t>Melendez, Dionisio</t>
  </si>
  <si>
    <t>Dionisio Melendez</t>
  </si>
  <si>
    <t>…e efecto el dia 5 del corriente los individuos de él D. Juan Rodríguez "Valcárcei, D. Lorenzo Josef Barbacho, D. Leandro Josef Gutiérrez, D. Manuel Gonzalc-z, D. Esteban Iglesias, D. Dionisio Melendez y D. Rafael Santiso firmaron un escrito; en eicual, al mismo tiimpO' que felicitan á S. M. por so restitución al trono, esponen los servidos de un donativo, entre otros, de 4® pe^os que hicieron para auxiliar los ejércitos de la península, y la constancia con que se mantuvieron…</t>
  </si>
  <si>
    <t>Melendez, Salvador</t>
  </si>
  <si>
    <t>Salvador Melendez</t>
  </si>
  <si>
    <t>…ropas; IX Pascual Enríle, segundo comandante general de la * espedicion de las provincias de Venezuela; conde de O-Reylli, coronel del regimiento de infantería fijo de la Havana ; D. Salvador Melendez, capitán general de la is-, la de Puerto-Rico; D. Josef Salvador * gobernador que fue de León de Nica ragua , y agregado actualmente al estado mayor de la plaza de Goatemala , y. Di Cesar Balbiani, subinspector general de las tropas de aquella provincia. Brig…</t>
  </si>
  <si>
    <t>Melgarejo, Antonio</t>
  </si>
  <si>
    <t>Antonio Melgarejo</t>
  </si>
  <si>
    <t>…uan de Arcos ,D.Pedro Recaudo!,pon Miguel Rabe, D. Antonio Josef Royo , D. Domingo Cheli y D. Cenon Gar cía: á los capitanes marques dé A-yerve , 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t>
  </si>
  <si>
    <t>Melgarejo, Fernando</t>
  </si>
  <si>
    <t>Fernando Melgarejo</t>
  </si>
  <si>
    <t>…de Fe brero de 1815. Por Reai decreto de 14 de Agosto del año próximo tuvo á bien S. M. jubilar con todo su sueldo y ‘los honores del consejo Real ál regente del rey no de Navarra D. Fernando Melgarejo de los Cameros, en atención á sus dilatados y buenos servicios, y á qne por su avanzada edad y achaques no podía, entregarse á una vida tan activa y laboriosa qual sé necesitaba pa ra organizar y dar tono al gobierno interior de aquel reyno y su curia hasta s…</t>
  </si>
  <si>
    <t>Mella, Antonio</t>
  </si>
  <si>
    <t>Antonio Mella</t>
  </si>
  <si>
    <t>…isco Sirera, D. Antonio dé la Rosa y D. Juan Bermuy.' ^ Ascenso á alféreces de navio á los dé fragata D. Manuel Arechevala, Don Agustín Bocal a n, D. Matías Aldao, D, Diego Gadea, D. Antonio Mella, Don Josef Barros, D., Alonso Butrón, D.•Felipe Saavedra, D. justo Pasalagua; p. Vicente de Mesa,D. Fulgencio Anríen, D. Josef Carreño, D Manuel. Ümendia, D. Julio Ponce de León, D. Josef Marco y.Espejo, D.^joaguin Vargas Machuca, D. Josef de la Sendéja, D. A…</t>
  </si>
  <si>
    <t>Mellado, Andrés García</t>
  </si>
  <si>
    <t>Andrés García Mellado</t>
  </si>
  <si>
    <t>…iento de D. Josef de Robles' á D. Francisco Plácido Bocanegra, canónigo doctoral de la misma iglesia; la dignidad de prior, vacante por muerte de D. Geroteó Bringas de la Torre, á D. Andrés García Mellado, canó nigo de la iglesia colegial de S. Isidro de esta corte, y la canongía que ha va cado por muerte de C. Manuel Domínguez y Haro en dicha iglesia metropo litana* á D. Manuel Cano y Tené, racionero de ella; otra canongía vacan te en la iglesia colegiata del…</t>
  </si>
  <si>
    <t>Mellado, Joaquín García'</t>
  </si>
  <si>
    <t>Joaquín García' Mellado</t>
  </si>
  <si>
    <t>…ravo, Don Antonio vidaurreta, D. Juan Zarate, D. Josef Irunciaga, D. Josef Perez Quintero, D. Joaquín Martínez de Medinilla, D. Rafael Vicente Bourman,’ D. Ignacio Josef de Combo, D. Joaquín García' Mellado, D. Josef Gerau de Arellano , E&gt;; Juan López Fraga , p. Manuel de Lardizabal y Montoya , Ba rón de Castieí, D. Santiago Usoz y Mozzi, D. Blas Manuel de Loya, Don osef Vicente de Barrenechea, D. Simón de León Santos, D. Josef Escarano, Í). Francisco Hurtado de…</t>
  </si>
  <si>
    <t>Mellado, Pedro</t>
  </si>
  <si>
    <t>Pedro Mellado</t>
  </si>
  <si>
    <t>…ncebo, á D. Juan Antonio Ruiz de Mendoza, canónigo de la propia iglesia ; y esta canongía á D. Gabriel Fer nandez: la dignidad de chantre de ia misma, vacante por fallecimiento de D. Pedro Mellado , á D. Martin Miturovier, debiendo quedar sin efecto «I nombramiento hecho anteriormente pata el arciprestázgo de la catedral de Guadix. = El beneficio servidero de la villa de Alba de Termesdiócesis dé Salamanca, vacante por muerte de D. Antonio Alonso, á D.…</t>
  </si>
  <si>
    <t>Meló, Marcelo Fulgencio de</t>
  </si>
  <si>
    <t>Marcelo Fulgencio de Meló</t>
  </si>
  <si>
    <t>…Rafael Manuel Mavarrete y Ortega: para la vara del Burgo de Osma á D. Agustín de Velasco y Calleja; y prorogar en la de Tahal á D. Francisco Arjona y Zapata: en la de Piedrahita á Don Marcelo Fulgencio de Meló: en la de las villas de Iznatorafe y su$ agrega dos i D- Pablo García de Zúñiga ;y para ia vara de Trigueros á Di Roque Domingo de la Figuerau Asimismo en consideración á las distinguidas circunstancias, méritos y servicios dé D. Diego» López de Moría y Virue…</t>
  </si>
  <si>
    <t>Melr</t>
  </si>
  <si>
    <t>…López Pinto , 0. Eusebio Martínez* 0* Fran* cisco Bedoya, D. Sebastian de Urra, 0. Patricio Ortiz, D. Francisca Escara re, 0. Nicolás Fuentes, 0. Vicente Buyo, 0, Antonio Basurta, D. Melr* i Gareíajchór Quintana, &gt;0. Josef Nava jas*. D. Josef Arnaiz y 0 Gerónimo de capitanes á los tenientes 0. Juan Mendez Vigo, D„ Pedro Masdeuy íDoin Joaquín Goñi, 0. Tomas Murrietay 0. Felipe Agnado , 0. Dionisio Gil, Don Simeón de la Rosa, D. Gabriel'Solano,…</t>
  </si>
  <si>
    <t>Melzi, Josef Palafox y</t>
  </si>
  <si>
    <t>Josef Palafox y Melzi</t>
  </si>
  <si>
    <t>…s santos y santas en el almacén de estampas, calle Ma yor, frente á la casa del conde de Oñate: su precio grs. vn.__En el mismo alma cén se hallará el retrato á caballo del Excmo. Sr. D. Josef Palafox y Melzi, capi tán general de los Reales egércitos, en medio pliego, con los 14 publicados ante riormente, á 8 Ys. iluminados y á 4 en negro. EN LA IMPRENTA REAL.</t>
  </si>
  <si>
    <t>Men, Jacinto Ruiz de</t>
  </si>
  <si>
    <t>Jacinto Ruiz de Men</t>
  </si>
  <si>
    <t>…ue contraxo en la defensa i}el parque de artillería de esta heroyea villa contra las armas francesas el memorable dia Dos de Mayo de 1808 al lado de los inmortales ©aoiz y Velarde D. Jacinto Ruiz de Men doza, siendo teniente del regimiento infantería voluntarios de Estado, de cuya acción salió gravemente herido, muriendo de resultas posteriormen te en Truxillo, según se acredita de documentos oficiales; se ha servido S. M. recompensar sus servicios en so her…</t>
  </si>
  <si>
    <t>Mena, Francisco de</t>
  </si>
  <si>
    <t>Francisco de Mena</t>
  </si>
  <si>
    <t>…el Santos, D. Gregorio Losada ,D. Francisco Silva &gt; D- Josef Duran, D. Rafael* Máhi,D. Juan Sentmauat, D.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Enfy, D. Josef Aguilar, D.” Juan de DiosVaidi…</t>
  </si>
  <si>
    <t>Mena, Manuel</t>
  </si>
  <si>
    <t>Manuel Mena</t>
  </si>
  <si>
    <t>…enrique Felipe Pottier,con retención del arcedianato de Monleon que obtiene en la misma iglesia: la canongía que ha vacado en la propia catedral por muerte de D. Josef Cartagena á D. Manuel Mena, cura párroco de Sta. María de la villa de Alaejos en aquella diócesis: la canongía que ha vacado en dicha iglesia por fallecimiento de D. Josef Sán chez Velasco á D. Josef María Valladares, medio-racionero de la misma ca tedral; y esta resulta á D. Ruperto S…</t>
  </si>
  <si>
    <t>Meñaca, Nieblas</t>
  </si>
  <si>
    <t>Nieblas Meñaca</t>
  </si>
  <si>
    <t>…io Roldan , Don Redro de Nava, iD; Miguel Araoz, D.: Juan Echenique, *6/ Vicente Varela, D. Agustín Blondo, D. Agustwt Wautersy D. Ramón Allendey-D» BenitoOirtiz, D/ Manuel Soli$y D. Nieblas Meñaca, D¿ 'Ignacio ValleMarimon; Don Antonio Gastón, D. Vicente’ Bauzáy&lt;D¿ Pedro dePalacio,D. Joaquín de Senroa y D. Nicolás Mayorga. __ •' ¡ :n Ascenso á tenientes de navio á los de fragata D.Francisco Fernandez Mi randa, D. Santiago'Echaparret, D. DiecoVenegas, D…</t>
  </si>
  <si>
    <t>Menacho, Pascual</t>
  </si>
  <si>
    <t>Pascual Menacho</t>
  </si>
  <si>
    <t>…D.. Francisco Antdhio Líbref ; D. Joaquín MuezVD. Juan Ignacio*Cervera, D. Salvador Ce bollino, D. Ventura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 Josef Valcárcel 'yRosique, D. Josef Gómez Artech…</t>
  </si>
  <si>
    <t>Menchaca, Joaquin González de</t>
  </si>
  <si>
    <t>Joaquin González de Menchaca</t>
  </si>
  <si>
    <t>…xtracción siguiente se executará el Zl de Mayo próximo. ARTICULO DE OFICIO. El Rey nuestro Señor se ha servido nombrar coronel del regimiento provincial de Burgos al de infantería D. Joaquin González de Menchaca. En atención á los distinguidos méritos y servicios de D. Juan Josef Heydeck, profesor de lenguas orientales, ha venido el Rey en agraciarle eon la cruz supernumeraria de la Real y distinguida órden española de Cárlbs ni. Estando vacante una de las ocho escue…</t>
  </si>
  <si>
    <t>Mendez, Miguel</t>
  </si>
  <si>
    <t>Miguel Mendez</t>
  </si>
  <si>
    <t>…ega. , Capellanía de D. Francisco de Ortega. Una hacienda de riego en Benádüx. Capellanía de D. Rodrigo Marín de la Ala. Dos bancales de tierra en id., Vega, Viator, Capellanía de D. Miguel Mendez y Doña Catalina Bascas. Cinco casas pequeñas frente del hospital , Almería'. Séptima s parte de los bienes del convento de , monjas de lá Concepción de Almería. Un pedazo de hacienda 6 paratas, Illár. MALAGA. Obra pia de Doña María Martínez dé Silva. Varías viñas y lasares deterior…</t>
  </si>
  <si>
    <t>Mendez, Santiago Antonio</t>
  </si>
  <si>
    <t>Santiago Antonio Mendez</t>
  </si>
  <si>
    <t>…Igualmente ha nombrado 5. M. para la dignidad de Camarero de la iglesia catedral de Tertosa á Don Josef Ramón López: é Ibarra: para el arcedianato de Borriol de la misma iglesia á D. Santiago Antonio Mendez; y para dos canongías de la propia iglesia á D. Juan Bautista Colomer y D. Carlos García Velarde. El Rey ha tenido á bien conceder á D. Pablo Infante los honores de contador de sus Reales exércitos en consideración á su zelo patriótico en las urgencias pasada…</t>
  </si>
  <si>
    <t>Mendicuti, Felipe</t>
  </si>
  <si>
    <t>Felipe Mendicuti</t>
  </si>
  <si>
    <t>…Gregorio Dalmao ; D. Francisco Navas., D. Filiberto Malus, D.;/Josef •¡Blanco*L). Mariano Córdoba * P. Josef Ferrer, D. Ca yetano Vivar , P,; JqseJ de^fcuenca, EX Francisco Caso, D. Felipe Mendicuti, í). Baltasar Gonzajes* *&gt;¿X;FVancisep de Torres, D. Andrés Casainayer, D. Francisco Reguera , D. Antonio García, D. Pedro Pineda , D. Josef Co nejo, D^Ramon Agón', D. Manuel -Gá'stambide , D. Juan Palomero , D. Ra^ mon Oleína, D. Fernando Belarde,;D. Miguel…</t>
  </si>
  <si>
    <t>Mendicuti, Josef</t>
  </si>
  <si>
    <t>Josef Mendicuti</t>
  </si>
  <si>
    <t>…Josef Rizó , D. Manuel Santos, D. Gregorio Losada ,D. Francisco Silva &gt; D- Josef Duran, D. Rafael* Máhi,D. Juan Sentmauat, D.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Enfy, D. Josef Aguilar,…</t>
  </si>
  <si>
    <t>Mendioia, Manuel Silvestre</t>
  </si>
  <si>
    <t>Manuel Silvestre Mendioia</t>
  </si>
  <si>
    <t>…egio que antes tenia de que sus individuos pudiesen usar de la escarapela roxa. Habiéndose dignado el Rey nuestro Señor admitir de D. Lorenzo Me dina , capitán de caballería, y de D. Manuel Silvestre Mendioia, vecino de Plasencia, los donativos que han hecho, aquel de 46200 rs. vn. de sueldos vencidos, y este de 5760 de la misma moneda, importe de los réditos de un juro, ha mandado S. M. que se les den en su Real nombre las gracias, y se publique en la gaceta.</t>
  </si>
  <si>
    <t>Mendivil, Manuel</t>
  </si>
  <si>
    <t>Manuel Mendivil</t>
  </si>
  <si>
    <t>…se conceden á los que pasan aho ra. Palacio 27 de Abril de 1815/* El Rey se ha servido nombrar para ana ración de la iglesia primada dé Toledo, que se halla vacante por muerte de D. Manuel Mendivil, á Don Cirilo Simón Carrillo: para otra ración de la misma iglesia, vacante por fa llecimiento de,D. Benito Aragón, á D. Manuel Vicente Vacas, con dimi sión de la capellanía de coro que obtiene en la propia iglesia: para otra ra ción de'la iglesia catedral de…</t>
  </si>
  <si>
    <t>Mendizabál, Francisca Martínez de</t>
  </si>
  <si>
    <t>Francisca Martínez de Mendizabál</t>
  </si>
  <si>
    <t>…eón de la Cámara Cano,' teniente corregidor de Ma drid ,Sse cifa; llama y emplaza á todas las personas que presuman tener derecho á los bienes que han quedado por fallecimiento de Doña Francisca Martínez de Mendizabál i víudá.qiíé-era de D. Dom ingo Rodríguez Varela , abogado de los Reales Conse jos y del ilustre colegio de esta corte y para que dentro dei término de ao días preci sos y perentorios, contados desde el idel .presente, acudan ante S. S. por el oficio del infr…</t>
  </si>
  <si>
    <t>Mendizabal, Francisco de</t>
  </si>
  <si>
    <t>Francisco de Mendizabal</t>
  </si>
  <si>
    <t>t catedral- pófrn*üerte de D. Mantel M*ttm á D. Jacinta Tadéo Montes. . la canongía ."vacante en la/catedral dé León por fallecimiento de 01 Ignació Pascual á D. Francisco de Mendizabal» y la canongía que ha Vacado en la misma catedral por muerte de D. Francisco Javier Sainz. £scaManuel Agüayo y Quevedá, fiscal dé la diócesis de Almería. ’T'®^anongía vacante, én : la catedral de Jaén: por muerte de D. Francisco Mulero 'Delgado á D. JosefCort…</t>
  </si>
  <si>
    <t>Mendizabal, Gabriel de</t>
  </si>
  <si>
    <t>Gabriel de Mendizabal</t>
  </si>
  <si>
    <t>60</t>
  </si>
  <si>
    <t>…M. para su inteligencia y gobierno^ ^Madrid i# de Maya de ^5. :a\¡. .--Vt* n. d - :J rL L - . r'.br.r.-:*'!»'* &gt;-.íVíf¿ V ¿I» ".0 y . SrpritV oimC'-.V coÓCü'ümI .&lt;1' v Ai teniente general D. Gabriel de Mendizabal digp c&lt;m resta fe£ha_fo( que sigue í (j *, ;.:V ; - f.; S ;i ’b'^'ltrSín *:C'm 3tÚ€0&lt;?v « &gt;!:&gt; „Queriendó el RéY nuestro Señor- dmr un* pubUcp testímonio de ^n apre cio á las valientes tropas que compusieron ef íntimo* egército del mandc:; de V. E. por el par…</t>
  </si>
  <si>
    <t>Mendoza</t>
  </si>
  <si>
    <t>…e re comendarlo á V. E., como también á todos los gefes y oficiales de la columna de la derecha, que han sentido vivamente no tener ocasión de obrar. En el escuadrón del mando del capitán Mendoza, á cuya frente cargué personal mente, se distinguieron particularmente su comandante, el porta D. Josef Eusebio Leija, teniente D. Nicolás Zarzosa, sargento Josef Puente, cabos Alejandro Soto, Juan JosefMeave, Encarnación Martínez y Francisco Paez* el soldado…</t>
  </si>
  <si>
    <t>…dos colum na^: la -de la izquierda, conmigo á s&amp; cabeza, compuesta de 500 caballos de lós ¿uefpbs dé 5. Luis, mandados por su capitán Bustamanté, dragones Heles del Potosí poi* el capitán Mendoza, piquete de Tampico por el teniente cofónel* graduado D. Cátlos Llórente, patriotas de Tulancingo, Acatlan, Atotonilco y S. Pedro de las Vaquerías mandados por sus capitanes O.*Ariscado CiáSfréTpD. Rafael Ásláin, D. Rafael DirrhnyíD* Juan Diego de la Orta, y…</t>
  </si>
  <si>
    <t>…as tropas de su mando, dirigiéndose á marchas forzadas ha cia Oresete y Bamberg. Entre estás tropas se distingue un hermoso regim iento de cazadores de 2foo plazas, mandado por el coronel Mendoza, español de nacimiento. ITALIA. Ñapóles ro de Agosto. Capitulación de la plaza de Gaeta. art. i.° „Et comandante de la plaza de Gaeta Bcgani la entregará á S.M. Fernando iv, Rey de las Dos Sicillas, con todo cuanto en ella se en* cierra. 2.0 „S. M. perdona al…</t>
  </si>
  <si>
    <t>Mendoza, Andrés de</t>
  </si>
  <si>
    <t>Andrés de Mendoza</t>
  </si>
  <si>
    <t>…l brigadier D. Ignacio Balan zat, coronel agre gado al regimiento de infantería 2.° d¿ la Princesa, con el sueldo qué actual-* mente goza: pará la tercera división de Andalucía al brigadier D. Andrés de Mendoza, teniente de Rey de la plaza de Ceuta, con el sueldo de 2500 rs. de vñ. mensuales , como equivalente al: que en el dia disfruta por el destino .que deja y obvenciones anejas á él; ypará? la cuarta división de Galicia al mariscal ae campo D. Juan Poutoüx y Mog…</t>
  </si>
  <si>
    <t>Mendoza, Ignacio Mariano de</t>
  </si>
  <si>
    <t>Ignacio Mariano de Mendoza</t>
  </si>
  <si>
    <t>…los quatró ?ños que le faltan para cumplir su sexenio: para el corregimiento de Tordesillas á D. Pedro Ventades: para el de Reynosa á D. Domingo Salinas: para la vara de Murcia á D. Ignacio Mariano de Mendoza: para la de Rueda á D. Manuel* Sotillos Montijo ; y para la de Moron á D. Francisco Caballero Henrújuezrpara el corregimiento de Requena á D. Miguel Martinez Del gado: para la vara'de Alcalá la Real é D„ Josef Melitcn de Nava*, para la de Villaroblcdó á D. Jo…</t>
  </si>
  <si>
    <t>…yor de la Isla de León, se ha servido concederle, á consulta de la cámara, Honores de alcalde del crimen de la chancillería de Valladolid: de alcalde.del crimen de la de Granada á D. Ignacio Mariano de Mendoza, alcalde mayor de Murcia* y á D. Julián Ruia Marín , alcalde mayor de Ubriquei , En atención á los méritos y particulares; servicios de D, Manuel Antonio de Echevarría, D. Ramón Alaasoro, D. Andrés Ibañez y D. Ramón Queraltó j ha tenido i bien S. M. nombrarle…</t>
  </si>
  <si>
    <t>Mendoza, Joaquin de</t>
  </si>
  <si>
    <t>Joaquin de Mendoza</t>
  </si>
  <si>
    <t>…exar D. Epifánio Ignacio de Ruiz, comisario de guerra de los Reales exércitos en la ciudad de Cádiz, pertenecientes á Doña Pau la de la Cruz y Mendoza, viuda del mariscal de campo D. Joaquin de Mendoza, gobernador político y militar que fue de la plaza de Gerona, se servirá presentar los al Sr. D. Domingo Requejo, que vive en Madrid, calle de S. Juan, núm. 4, quartó principal, en donde se justificará que dichos vales pertenecen á la indicada señora. Fundame…</t>
  </si>
  <si>
    <t>Mendoza, Josef de Chaves y</t>
  </si>
  <si>
    <t>Josef de Chaves y Mendoza</t>
  </si>
  <si>
    <t>…* . El Rey nuestro Señor por resolución á consulta de la cámara de 20 de Setiembre ultimo, se ha servido i conceder título de Castilla, con denominación de conde de Casa-Chaves, á D. Josef de Chaves y Mendoza, caballero de la Real distinguida orden española de Cárlós jii , alguacil mayor de la Inquisi ción de Llerena, y secretario de la de corte, para sí, sus hijos y sucesores, en atención á su distinguida calidad, adhesión á la justa causa, y servicios patriótico…</t>
  </si>
  <si>
    <t>Mendoza, Josef María</t>
  </si>
  <si>
    <t>Josef María Mendoza</t>
  </si>
  <si>
    <t>…j^eafcmnzar. El Dr. Crespo, vocal por Oaxaca en el congreso de Chilp*h&amp;hgó, fue herido por el cabo Juan García, de la Real marina; persistiendo eñ huir le obligó con su pistola el capitán Don Josef María Mendoza á rendirse prisionero, á cuyo oficial recomiendo á V.E. Al vocal Bustamanté creen algunos haberle reconocido entre los muertos coii su muger. Yo, como no estoy cierto, no me atrevo á aseguarlo á V. E. Al coronel Teredo, nombrado plenipotenciario de los Esíudo…</t>
  </si>
  <si>
    <t>Mendoza, Juan Antonio Ruiz de</t>
  </si>
  <si>
    <t>Juan Antonio Ruiz de Mendoza</t>
  </si>
  <si>
    <t>…e Palma, canónigo de la misma iglesia; y esta resulta á D. Mañud López Pizano.rrLa dignidad de tesorero de la colegiata de Rázaf vacante por fallecimiento de D, Antonio Mancebo, á D. Juan Antonio Ruiz de Mendoza, canónigo de la propia iglesia ; y esta canongía á D. Gabriel Fer nandez: la dignidad de chantre de ia misma, vacante por fallecimiento de D. Pedro Mellado , á D. Martin Miturovier, debiendo quedar sin efecto «I nombramiento hecho anteriormente pata el arcipr…</t>
  </si>
  <si>
    <t>Mendoza, Manuel</t>
  </si>
  <si>
    <t>Manuel Mendoza</t>
  </si>
  <si>
    <t>…, D. Domingo Cheli y D. Cenon Gar cía: á los capitanes marques dé A-yerve , 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t>
  </si>
  <si>
    <t>Mendoza, Martin</t>
  </si>
  <si>
    <t>Martin Mendoza</t>
  </si>
  <si>
    <t>…a Campero, D.* Pedro Montuel, D. Joaquín Moyua, D. Manuel Salaberria, &gt;D. Eugenio Vizcaíno, D. Félix Torrontegui, D. Luis de ios Riosy1Ü&gt;.: Vicente Sáavedrá, D. Migue! Montemayor, D. Martin Mendoza, D. Julián Henriquez, D. Josef'dél' Rio Eligió, D; Juan jósef Giiidoy D/ BenitodelaRigádtf &amp; Miguel Lizarza, D. Tgnacio Glaetay D/Francispo de Zayasy-D. ;juanrMiyáres ¿ jD.&gt;Antonio -Abadía» Ds Manuel Fernandez Fiorez. IX Ramón García Florez» D. Anto*</t>
  </si>
  <si>
    <t>Mendoza, Miguel Gayoso de</t>
  </si>
  <si>
    <t>Miguel Gayoso de Mendoza</t>
  </si>
  <si>
    <t>…das se remití— rán de dicho ministerio á la comisión que para este objeto se ha servido nom brar S. M., y .se compone del conde de Trastamara, que hará las veces de presidente; de D. Miguel Gayoso de Mendoza, señor de Rubianes, grandes* ae España de primera clase, y del marques de Cilleruelo , mayordomo de semana de S. M., sugetos que por notoriedad se hallan en el caso de haber merecido la mencionada cruz efe distinción, y de D. Francisco Javier Perezt Gutiérrez…</t>
  </si>
  <si>
    <t>Mendoza, Pablo Rodríguez de</t>
  </si>
  <si>
    <t>Pablo Rodríguez de Mendoza</t>
  </si>
  <si>
    <t>…D. Josef Remio de Arias: para teniente coronel en el de Mages al sargento mayor D. Manuel Moron: para igual empleo en el de caballería de Luya y Chillaos al tenien te de milicias D. Pablo Rodríguez de Mendoza: para comandante de esqua dron én el de dragones de Mages al capitán D. Josef Villegas i para sargen to mayor en el de Andahuaylas ai capitán £). Alonso Nuñez García : para igual empleó en el de caballería de Luya y Chillaos al capitán D. Antonio Rodríguez; p…</t>
  </si>
  <si>
    <t>Ménds, Roberto</t>
  </si>
  <si>
    <t>Roberto Ménds</t>
  </si>
  <si>
    <t>127</t>
  </si>
  <si>
    <t>…o'en virtud de pombra miento de la Junta central, . Halándose jíI R.ex,en.terada^de l¿s^ extraordinarios servicios que en la última guerra, hizo á la España el conmódoro británico D. Roberto Ménds,* se b^tseryidp concederle la,gracia de cr»s? supernumeraria d¿ la Real y distjngüida órdep Española,de (Jarlos iu./ ^ r : ,n\ »•. i*.'-. o’:-; ; í,‘ • il ’ ’.-••{ - ; ‘ ^ ^ »; : j Dteseando.el Rey nuestro Señpr premiar lps distinguidos servicios hechos por ¿…</t>
  </si>
  <si>
    <t>Menendez, Pedro</t>
  </si>
  <si>
    <t>Pedro Menendez</t>
  </si>
  <si>
    <t>…á cuyo favor están endosados últimamente ; y hallándo se los 44 en él de D. Feliciano de Guizaburuaga, uno á D. Mariano Espinosa é hi jo, o¡tro á D. Lorenzo Sánchez,y .el último á D. Pedro Menendez, ignorándose la existencia y paradero de estos cuatro sugetos, ha acordado el nominado señor te niente se les haga notoria dicha demanda por medio de este periódico, para que en el preciso término de 20 dias, contados desde esta fecha, acudan ante el propio s…</t>
  </si>
  <si>
    <t>Meneses, Josef</t>
  </si>
  <si>
    <t>Josef Meneses</t>
  </si>
  <si>
    <t>…víaDv Antonio Es parza , D. Andrés ArtiatyD. Josef Dalpy D. Josef Navarro, 0; Baltasar Co&gt; mellas, 0. Juan Brayo, D. Josef González Merino, D. Joaquín Aguado , Bou Ramón Palacio, D. Josef Meneses , D. Antonio Riosoto , 0. Manuel Monde* toro, D. Manuel Crespa, D. Luis María Sarasti, D. Tomas Orive, 0. Ma« jnuel Cayaleri , D. Agustín del Barco, D. Francisco Andrada, D. Juan Ltí« »ás,D. Joaquín ALvarez Maldbnado, 0. Rodrigo Sánchez Airona, D. RaU* hiel A…</t>
  </si>
  <si>
    <t>Menf, Hilario Josef de</t>
  </si>
  <si>
    <t>Hilario Josef de Menf</t>
  </si>
  <si>
    <t>…món Perez López; para la de Chelva á D. Josef Morant y Se— arra; para la.de Concentaina á D« Gregorio Amorrich; para la de Elda á ). Francisco Pomares y Seller; para la de Chiva á D. Hilario Josef de Menf doza; para la de Bellinova á D. Benito Gabriel Aguilera; para la de Relleo I D. Francisco Cornago ; para la de las villas de Onil, Castalia y Tibi á D. Benito Dieguez. Igualmente se ha servido S. M. reponer en la vara de alcalde mayor segundo de la ciudad de…</t>
  </si>
  <si>
    <t>Ménóloza, Artas Gonzalo de</t>
  </si>
  <si>
    <t>Artas Gonzalo de Ménóloza</t>
  </si>
  <si>
    <t>…proporcionada, y de haber estado siempre aban donado á sus antojos y caprichos, siendo co¿a muy fácil á la ciencia hidráu lica sujetar su pasagera ferocidad. . .. . . ,,Convencido D. Artas Gonzalo de Ménóloza y,Francia, en ids^tacde;varios; informes de facultativos inteligentes, de la posibilidad de encadenar su furia, fijándole unos límites, que, no sea osado en lo sucesivo á traspasar , y pene trado jal mismo tiempo de las felices consecuencias qué se requerían…</t>
  </si>
  <si>
    <t>Menor, Pedro</t>
  </si>
  <si>
    <t>Pedro Menor</t>
  </si>
  <si>
    <t>…acrbix,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Cayetano Salcedo, Dw Andrés Nieto.-, B; Manu…</t>
  </si>
  <si>
    <t>Mentís, Rafael de</t>
  </si>
  <si>
    <t>Rafael de Mentís</t>
  </si>
  <si>
    <t>…Alba , casa del establecimiento del Crédito público, y en las provincias á los comisionados siguientes: En Sevilla............ D. Nicolás Jorge de Arespacochagíi. En Córdoba...... D. Rafael de Mentís. . En Granada....... D, Francisco de Unzaga. En Badajoz........ D. Cáelos Sebastian Malagamba. En Pía senda...... D. Juan Campo y Ojiva. En Valencia.. D. Ramón Miiralles.</t>
  </si>
  <si>
    <t>…ba, casa del establecimiento del Crédito público, y en las provincias á los comisionados siguientes: Mn Sevilla............ D. Nicolás Jorge de Arespacochaga. JEn Córdoba......... D. Rafael de Mentís. Mn Granada..... .. D. Francisco de Unzaca. JEn Badajoz.,»......D. Garlos Sebastian Malagamba» JEn Pldsencia.......D. Juan Campo y Oliva. Mn Valencia..... . D. Ramón Miralies. Mn Avila............. D. Manuel Palomares. JEn Guadalajara. D. Joaquín Veladiez. Mn…</t>
  </si>
  <si>
    <t>Menyhazi, Pedro</t>
  </si>
  <si>
    <t>Pedro Menyhazi</t>
  </si>
  <si>
    <t>…a construcción, de la bandera.»_Tu y: su ayuntamiento, ídem. _— Jerez: su ayunta mienta* ídem,. De parte del magistrado de SzegedTn * en. Hu ngría * se cita * líarr¡a y empla za á D. Pedro Menyhazi* alias Maradhazi * natural de Szegedin * en Hungría* militar al servicio de su Magestad Católica, para, que.comparezca apte dicho magistrado antes de primero' dé Junio de 1816, á fin que recoja una pe queña herencia que le pertenece; pues de lo contrario, se…</t>
  </si>
  <si>
    <t>Mercader, Diego Ramón</t>
  </si>
  <si>
    <t>Diego Ramón Mercader</t>
  </si>
  <si>
    <t>…lero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Josef Marín, D. Josef Alcáza…</t>
  </si>
  <si>
    <t>Mercádo, Antonio</t>
  </si>
  <si>
    <t>Antonio Mercádo</t>
  </si>
  <si>
    <t>…nzález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Ramón ‘Riotórt, D. Francisco Luis Jácome, D. Josef.Escovar;D.:Santos Leccea£ D. Bernardo Latorre, D. Joaquín de la Cámara, D; Josef HidalgoDon Tpmás G…</t>
  </si>
  <si>
    <t>Meriage</t>
  </si>
  <si>
    <t>…ó heridos t entre los que hay dos oficiales y el mayor Bauer, del estado mayor, cuya pérdida he sido muy dolorosa aí Príncipe de Wrede. &lt; Eí 24 recibió este Príncipe una carta del general Meriage, en que le anun ciaba que Napoleón habia renunciado el trono de Francia, y que se habia creadd en París un gobierno provisional, el cual habia enviado una diputa ción áJoa, Soberanos aliados, en cuyo supuesto pedia una suspensión de ar mas : casi al mismo tie…</t>
  </si>
  <si>
    <t>Mérida, Cosme Moreno y</t>
  </si>
  <si>
    <t>Cosme Moreno y Mérida</t>
  </si>
  <si>
    <t>…runa: para la de Sanlúcar la Ma yor á D. Juan Ribera: para la de Calasparra á D. Josef Antonio Picazo: para la de Jumilla á D. Francisco Morales de los Ríos: para la de Velorado á D. Cosme Moreno y Mérida: para la de la villa del Prado á D. Luis Fran cisco Sanz Teresa: para la de Belmonte á D. Pedro Antonio Moraleja y Montalban: para la de Carcabuey á D. Juan Carlos Callaba: para la cíe Cartaya á D. Joaquín Fernandez Duran: para la de Mansilla de las Muías á D…</t>
  </si>
  <si>
    <t>Merino, Alejandro</t>
  </si>
  <si>
    <t>Alejandro Merino</t>
  </si>
  <si>
    <t>…Filipinas, Lima y Caracas á los coroneles de dicha arma D. Josef Ponce, D. Manuel Llano y D. Francisco del Pino. D. Manuel Ordoñez, capitán del regimiento provincial de Toledo, y D. Alejandro Merino, regidor perpetuo de dicha ciudad, alcaldes de su San ta y Real hermandad vieja, y lugar-tenientes del Sermo. Sr. Infante Don Carlos María, han puesto á disposición de S. M. 15® rs. en metálico por via de donativo én nombre y representación de la referida Sta…</t>
  </si>
  <si>
    <t>Merino, Josef González</t>
  </si>
  <si>
    <t>Josef González Merino</t>
  </si>
  <si>
    <t>…nTavaiy D, Pedro Argaiz, D:¡ Pabío Venéwies .y jDi jFramasco Sara víaDv Antonio Es parza , D. Andrés ArtiatyD. Josef Dalpy D. Josef Navarro, 0; Baltasar Co&gt; mellas, 0. Juan Brayo, D. Josef González Merino, D. Joaquín Aguado , Bou Ramón Palacio, D. Josef Meneses , D. Antonio Riosoto , 0. Manuel Monde* toro, D. Manuel Crespa, D. Luis María Sarasti, D. Tomas Orive, 0. Ma« jnuel Cayaleri , D. Agustín del Barco, D. Francisco Andrada, D. Juan Ltí« »ás,D. Joaquín ALv…</t>
  </si>
  <si>
    <t>Merino, Manuel Armenteros</t>
  </si>
  <si>
    <t>Manuel Armenteros Merino</t>
  </si>
  <si>
    <t>196</t>
  </si>
  <si>
    <t>196 Real mano de S. M., y cumplimentarle en nombre de los priores y benefi ciados de la ciudad de Ubeda, el maestro D. Manuel Armenteros Merino, prior párroco propio de la iglesia de S. Isidoro de la ciudad de Ubeda, y D. Rafael Zarate, beneficiado de la de S. Nicolás de la misma, acompaña dos del Excmo. Sr. duque de Montcmar; y el primero felicitó á S. M. en los términos siguientes: ,,Señor: la corp…</t>
  </si>
  <si>
    <t>Merino, Redro Pérez</t>
  </si>
  <si>
    <t>Redro Pérez Merino</t>
  </si>
  <si>
    <t>…S. Justo y; Ptstoi:, di putado eclesiástico del Barrio del mbmo nombre ;, D. Miguel de Náxera, agente por &amp; M. de les del número de Indias , diputado del Barrio de San Gir.és ,.y D. Redro Pérez Merino,, ageute de negocios de los Reales conse jos, y alcalde del Barrio de’ Santiago ; y tomando la palabra el primerojii-</t>
  </si>
  <si>
    <t>Merino, Tomas</t>
  </si>
  <si>
    <t>Tomas Merino</t>
  </si>
  <si>
    <t>…suerte. La persona que supiese de ella tendrá la bondad de avisarlo á D. Antonio, su hermano, que vive Postigo de S. Martin, núm. 23. cuarto último. Al que supiese el paradero de D. Tomas Merino, y Zuazo,. natural de Vil!arta Quintana, provincia de Rioja, que se ausentó de esta corte y cálle de Hortalezat Aúna. 10, donde vivía en el mes de Marzo del año de 1807, se le suplica1 lo avise en esta corte á D. Ventura Fernandez, del comercio, red de S. Luí…</t>
  </si>
  <si>
    <t>Merlo, Juan Josef López</t>
  </si>
  <si>
    <t>Juan Josef López Merlo</t>
  </si>
  <si>
    <t>…cado la R’eal. órden que sigue Habiendo Hecho presente, al Rey nuestro Señor la orden de 26 de Junio último ,.que se me pasó por. el Ministerio de Gracia y Justicia, concediendo á D. Juan Josef López Merlo , D. Agustín Josef Alvarez y D. Gerónimo Josef Fernandez- la- mitad de los sueldos que gozaban cii,sus destinos-de.Se cretario de la Diputación provincial;de. Guadalájara el primero , 'Gl¡ciál ma yor el. segundo y Escribiente el- tercero-, y la Real orden de…</t>
  </si>
  <si>
    <t>Mero, Pablo de Sangro y</t>
  </si>
  <si>
    <t>Pablo de Sangro y Mero</t>
  </si>
  <si>
    <t>…al de los cuerpos y tropas de casa Real, se ha mandado citar, llamar y emplazar á io dos y cualesquier personas que se conceptúen con deiecho á los bienes que ha deja do el Escmo. Sr. D. Pablo de Sangro y Mero de, príncipe de Gaste ifranco, capitán general que fue de los Reales egércitos de S. M.&gt; y coronel y director del Real cuerpo de guardias Walonas, que falleció en esta corte abintestato el dia 24 de Enero de este presente .año, como igualmente » todos los acr…</t>
  </si>
  <si>
    <t>Merode, Pablo de Sangro y</t>
  </si>
  <si>
    <t>Pablo de Sangro y Merode</t>
  </si>
  <si>
    <t>…prosperidad de la nación, por la lealtad de V. M., y por el respeto á la divina religión.** En 24 de Enero próximo pasado falleció en esta corte, á los 67 años de edad, el Exorno. Sr. D. Pablo de Sangro y Merode, natural de la ciudad dé Ñapóles, príncipe de Castelfranco, grande de España de primera clase, caballero de la insigne orden del Toyson de Oro, gran cruz de la Real dis tinguida orden española de Carlos 111, gentilhombre de cámara de S. M. Con exercicio, come…</t>
  </si>
  <si>
    <t>Mesa, Josef Fernandez</t>
  </si>
  <si>
    <t>Josef Fernandez Mesa</t>
  </si>
  <si>
    <t>vrou muerte de D. Josef Fernandez Mesa á D. MartinianoFrancisca) Pastor; ssEi deanato y canongía de la catedral de Lérida, vacantes por promoción de Don Eduardo María Saenz de la Guardia á la iglesia y obispado dé Huesca, á Doit&gt; Cayetano Foncerrada, canónigo de la iglesia metropolitana de Mégico…</t>
  </si>
  <si>
    <t>Meseguer, Francisco</t>
  </si>
  <si>
    <t>Francisco Meseguer</t>
  </si>
  <si>
    <t>…o del agente fiscal de la sala de alcaldes de casa y corte, natural de la Gran Canaria, y vecino de esta corte, al Peñón de Velez de la Gomera por ocho años, y con igual cualidad. D. Francisco Meseguer., agente de negocios, natural de Orihuela,y ve cino de esta corte, al presidio de Ceuta por seis años, con destino'á los migueletes, y con la circunstanci :» que los anteriores. D. Pascual Navarro, pensionado por la Real hacienda, natural de la ciudad de Hues…</t>
  </si>
  <si>
    <t>Mesía, Ignacio Osorio y</t>
  </si>
  <si>
    <t>Ignacio Osorio y Mesía</t>
  </si>
  <si>
    <t>…a catedral pojr v muerte de í). Julián Perez González á D. Josef Parracia , racionero de la misma. , ... La dignidad de prior vacante en la catedral de Coria' por fellecimjeotó de D. Ignacio Osorio y Mesía á D. Josef Hayela y.Caballero, canónigo .de la de Lérida, y el arcedianato titular de ja misma catedral, que ha vacado por muerte de D. Juan Rodríguez Atbarrán, á Frey D. Juan Guillen y Va lencia , con dimisión de la capellanía de honor que en la actualidad o…</t>
  </si>
  <si>
    <t>Mestre, Agustín Josef</t>
  </si>
  <si>
    <t>Agustín Josef Mestre</t>
  </si>
  <si>
    <t>…y cos tumbres, y de los grados de revalida y de doctor en farmacia, sin cuyos requisitos, y pasado dicho término, no serán admitidos. Dado en Madrid á i.° de Marzo de 1815. = Dr. D. Agustín Josef Mestre. =Dr. D. Matías V'elasco. = Dr. D. Gerónimo Lorenzo. = Por acuerdo de la Real junta = Manuel de Granda y Ribero, secretario*</t>
  </si>
  <si>
    <t>…zequiel de las Barcenas ha venido S. M. en confítmaile los honores de intendente de provincia. El Rey nuestro Señor se ha servido nombrar boticario mayor de sus Reales exércitos á D. Agustín Josef Mestre, que lo es de su Real cámara. Habiendo e! presbítero D. Antonio Berna!, vecino de Granada, ofreci do á S. M. por un efecto de patriotismo el donativo de 4620 rs. y 10 mrs. vn., que ha heredado de su tio D. Lucas Portillo, teniente que fue de ca ballería de Sa…</t>
  </si>
  <si>
    <t>Metternich</t>
  </si>
  <si>
    <t>…sputas muy acaloradas en estas últimas sesiones. H*n vuelto á abrirse las conferencias sobre los asuntos de Alemania, y en ellas se sigue el plan de organización presentado por el príncipe Metternich. La infantería de línea del exército austríaco asciende á 349220 hombres; ia infantería ligera, comprehendieudo los regimientos de las fronteras, á 85800 hombres, en todo 435$: la caballería consiste en 57760 hombres, -y con la reserva en 75®; la artillería e…</t>
  </si>
  <si>
    <t>…á los plenipotenciarios-de las otras cortes reales, y que el traslado de ella se publique. i? - ^ . . ,, Siguen por orden alfabético las firmas de las Cortes. , ,t Austria. a= El príncipe Metternich. = El barón de Wessemberg. s=E s-r paña. = Pedro Gómez Labrador. = Francia, zz El príncipe Taíleyrand. = El duque de Dalberg. == El conde Alexis de Noailjes.ssGran Bretaña.^.Qan-, carty. izCathcart. == Stevo&amp;rt. ^Portugal. = Jjil conde de Pálmela.5= Saldanha.…</t>
  </si>
  <si>
    <t>Mezquita, Josef Chueca y</t>
  </si>
  <si>
    <t>Josef Chueca y Mezquita</t>
  </si>
  <si>
    <t>…incipios del mes de Junio próximo. Versión parafrástica: castellana del oficio y misa de la festividad del Santísimo Sacramento y su octava, según el breviario y misal romano: por D. Josef Chueca y Mezquita, doctor en derechos &amp;c. En esta octava del Corpus se celebra lo ma? sublime que la Iglesia tiene en sus misterios, pues sin nota de exceso se podrá decisque en este se contienen ios mas principales, y que en ella es donde se anun cian como de lleno las gloria…</t>
  </si>
  <si>
    <t>Mi</t>
  </si>
  <si>
    <t>…1815 . == YO EL REY.sr Yo D. Juan Ig nacio 'de Ayeitaráu, Secretario!del Rey nuestro Señorito hice escribir por Sii mándado. ¿s El Dú^ue del InfántadO.!= D. Sebastian de Torres. = D. Mi?guel ‘Alfonso Villagomez. =±D. Gerónimo* Antonio Diez; == D. Tadeo Go*mez. = Registrada, Aquilino Escudero. = Teniente de Canciller mayor¿ Aqui lino Escudero. / ¡7 El Rey, se ha servido nombrar para úna ración , vacante en la iglesia me. t ropel i tana de Sev…</t>
  </si>
  <si>
    <t>…r muerte de D. Manuel Sánchez Alonso á D. Lucas Cotilla y Sánchez, cura párroco de Nava-Gallega en aquella diócesis.=La ración vacante en la catedral de Avila por fallecimiento de D. Mi guel Celestino de la Madrid á D. Juan Martin Parra, cura párroco de la vi lla de Maderuelo en el obispado de Segovia. = El benefició servidero de la vi lla de Alburquerque, vacante por muerte de D. Pedro Caballero Huertos, á D. Antonio Pantoja, cura párroco d…</t>
  </si>
  <si>
    <t>…eer, escribir, catecismo, aritmética y ortografía castellana, fueron premiados con medallas de oro y plata como los mas sobresalientes los alumnos siguientes: D. Miguel Palomares, D. Mi guel de Arévalo, D. Esteban Santaló, D. Josef Coello y D. Antonio Martí nez ; y como se presentaron algunos alumnos que se acercaban en conocimien tos á los premiados, dispuso la junta de censura darles una distinción que les sirviese de recompensa á su aplic…</t>
  </si>
  <si>
    <t>Mi, Francisco</t>
  </si>
  <si>
    <t>Francisco Mi</t>
  </si>
  <si>
    <t>…Aguilar del Rio Alhama á D. Juan Ricardo Lozoyo: pa ra la de Castro del Rio á D. Antonio María Navarro: para la de Villarejo de Fuentes á D. Juan Roza Ridoces: para la de Lerin a D. Francisco Mi guel Lombardo: para la de Villalon á D. Saturnino Tablares: para la de Guernica á D. Josef Manuel dp Aizpuru: para la de Jerez de la Frontera ID. Juan de Dios Aguilar: para la de Cervera del Rio Alhama á D. Miguel Antonio Rodrigo; y para la de Bórnos á D. Jos…</t>
  </si>
  <si>
    <t>Mi, Juan</t>
  </si>
  <si>
    <t>Juan Mi</t>
  </si>
  <si>
    <t>…María Gómez Villaseñor, canónigo de Guadalaxara* Asimismo se.ha servido nombrar para la dignidad de maestrescuela de la iglesia metropolitana de Sevilla, vacante por promoción de-D. Juan Mi guel Perez Tafalla, al arcedianato titular de la misma iglesia, á D. Fran cisco Arjo,na, ministro del Consejo Real, conservándole las honras, distit^— ^.ciones. y preeminencias de tal consejera: para Ia canongía y dignidad de ajr«cediano.de \fillavicipsa, en…</t>
  </si>
  <si>
    <t>…de Coria , por fallecimiento de D. Diego Ramos Aparicio, á D. Marcos Domínguez Ga- llego, cura párroco del lugar de los Casares: para otro beneficio simple, vacante por müerté-de D. Juan Mi lían en la parroquial de Sta. Eulalia de Viliacoba y jurisdicción dé la villa de bfóya &gt; en el arzobispado de Santiago» a D.üJósefi Luis Guérrary^Millares: paira óir&amp; beheficiÓ^simplé de CalzadiHwpívácanie po* iüuerté dé D. Gelasió Orive y QüitíMdó i para el…</t>
  </si>
  <si>
    <t>Michel, Roberto</t>
  </si>
  <si>
    <t>Roberto Michel</t>
  </si>
  <si>
    <t>…ñol debe sentir___tlabia nacido en Badajoz el año de 1744, donde un profesor que pasaba á Portugal, y se detuvo dos años en aquella ciudad, le enseñó los principios del diseño , y D. Roberto Michel , escultor de cámara de Car los ni, los de la escultura en Madrid, concurriendo Sepúlveda al propio tiempo á dibujar y modelar á la misma academia. Y como esta hubiese visto su aplicación y progresos, le confirió una pensión para que aprendiese el</t>
  </si>
  <si>
    <t>Michelena, Jaime</t>
  </si>
  <si>
    <t>Jaime Michelena</t>
  </si>
  <si>
    <t>…Tomas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Riquélme- ; ^ Ascenso á tenientes de fragata A los alféreces de navio D. Josef Rodríguez, D. Francisco.; Guiral, D. Ignacio de Rojas, D¿ Antonio Garrapedo, D. Fran-t pisco Ruiz…</t>
  </si>
  <si>
    <t>Michelena, Luis</t>
  </si>
  <si>
    <t>Luis Michelena</t>
  </si>
  <si>
    <t>…sobrevenida,eu aquella acción, respecto de no haber nacido esta de sus disposiciones, sino de la in observancia de ellas en mucha parte: Que los Brigadieres D. Fernando Miyares-y, D. Luis Michelena obraron con alguna inatención á las órdenes deí General O Donell, y no tuvieron aquella cautela que sxigia su rsituacion y la de los enemigos en Vkrr; pero que en consideración á haberse excedidoj, no por falta de valor y buenos sentimientos, sino por su ardo…</t>
  </si>
  <si>
    <t>Mignel</t>
  </si>
  <si>
    <t>…e deán de la iglesia metropolitana dé Granada V á'D¿ Antonio Vidáurreta, canónigo dé la6de Patencia: para la'ración qóe'ha vaca do en la iglesia catedral de Zamora porpromocion de D. Mignel l.opez- qué la obtenía á otra de lá dé Plasencia ár D. ‘Manuel rMifándlíí para él benefrf| cip sacristía de Viljamor de los 'Escuderos, en élobispádóde 2amora , 4 D. Antonio Nicolau y Puig: para otro benefició ’ simple servidero titulado de Santiago del Teso,…</t>
  </si>
  <si>
    <t>Migue</t>
  </si>
  <si>
    <t>…muchos años. Madrid 13 de Fébrero de 1815. ' &gt; El Rey nuestro Señor se ha servido promover a subtenientes delReal Tuerpó de Artillería á los caballeros cadetes D. Filiberto Mahy , D. Migue! Araózq D. Juan A riña da, Di. Manuel Ortega, D. Rafael, Cor réa, D. -P ed ro Ortega:, Di Josef Vázquez, D. Josef Estrada; D. Ramo» Romero, D. Joaquini Edhevarría; Dv Casimiro Cañedo, D. Josef Cebrian ,;D. Salvador Pa nlagua, D. Josef Saenz dé Viniegra, p. Na…</t>
  </si>
  <si>
    <t>…egui y D." Josef García Campero, D.* Pedro Montuel, D. Joaquín Moyua, D. Manuel Salaberria, &gt;D. Eugenio Vizcaíno, D. Félix Torrontegui, D. Luis de ios Riosy1Ü&gt;.: Vicente Sáavedrá, D. Migue! Montemayor, D. Martin Mendoza, D. Julián Henriquez, D. Josef'dél' Rio Eligió, D; Juan jósef Giiidoy D/ BenitodelaRigádtf &amp; Miguel Lizarza, D. Tgnacio Glaetay D/Francispo de Zayasy-D. ;juanrMiyáres ¿ jD.&gt;Antonio -Abadía» Ds Manuel Fernandez Fiorez. IX Ramón G…</t>
  </si>
  <si>
    <t>Miguel</t>
  </si>
  <si>
    <t>…ia de Burgos, y á propuesta del di rector general, se ha dignado S. M. en 31 de Diciembre último nombrar le para la contaduría de' rentas de Galicia , vacante por fallecimiento de D. Miguel de la Lastra : para la contaduría de Burgos que aquel dexa al contador de la provincia de Salamanca D. Josef Sánchez: para la contadu ría de Salamanca que este dexa al contador de la provincia de Paleada D. Eduardo Fermín Morte; y para esta resulta á D. Juan…</t>
  </si>
  <si>
    <t>…D. Maimel del Barrio, D. Bartblómd Labrador, D. Raimun do Marín, D. Josef Fernandez de los Muros, D. Fernando Plaza, D. Isidro Cifuentes, O. Antonio Montesinos, D. Lorenzo García, D. Miguel1 Blanco* D. Francisco Sancha, D.-AntonioEstevezyD; Ildefonso Mansilla, D. Gre-f gOrio Pieoir, D. Cristóbal Bermejo ,D. Francisco López, D. Francisco Arahuetes i D. Joaquín Escorriguela, D. Francisco Biatela y D. Nicolás Viguri (*.). 1 Asimismo se lia servido…</t>
  </si>
  <si>
    <t>Miguel, Félix</t>
  </si>
  <si>
    <t>Félix Miguel</t>
  </si>
  <si>
    <t>…emedio alguno ;pues él mismo rae na informado que ni sola una dracma de crémor tomó concluidos sus baños. En el día n de Abril,del presente.año dé 1815: principió á bañarse el Dr. D. Félix Miguel, catedrático de clínica de la universidad de Valencia, por estar afecto de una artritis nerviosa que le tuvo imposibilitado en una cama por espacio de seis meses,y continuando sus baños hasta el número de</t>
  </si>
  <si>
    <t>Miguel, Josef</t>
  </si>
  <si>
    <t>Josef Miguel</t>
  </si>
  <si>
    <t>…nte de fragata Don JOáquih Santaoláya: la de la derecha, compuesta del batallón ligero de San Luis al cargó de su sargentía mayor D. Josef Barradas, piquete de Zamora dí cargo deí teniente D. Josef Miguel, compañías del regimiento i.° Ameri ca noal de t ¿o capitán D. Josef Car na 20, provincial de Fernando vií de Pueclafce D. Fernando Gortázar, 50 artilleros volantes y 30 catallós^d^Qbe^érflróicbn dbs piezas dé aítillería qíie mandaba el capitán Don Gaspar de…</t>
  </si>
  <si>
    <t>Miguel, Manuel</t>
  </si>
  <si>
    <t>Manuel Miguel</t>
  </si>
  <si>
    <t>*44 ~ EiSt*&gt;0, Loon.de h Gámara Canor, áefro*sejo^S&lt;M;temen fe corregios de 'cHa;hcroyca T¡Ua » y jacz de !a testamcntaría del Excmo. Sis. D. Manuel Miguel, Qsoriq, marques que fue .de A lean ices , en .auto, proveído «o.^sd-jl^róaímo pasa-, ¡do por ante el cséribanq de número P. Claudio Sana, lis» señalado para celebran junta general de acreedores i dicha testamentaría je! íúnes xp del corriente ája hora, de [a…</t>
  </si>
  <si>
    <t>Miguel, Rafael</t>
  </si>
  <si>
    <t>Rafael Miguel</t>
  </si>
  <si>
    <t>…los grados siguientes: de coronel de infantería á D. Luis Antonio de &gt;ueda , sargento mayor entonces del primer batallón de voluntarios deS Ciudad- Rodrigo: de teniente coronel á D. Rafael Miguel y D. Tomas Ro drigo, capitanes del regimiento provincial de Segovia, D. Benito Bocanegra, del de voluntarios de Avila, D. Fernando Diez Bascones, D. Mariano Hernández, D. Francisco Tiburcio Sánchez y D. Juan Francisco Perez, de los batallones de voluntarios de Ciudad-Rodri…</t>
  </si>
  <si>
    <t>Miguel’</t>
  </si>
  <si>
    <t>…rano, volvió a practicar el Sr. Labrador las mas activas diligencias en órden á la expresada reclamación, como igualmente ct Ministro de S. M. cer^ C¿ del Rey de los Paiseis-Bajos D. Miguel’! de Alava , ' quién participo en el mes de Setiembre último haberse encargado, con-arreglo á las instrucciones que tenia, de una porción de efectos pertenecientes al Real gabinete. £1 mismo avisó pocos dia¿ después, juntamente con el Sr. Labrador» que S. M. C…</t>
  </si>
  <si>
    <t>Miguet</t>
  </si>
  <si>
    <t>…ron las diligencias eii busca de sus legítimos herederoscuyo resul-, fado ha sido saberse que á su* salida de Cádiz era de 39 años de edad , natu-; r#l; dprSr. Sebastian , hijo de D. Miguet, Y cdsadó en ¿esta ciudad; pero por otra parte se:ha dicho que su patria eta Si Juan de Euz4.es donde tenia áii&gt; mugeir, y que por ciertos motivos se había; mudado el nombré propio y vá-« riado el fugar ae su nacimiento. ¥ como hasta ahora no se haya podido a…</t>
  </si>
  <si>
    <t>Miihaud</t>
  </si>
  <si>
    <t>…causó grande descalabro, y otra división de caballería también inglesa cargó ^«r ni dert** ~cha la batería del conde de Erloú y k desmontó varios cañottet; pero tos coraceros del .general Miihaud cargaron eta división, dekcuiltiesregi'* tinentos fueron dispersados y acuchillados.* 1 - 5 V í Eran las tre* de la tarde cuando el Emperador breé; «vanearla guardfti tiara Colocarla en la llanura sobfce el que oí comenzarse ia acción ho~ fe a Ocupado el prim…</t>
  </si>
  <si>
    <t>Miiralles, Ramón</t>
  </si>
  <si>
    <t>Ramón Miiralles</t>
  </si>
  <si>
    <t>…ba...... D. Rafael de Mentís. . En Granada....... D, Francisco de Unzaga. En Badajoz........ D. Cáelos Sebastian Malagamba. En Pía senda...... D. Juan Campo y Ojiva. En Valencia.. D. Ramón Miiralles.</t>
  </si>
  <si>
    <t>Mijares, Juan</t>
  </si>
  <si>
    <t>Juan Mijares</t>
  </si>
  <si>
    <t>…pitán á D. Josef Valdés; Teniente de granaderos á D. Melchor Duran; idem de ca zadores á D. Ramón Lorente; idem de fusileros á D, Josef Salazar, D. Ra fael Galdia, D. Jo.ef Tucar, D. Juan Mijares, D. Tomas Agudo, Don Francisco Manuel Alvarez, D. Gregorio Baeza, D. Francisco La-Reguera y D. Vicente Aneses ; subtenientes de cazadores á D. Domingo Miranda y D. Juan Manuel Piedra, y subtenientes de fusileros á D. Juan de la Rosa, D. Julián Conde , D. Jose…</t>
  </si>
  <si>
    <t>Mil</t>
  </si>
  <si>
    <t>754 ' . ■ • puerpo del general Vandamme , y la guardia y los coraceros del general Mil&lt;;*. ...I lj^ud* se formaron eji Ia.¿altura,deJ^loro. | A las tres de la tarde , estando ya acabadas de tomar estas disposiciones, la división del general Lesól, que componía parte del cuerpo del general Vandamme, entró la primera en acción , y se apoderó de S…</t>
  </si>
  <si>
    <t>Milhaud</t>
  </si>
  <si>
    <t>…solo estarán tres meses en servicio ac tivo, y que en cada legión habrá escuadrones de caballería'. S. M. ha encargado al ministro de la Guerra que manifieste al tenien te general conde Milhaud:, general en gefe de. los coraceros, roda la sa tisfacción que ie ha causado la buena conducta de los cuerpos de caba llería 3.° y 4.0, que el dia 8 presentaron á los pies del trono su sumi sión y las seguridades dé un;a fidelidad inviolable. El dia 18, cuand…</t>
  </si>
  <si>
    <t>Millan, Josef María S.</t>
  </si>
  <si>
    <t>Josef María S. Millan</t>
  </si>
  <si>
    <t>…l arroyo de la Miel, á tres leguas de Málaga, tasadas en el año de 1,807 en 309797 rs. de vn. á metálico. La persona que quiera comprarlas acudirá á tratar de ajuste en Málaga con D. Josef María S. Millan, quien manifestará el tes timonio de compra, y admitirá las proposiciones que hagan arregladas, bien sea al contado ó á plazos, y también admitirá alguna parte en fincas en Madrid ó sus in mediaciones; y en Madrid dará razón en la carrera de S. Gerónimo D. Vi…</t>
  </si>
  <si>
    <t>Millar, Mariano</t>
  </si>
  <si>
    <t>Mariano Millar</t>
  </si>
  <si>
    <t>…fef Astraudi ,.D. Juan de Sotomáy or, D. Cayetano Perez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 Josef Arcos, Don Fermín Moza, DPAnjgel Villa, J…</t>
  </si>
  <si>
    <t>Millau, Francisco</t>
  </si>
  <si>
    <t>Francisco Millau</t>
  </si>
  <si>
    <t>…Mateos» D.Joaquin de ■la-Croixy'D. Joalquin Mozo, D. Tomas, Herrera y Cruzar» D.Francisco Vizcarrondo, D-Joaquiñ !de Castañeda» D. Juan Francisco Püi¿t D. Ramon Hcrrera yíCfüzat, D. Francisco Millau, D. Vicente Fran cisco1 de ¡Voz , Martin Francisco Triarte, D. Josef Sartorio, D. Diego Bu trón, D. Francisco Ciscar, D. Josef Mollinedo, D. Fermín Esterripa y D. Francisco de Paula Osorio. -Ascenso á capitanes de navio áTos de fragata D. Francisco Man¡on, Do…</t>
  </si>
  <si>
    <t>Mina, Francisco Espoz y</t>
  </si>
  <si>
    <t>Francisco Espoz y Mina</t>
  </si>
  <si>
    <t>…ndición de su castillo por las tropas españolas en el mes de Julio de 1813; donde se evidencia lo mucho que se equivocó el autor de la comedia titulada Zaragoza reconquistada jpor D. Francisco Espoz y Mina, como también otros autores que han dado toda la gloria á este general. Las publica un,monge benito del monasterio de Arlanza, ca pellán qiie ha sido del regimiento infantería ligera de Rioja. Se hallará en las libre rías de Cifuentes, calle de Preciados, y d…</t>
  </si>
  <si>
    <t>Minayo, Luis Perez</t>
  </si>
  <si>
    <t>Luis Perez Minayo</t>
  </si>
  <si>
    <t>…. Martin Sancho MmanoáD. Josef Gil; Car ranza, catedrático de/teología en aquella universidad.. La canongía vacante en la catedral de Badajoz por muerte de D.. Josef Perez Joven á D. Luis Perez Minayo , beneficiado de la villa de Uraeña en el obispado, de Paleada; ! ¡ y -j La canongía vacante en la catedral de Canarias por fallecimiento de Don Miguel Camacho á D. Juan Josef Perez González , cura párroco de la villa de Sta. Cruz de Tenerife, y la ración que…</t>
  </si>
  <si>
    <t>Mingúe, Apolinar</t>
  </si>
  <si>
    <t>Apolinar Mingúe</t>
  </si>
  <si>
    <t>…ar, tierras y casas.' La justicia y cura como patronos .admitirán á los eclesiásticos que acrediten su conducta, y tengan bue na forma de letra. Los memoriales serán entregados al secretario Apolinar Mingúe la, y la plaza se ha de proveer el 8.de Diciembre próximo. Se desea saber de D. Antonio de la Fuente, mercader de lienzos, que vivió en la callé de Postas frente aja callejuela de S. Cristóbal; de su muger Doña María Vicénta Jáúregüi, ¡y de su hijo D. León. C…</t>
  </si>
  <si>
    <t>Minguez, Eugenio</t>
  </si>
  <si>
    <t>Eugenio Minguez</t>
  </si>
  <si>
    <t>…el pueblo: su provisión ha de verificarse el día 25 -de julio próximo , y asi los que^ quieran hacer pretensión dirigirán hasta estedia sus ffiemoriales, esponiendo sus méritos, á D. Eugenio Minguez, secretario de su ayunv •tátkuento:• "•&gt; o 1V.'j*'■!- y — í: - ? &gt;’&gt;'/■':y; 4 Se desea saber el paradero (fe IX Julián Perez Merino, que hallándose eñ Va-f lencia en Noviembre de 181 1 sirviendo el destino de médico de egército ai malí-' do del general Blakec…</t>
  </si>
  <si>
    <t>Mio</t>
  </si>
  <si>
    <t>…llí, y que todas estaban animadas dei mayor entusiasmo, y se dirigió hacia Die para ¡untarse con el general Mioliis, y dirigirse juntos por Gap á Grenoble. Las tropas que manda el general Mio liis, compue tas de voluntarios afectos al Rey y de guardias nacionales, estan llenas de igual entusiasmo, y arden en deseos de encontrarse con el ene migo de su patria y del género humano. Estas dos divisiones forman un cuerpo considerable de tropas apostada…</t>
  </si>
  <si>
    <t>Mioliis</t>
  </si>
  <si>
    <t>…outon Davernet salió de Valencia con 2500 hombres de tropas que habia recogido allí, y que todas estaban animadas dei mayor entusiasmo, y se dirigió hacia Die para ¡untarse con el general Mioliis, y dirigirse juntos por Gap á Grenoble. Las tropas que manda el general Mio liis, compue tas de voluntarios afectos al Rey y de guardias nacionales, estan llenas de igual entusiasmo, y arden en deseos de encontrarse con el ene migo de su patria y del género h…</t>
  </si>
  <si>
    <t>Mir, Miguel</t>
  </si>
  <si>
    <t>Miguel Mir</t>
  </si>
  <si>
    <t>…llejo, D. Ramón Carreño, D. Matias Case ro, D. Manuel Bénjumeda * D. Gerónimo Muñoz, D. Sisto Fajardo, D. Ma-„ miel Fernandez 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 Oña, D.. Franci…</t>
  </si>
  <si>
    <t>Miralies, Ramón</t>
  </si>
  <si>
    <t>Ramón Miralies</t>
  </si>
  <si>
    <t>….. D. Rafael de Mentís. Mn Granada..... .. D. Francisco de Unzaca. JEn Badajoz.,»......D. Garlos Sebastian Malagamba» JEn Pldsencia.......D. Juan Campo y Oliva. Mn Valencia..... . D. Ramón Miralies. Mn Avila............. D. Manuel Palomares. JEn Guadalajara. D. Joaquín Veladiez. Mn Toledo D. Francisco Peréz.. ■ Mn Murcia.......... D- Josef Ubach. t Mn Oviedo?........... 3XJuan Pérez. Mn Ciudad-Real. D-. Mateo Casado y Romero. Mn Jaén.............. D„ Fr…</t>
  </si>
  <si>
    <t>Miralles, Ramón</t>
  </si>
  <si>
    <t>Ramón Miralles</t>
  </si>
  <si>
    <t>…entís. ' *'/ En Granada,...... D« Francisco dé Unzáea. / ' /' m-é J En Badajoz...... . D. Carlos Sebastian Malagamba. En Plaséncia...... D. Juan Campo y Oliva* En Valencia........ D. Ramón Miralles. En Avila.d...:...... D. Manuel palomares. Én Guqddlajara. D. Joaquín Veladiéfc. Eti TáiedoJ.......... D. Francisco Perez. En Murcia........ D. Josef TJbach. En Oviedo:.lD. Juan Pérez. En Ciudad*Real. D. Mateo Casado y Romero. En Jaén..... ......... D. Franci…</t>
  </si>
  <si>
    <t>Miranda, Antonio</t>
  </si>
  <si>
    <t>Antonio Miranda</t>
  </si>
  <si>
    <t>…cios Ruiz, D^ Ramón Aguí lar, D. • Josef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Doh Andrés Fernandez Caballero y D. Diego…</t>
  </si>
  <si>
    <t>Miranda, Domingo</t>
  </si>
  <si>
    <t>Domingo Miranda</t>
  </si>
  <si>
    <t>…Galdia, D. Jo.ef Tucar, D. Juan Mijares, D. Tomas Agudo, Don Francisco Manuel Alvarez, D. Gregorio Baeza, D. Francisco La-Reguera y D. Vicente Aneses ; subtenientes de cazadores á D. Domingo Miranda y D. Juan Manuel Piedra, y subtenientes de fusileros á D. Juan de la Rosa, D. Julián Conde , D. Josef García, D. Antonio García, D. Francisco Gu tiérrez Miera , D. Josef Gutiérrez, D. Antonio María Palomo, D. Josef López Orihuela y D. Aquilino Infantes. ~ En atención á los méritos y…</t>
  </si>
  <si>
    <t>Miranda, Juan Antonio Valdés y</t>
  </si>
  <si>
    <t>Juan Antonio Valdés y Miranda</t>
  </si>
  <si>
    <t>…truir al tirano usurpador de vuestros derechos, y restituir á su patria la paz, el regocijo. y el inestimable beneficio de vivir bajo la obediencia del mejor de los Monarcas.” ; . D. Juan Antonio Valdés y Miranda, juez primero noble dé Cangas de Tineo,.tuvo el honor de besar la Real mano y felicitar á S. M. el dia n de Noviembre, y le dirigió el;jdiscursp siguiente:. „ Señor: El ¿ayuntamiento,, villa y concejo de Cangas de Tineo me ha encargado,felicite á V:. M. por s…</t>
  </si>
  <si>
    <t>Miranda, Juan Pedro</t>
  </si>
  <si>
    <t>Juan Pedro Miranda</t>
  </si>
  <si>
    <t>…a tedral; y esta resulta á D. Ruperto Sacristán, teniente cura de la Real cole giata de S. Ildefonso. = La canongía vacante en la catedral de Lugo por muer te de D. Joaquín Bear á D. Juan Pedro Miranda, cura párroco de Cabanillas en el obispado de León, y capellán del cuartel general del cuarto egército; y la tínica ración titular que ha vacado en aquella catedral á D. Benito González Hermida. := La canongía de la catedral de Jaén , vacante por muer te de D…</t>
  </si>
  <si>
    <t>Miranda, Mariano</t>
  </si>
  <si>
    <t>Mariano Miranda</t>
  </si>
  <si>
    <t>…saber, en el primer regimiento el cábo 1.® Asensio Alegría, ©tro ídem Manuel Florez, soldados Manuel Rodríguez y Pablo Várgas. En el batallón denominado del General el subteniente D. Mariano Miranda; sar gento r.° Raimundo Sechas, y cabo 1 ° Gerónimo Honda Henriquez: con tusos los valientes oficiales teniente coronel D. Casimiro Bellota , y capitán D. Bartolomé Calvet. \ „Y respecto que todos los gefes, oficialidad y tropa merecen una general consideraci…</t>
  </si>
  <si>
    <t>Miravalles, Bernardo</t>
  </si>
  <si>
    <t>Bernardo Miravalles</t>
  </si>
  <si>
    <t>Llórente, D. Celestino Rodrigue* y D. Joaquín Collado: al de volunta* ríos de Avila D. Josef Aíárcon: á los del regimiento provincial de Segovia 1). Nicolás de Torres, D. Bernardo Miravalles , D. Gerónimo Rodrigo, D. Domingo Chaves y D&lt; Fernando Mateos Mettdez : á los de los batalló-» nes de Ciudad-Rodrigo D. Ramón ViMate, D. Marcelo Sicilia , D. Ju?ndé Sahtgun Vicente, D. Tomas PefeZ, D. Juan Orejas , D. Antonio García, D Josef Noguera, D. Josef…</t>
  </si>
  <si>
    <t>Miría, Josef Santa</t>
  </si>
  <si>
    <t>Josef Santa Miría</t>
  </si>
  <si>
    <t>…iza de alcalde deí crimen do la chancÍHería;dc^V’aU«d&lt;di(l;á!^ Vícpnste Ramoajdel Vigo 'V^aUejo, agente fiscal del; Comejo Real i para otra de oidor dé la- audiencia dp Sevilla ár:D. Josef Santa Miría , alcalde del: crimen mas antiguo ;de ella ; yapara otra de alcalde, delcnmenidela audiencia de Estremadura á D.. Francisco Joven de Salas/, oidor de la audiencia dé Cada* rías. Asimismo en atención ,á laquebrantád* .salud-de D. fAntpnib Josef; ? de Seoane,-o…</t>
  </si>
  <si>
    <t>Miró, Josef</t>
  </si>
  <si>
    <t>Josef Miró</t>
  </si>
  <si>
    <t>…pfjde, *8p8..- v // • .v.-. ,’&gt;• ;; , . i-a-poqside^a^ipn dq,capitanes,vivos,(o/:..,yH efectivos ;Je infantería: á lpsr alfére ces D. Cárlos de-Sentmanat, D. Josef Aicaíá Galiano, D. Josef Miró , Don Antonio Arménteros, X). Lorenzo Fernandez Somera, D. Miguel Urquia, D. Cárlos Armenteros y D. Juan Jbséf Baríiteli. Grado de capitán de infantería al sargento primero graduado de teniente D. Bernardino Garay: grados de teniente á los de lá misma clase g…</t>
  </si>
  <si>
    <t>Mitlan, Juan</t>
  </si>
  <si>
    <t>Juan Mitlan</t>
  </si>
  <si>
    <t>…ría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 Sisto Fajardo, D. Ma-„ miel Fernandez Rey na, D. F raneisco Bonet, D. Josef María de Novoa…</t>
  </si>
  <si>
    <t>Miturovier, Martin</t>
  </si>
  <si>
    <t>Martin Miturovier</t>
  </si>
  <si>
    <t>…nio Ruiz de Mendoza, canónigo de la propia iglesia ; y esta canongía á D. Gabriel Fer nandez: la dignidad de chantre de ia misma, vacante por fallecimiento de D. Pedro Mellado , á D. Martin Miturovier, debiendo quedar sin efecto «I nombramiento hecho anteriormente pata el arciprestázgo de la catedral de Guadix. = El beneficio servidero de la villa de Alba de Termesdiócesis dé Salamanca, vacante por muerte de D. Antonio Alonso, á D. Juan Rosendo Blazquez ,…</t>
  </si>
  <si>
    <t>Miura, Francisco Josef</t>
  </si>
  <si>
    <t>Francisco Josef Miura</t>
  </si>
  <si>
    <t>…lvador Valdeyuli: á tenientes de fusileros á los subtenientes D. Cárlos Ñoñez, Don Juan Nuñez y D. Josef Freyre: á subtenientes de granaderos ¿ los de fusi leros D.^ Miguel Román, D. Francisco Josef Miura y D. JoSef Céspedes: ¿ subtenientes de fusileros á los de bandera D. Antonio Saez, D» Franciscó Caro, D. Juan Tomas de la Torre y D. Josef Rivas: á subtenientes de ban dera ¿ los cadetes D. Josef María Arroyo, D. Pedro Safazar, D. Diego Li atón, y kl sargento primero de granader…</t>
  </si>
  <si>
    <t>Miyares</t>
  </si>
  <si>
    <t>…s ni la menor novedad, y el 28 salió de Jalapa para México la correspondencia que condujo la fragata Sabi na para el virey de Nueva-Es paña, y llevó desde Veracruz la división dei brigadier Miyares. El coronel D. Juan Domingo de Iturralde, comandante general interino del Istmo de Panamá, comunica con fecha de 23 de Junio desde Patnamá al St. secretario del Despacho universal de la Guerra, que la división de tropas destinadas al Perú, al mando del brigad…</t>
  </si>
  <si>
    <t>Miyárés, Férnándó</t>
  </si>
  <si>
    <t>Férnándó Miyárés</t>
  </si>
  <si>
    <t>…dando por esta causa en mucha parte S ündéTensósino' porque habiendo el expresado' Consejo de Generales consi derado libres y éxéntos dé- nuevos cargos á los indicados Brigadieres Don Férnándó Miyárés y D. Luis Michelena, aun quando la referida sentencia Se hace cargo de la falta de cumplimiento de ellos, habia razones para qué Se. ejecútase lo mismo con respecto á Santistéban; y'por lo tanto sé ha ser vido S. M. declarar inculpado y absuelto de todo cargo al difunto Brigadie…</t>
  </si>
  <si>
    <t>Miyares-y, Fernando</t>
  </si>
  <si>
    <t>Fernando Miyares-y</t>
  </si>
  <si>
    <t>…pesar de la desgracia sobrevenida,eu aquella acción, respecto de no haber nacido esta de sus disposiciones, sino de la in observancia de ellas en mucha parte: Que los Brigadieres D. Fernando Miyares-y, D. Luis Michelena obraron con alguna inatención á las órdenes deí General O Donell, y no tuvieron aquella cautela que sxigia su rsituacion y la de los enemigos en Vkrr; pero que en consideración á haberse excedidoj, no por falta de valor y buenos sentimiento…</t>
  </si>
  <si>
    <t>Mo, Ramón</t>
  </si>
  <si>
    <t>Ramón Mo</t>
  </si>
  <si>
    <t>…Voluntarios de León; D. Josef Yanguas, D. Josef Osorio, D. Francisco Sillero, D. Juan Sánchez, D. Alexandro Saez, D. Estéban Rubio y D. Gabriel Yanguas, del de Cazadores de León ; D. Ramón Mo reno, de la escuela militar de Santiago; D. Manuel Moreno y D. Andrés Pierola, del Cuerpo de Artillería; D. Antonio Freyre, del de Zaragoza, y D. León Ovalle, del de Cazadores del Rey; y grado y sueldo de Subte niente á Manuel Lamela: de Sargento primero y se…</t>
  </si>
  <si>
    <t>Modesto, Juan</t>
  </si>
  <si>
    <t>Juan Modesto</t>
  </si>
  <si>
    <t>…ara la fiscalía del Consejo de Navarra, y para la plaza de Fiscal de la audiencia de Estremadura á D. Josef Rodríguez Biedma: para la de Alcalde del crimen de la misma audiencia á D. Juan Modesto de la Mota: para otra de Alcalde de la Cuadra de Sevilla á D. Blas Arahuetes: para Oidor de la chanciliería de Valladolid á D. Josef Martínez Areta, Al calde del crimen mas antiguo de ella, y para esta resulta á D. Fernando Pinuaga: ha concedido los honores d…</t>
  </si>
  <si>
    <t>Mogica, Juan Poutoüx y</t>
  </si>
  <si>
    <t>Juan Poutoüx y Mogica</t>
  </si>
  <si>
    <t>…00 rs. de vñ. mensuales , como equivalente al: que en el dia disfruta por el destino .que deja y obvenciones anejas á él; ypará? la cuarta división de Galicia al mariscal ae campo D. Juan Poutoüx y Mogica, con el sueldo correspondien te á su* clase en cuartel: siendo la voluntad de S. M. que los referidos subins pectores se arréglen ■ para el &gt; desempeño de sus encargos á lo que prescriben íós artículos-siguientes: '* , i.° Cuidarán principalmente dé que todos…</t>
  </si>
  <si>
    <t>Moíinp, Paulino</t>
  </si>
  <si>
    <t>Paulino Moíinp</t>
  </si>
  <si>
    <t>…e la mañana siguiente se dirigió la ipisma comitiva á a iglesin, donde colocado el retrato de S. M. bajo de un magnífico dosel, se cantó una misa solemne y Te T)eum, pronunciando. D. Paulino Moíinp, cura Í&gt;árrocoa tarde yse dioarcipresteen la plazade aquellaá los pobresciudad,, queun ascendíanelocuente discurso:al numéro ádelas700,tresunade Comida, que costearon la nobleza , algunos eclesiásticos y otras personas ca ritativas,y que fue servida en 12 div…</t>
  </si>
  <si>
    <t>Moira</t>
  </si>
  <si>
    <t>…avio queseaba de^ llegar de Bengala, las operaciones militares contra el Ñapaul han cesado á consecuen cia de un armisticio, durante el cual debe pasar una diputación á tratar con lord Moira sobre las condiciones con que han de retirarse las tropas destina* das á la invasión del territorio de Napaul para el restablecimiento de la paz. Hay grandes esperanzas de que esta conferencia produzca un resultado pací fico , el cual se desea con tanta mayor…</t>
  </si>
  <si>
    <t>Mojo, Cayetano</t>
  </si>
  <si>
    <t>Cayetano Mojo</t>
  </si>
  <si>
    <t>…or, vacante por muerte de D. Esteban Pinos,á D. Félix Torres Amat, canónigo de la iglesia colegial de S. Ildefonso; y la dignidad de arce diano de Llobregat, vacante por muerte de D. Cayetano Mojo, á D. Ventu ra Josef Mas mit ja, arcediano de Alpuente en la catedral de Segorve: la ca nongía de la colegiata de Sta. Ana en la misma ciudad dé Barcelona, vacante pot muerte de D. Ramón Besart, á D. Juan Gerardo Fosch. = En ia cate dral de.Mondoñedo una cano…</t>
  </si>
  <si>
    <t>Molie, Francisco Josef</t>
  </si>
  <si>
    <t>Francisco Josef Molie</t>
  </si>
  <si>
    <t>…ario décimas, con la versión parafrástica .en liras del Miserere me¡ Deus» salmo 50: compuesto todo por el R. P. Fr. A. C. F.„ del órden de predicadores: dada- á luz á expensas de D. Francisco Josef Molie, capellán de honor de S. M., inquisidor honorario de Granada, y comisario del de Acorte.• Se hallará ¿ 3 rs. en las librerías de Pérez y Matute, caire dé las Carretas; .de Barco, carrera de S. Gerónimo, y de Villa., plazuela de Sto: Domingo. Loa que en celebr…</t>
  </si>
  <si>
    <t>Molina, Antonio</t>
  </si>
  <si>
    <t>Antonio Molina</t>
  </si>
  <si>
    <t>…,D¿ Gabriel: fescolar, D; Ma teo Fernandez, &lt;Dí Adrián Jaco me, D. Manuel. Puch:, Di Juan Delgado, Don -Antonio Megias i:B. Francisco Pfieto, D. ¿Esteban Alzurrun /D. Juan Portaz, D. Antonio Molina , D. Bawolomé Pombo, D. F rancisco Ortega , D. Miguel Polidoro y D. Josef Trillo, D. Manuel* Diez tarabilla , D. Francisco Estrada, D, Manud Lebony D. AntonioiMangas ,;D. Alonso García, D. Manuel Ro-</t>
  </si>
  <si>
    <t>…■ ..'.Li' 'i ' r. o.. ; • / * . EÍ Réy nuestro 5eñor , á cuyo conocimiento ha llegado pdr conducto de íá comisión cíe Reemplazos de Ultramar £1 jjohativb hecho* por el subteniente D. Antonio Molina, comandante de la brigada del presidio de Tarifa, de una cadena y un relox de oro, con el laudable objeto de que su valor se emplee en las expediciones de América se &lt; ha dignado mandar aceptarle, y que se den gracias á Molina por este servició, publicándose…</t>
  </si>
  <si>
    <t>Molina, Francisco Bucheli y</t>
  </si>
  <si>
    <t>Francisco Bucheli y Molina</t>
  </si>
  <si>
    <t>…Cañongo , vizconde de Casa-Valdés. El Rey se ha servido nombrar consejero supernumerario del supremoconsejo de la Guerra por la clase de general de infantería al mariscal de campo D. Francisco Bucheli y Molina, en atención á sus buenos servicios y circunstancias. El Rey se ha servido promover á mariscal de; campo subinspector de. artillería en el departamento de Barcelona al brigadier gefe de escuela Don Agustín García Garrasquedo. Por el presente se cita, Usina y…</t>
  </si>
  <si>
    <t>Molina, Juan</t>
  </si>
  <si>
    <t>Juan Molina</t>
  </si>
  <si>
    <t>…minos#, D* Pedro Gar cía ,JX Juan" Sánchez Illescas-, D. Antonio González.* 0.' ManueL de las Ríos, D. Juan López , 0. Luis Rodríguez , 0« Manuel Ravanera., D. Antonio Ar de rius, D. Juan Molina, D. Manuel Pedtet: de tenientes á los. subtenientes D. Luis Carrillo, D. Matías Blasco, 0. Francisco Villalobos *D. Josef Gar cía Malo, D. Sipnon ie Cárlos, 0, RafaelCisneros., 0. Joaquín Antíllon, D. Josef Oimedllía , 0. Luis.Cortey, 0. Manuel Montero., .0.…</t>
  </si>
  <si>
    <t>Molina, Juan de Campos y</t>
  </si>
  <si>
    <t>Juan de Campos y Molina</t>
  </si>
  <si>
    <t>…D. Josef Victoriano de Olaeta; para la de Antequera á D. Joaquín Tercero Gaseo i y para la de Sepulveda á D. Manuel FrutosPara ef corregimiento político* de la ciudad de Granada ¿ D. Juan de Campos y Molina: para el de Hellin á D. Josef Angulo: para el de Plasencia á D. Francisco»Xaviét ViLlanueva:para el de la isla de la Gran Cana ria á D. Salvador Ferradas ^ para el de la isla de Tenerife y la Palma á Don Juan Bautista Persiva t para el de Córdoba á D. Joaquín…</t>
  </si>
  <si>
    <t>Molina, Julián de Campos y</t>
  </si>
  <si>
    <t>Julián de Campos y Molina</t>
  </si>
  <si>
    <t>…ientes, y mandado su publicación ¡para estímulo de sus vasallos. D. Juan de Armeda Mondragon, marques de Sta. Cruz de Rebadulla* vizconde de S. Julián, 1© pesos fuertes anuales.__ D. Julián de Campos y Molina, corregidor de Granada, 5122 rs. y 4 mrs. por sus mesadas de Ma** yo y Junio.__D. Juan Josef Lesaca , contador de data de la Tesorería ge neral, 12$ rs. vn., y S© su hijo D. Clemente.Pedro de Oscalar 1© reales anuales. D. Fernando Selma, grabador de cámara qu…</t>
  </si>
  <si>
    <t>Molina, Sancho Llamas y</t>
  </si>
  <si>
    <t>Sancho Llamas y Molina</t>
  </si>
  <si>
    <t>1244 Salcedo; del de IndiasJ, de D. Josef Lledo ,'del de Ordeñes ; y de D. Sancho Llamas y Molina; del de Hacienda, y en-nombrar para Fiscal de el ía al mas antiguo del Consejo Real;á cuya junra concedo toda la autoridad y jurisdic^ cion privativa y necesaria para eí expresado objeto, dispensando á dichos Ministros de la asistencia á sus respectivos Tribu…</t>
  </si>
  <si>
    <t>Molino, Josef Jorge del</t>
  </si>
  <si>
    <t>Josef Jorge del Molino</t>
  </si>
  <si>
    <t>…i El Rey nuestro Sefior.se ha servido nombrar í consulta del Real conse jo de las órdenes para las varas de alcalde mayor de Montanehes á D.'Pe dro Jacobo Pizarro: de Moratalla á D. Josef Jorge del Molino: de Segura de León á D. Fraucisco Xavier Montero y Losada: dé Supca JLD. Pascual Alpuente: de Azoaga á D* Antonio. Mediano y Sartolo: de Tarancon á D. Ignacio Marín y Sánchez : del Corral de AJmaguer á D. Manuel Sotillos Montejo : |de Xerez de ios Caballeros…</t>
  </si>
  <si>
    <t>Molitor</t>
  </si>
  <si>
    <t>…aciones que me impone mí destino.” El 26 llegó aquí para recibir órdenes dé S. M. una diputación del egército del Rhín que manda di general Rapp, presidida por el teniente general conde Molitor, y compuesta del mariscal de campo Goudin, de los corone les el Barón Marill&amp;o, de artillería; Montanier, del 11»° de dragones ; Groisart, der7.° ^e infantería ligera ; Cretet, del i.° de infantería ligera; Metrot, del 3Ó.U de línea; Bóureau, inayor de artill…</t>
  </si>
  <si>
    <t>Mollinedo, Josef</t>
  </si>
  <si>
    <t>Josef Mollinedo</t>
  </si>
  <si>
    <t>…rancisco Püi¿t D. Ramon Hcrrera yíCfüzat, D. Francisco Millau, D. Vicente Fran cisco1 de ¡Voz , Martin Francisco Triarte, D. Josef Sartorio, D. Diego Bu trón, D. Francisco Ciscar, D. Josef Mollinedo, D. Fermín Esterripa y D. Francisco de Paula Osorio. -Ascenso á capitanes de navio áTos de fragata D. Francisco Man¡on, Don Faustino Gnimii,: D. Rafael• Lobo, D. Pedro Acevedo, D. Juan de Vargas Lana, D. Jacinto Rotnarate,: ¡ DJ Eduardo Briant, D. Ramón Ortiz…</t>
  </si>
  <si>
    <t>Mollinedo, Julián de</t>
  </si>
  <si>
    <t>Julián de Mollinedo</t>
  </si>
  <si>
    <t>…ar hasta el dia 8 de Abril próximo la apertura del concurso 'para la plaza de ayudante del Real estudio de mi neralogía de esta corte. En atención al zelo Singular que ha mostrado D. Julián de Mollinedo en el restablecimiento del hospicio de Palencia, sacándolo del deplorable esta do en que se hallaba, y haciendo de él uno de los establecimientos mas úti les del Reyno, ha venido S. M. en concederle la cruz supernumeraria de la Real y distinguida orden de Cár…</t>
  </si>
  <si>
    <t>Mon, Josef</t>
  </si>
  <si>
    <t>Josef Mon</t>
  </si>
  <si>
    <t>…ídigiiel Ibañez, D. Lorenzo López, D. Francis co Cardeñes , D. Gerónimo ¿aborda , D,. Josef Rodríguez, IX Plácido Gúell, D. Joaquín González', IX Juan García-, '0; Ramón de Coba, D. Josef Mon tano,,? D. Ignacio Foja, rD. Antonio Marco , D. Ginés 'Rubio, D. Josef Ga vilanes , D Joaquín Aguijar, D. Santiago López Gascón, D. Ambrosio Mar tínez, ÉX C^ayemnp Ojezalde,; D.-Antonio Delgado, D. Gaspar Jover, Don NJarciso,Felipe, IX Josef Vilíavieencio, D.…</t>
  </si>
  <si>
    <t>Monagas</t>
  </si>
  <si>
    <t>…a estaban avisados, y Gorrín el 24 continuaba persiguiéndolos, esperando que el rio Caroni los detendría, pues no había en él buques para atravesarlo. „Se ignora el paradero de su general Monagas, pues su caballo ensillada cayó en poder de unos soldados de Gorrín. „Se;elogian en el parte oficial de D. Nicolás María Geruti á la compañía de negros de Esquibo, al capitán D. Juan Malveche, á los tenientes D. Ma nuel Maya y D. Antonio Suarez, y al subtenie…</t>
  </si>
  <si>
    <t>Moncey</t>
  </si>
  <si>
    <t>…sidente en París, cuyos individuos han sido nombrados poc otro decreto de 21 de Agosto: „Considerando también que en virtud del artículo 5.0 de la ley del 4 Fructidor, año 5.°, el mariscal Moncey, duque de Coneigliano y debe pre sidir dicho consejo de« guerra pon ser él mas antiguo de los mariscales de Francía : vistas en fin las caitas del! .mariscal Monceyde las cuales resulta que rio. ha alegado para escusarse dé asistir , á dicho consejo de guerra…</t>
  </si>
  <si>
    <t>Monceyde</t>
  </si>
  <si>
    <t>…r, año 5.°, el mariscal Moncey, duque de Coneigliano y debe pre sidir dicho consejo de« guerra pon ser él mas antiguo de los mariscales de Francía : vistas en fin las caitas del! .mariscal Monceyde las cuales resulta que rio. ha alegado para escusarse dé asistir , á dicho consejo de guerra la razón que espresa la ley ; y considerando que lai escusa del mariscal Moncey no piiede atribuirse sino á un espíritu de resistencia y de indisciplina , tanto mas c…</t>
  </si>
  <si>
    <t>Mondoñedo, Antonio Eosada y</t>
  </si>
  <si>
    <t>Antonio Eosada y Mondoñedo</t>
  </si>
  <si>
    <t>…dos frutos, géneros , artefactos y ganados, empezando la víspera del dulce nombre de María Santísima y y ai efecto se ha expedido por el consejo la Real provisión correspondiente. D. Antonio Eosada y Mondoñedo ha hecho, para subvenir á las urgen cias de la nación» el donativo de 18634 rs. vn. que importan las cantidades</t>
  </si>
  <si>
    <t>Mondragon, Juan de Armeda</t>
  </si>
  <si>
    <t>Juan de Armeda Mondragon</t>
  </si>
  <si>
    <t>…imenS 1 ■ S de. la chancillería dé' ■ Valladolid.V ’ J El Rey nuestro Señor se ha dignado aceptar las ofertas, siguientes, y mandado su publicación ¡para estímulo de sus vasallos. D. Juan de Armeda Mondragon, marques de Sta. Cruz de Rebadulla* vizconde de S. Julián, 1© pesos fuertes anuales.__ D. Julián de Campos y Molina, corregidor de Granada, 5122 rs. y 4 mrs. por sus mesadas de Ma** yo y Junio.__D. Juan Josef Lesaca , contador de data de la Tesorería ge neral…</t>
  </si>
  <si>
    <t>Monedero, Josef</t>
  </si>
  <si>
    <t>Josef Monedero</t>
  </si>
  <si>
    <t>…do por fallecimiento de D. Pablo Nicolás de San Pedro , á D. Agustín de Rivarola, prelado doméstico de S. S.; y la capella-1 nía de coro de ia misma iglesia, vacante por muerte de D. Josef Monedero»i D. Ignacio Fernandez Fuentes. = La abadía que ha vacado en la iglesia colé-' gial dé Jerez de la Frontera por muerte de D. Diego Gómez Recio á D. Jo-1 sef María Alvarez de Palma, canónigo de la misma iglesia; y esta resulta á D. Mañud López Pizano.rrLa dign…</t>
  </si>
  <si>
    <t>Monge, Agustín</t>
  </si>
  <si>
    <t>Agustín Monge</t>
  </si>
  <si>
    <t>…e Yepes á O. Juan Guiltermo Monreal: £ara la de Al ba de Tofmes á D. Folicarpo Fernandez de Lorca: para la de Pedraza á D. Marcelino García Ocaña: para la de Peñaranda de Duero á' D. Agustín Monge: para la de Coca á D. Diego Henriquez: para la de Nava del Rey á D. Juan Antonio Bernal: para la de Utrera á D. Miguel de Salazar y Sandobal: para la de Aguilar del Rio Alhama á D. Juan Ricardo Lozoyo: pa ra la de Castro del Rio á D. Antonio María Navarro: pa…</t>
  </si>
  <si>
    <t>Monge, Jacinto Sánchez</t>
  </si>
  <si>
    <t>Jacinto Sánchez Monge</t>
  </si>
  <si>
    <t>…yerb^s^ próximas, y las dos restantes de dos años al mismo tiempo.' Erque tuvieseaiótipiá dé su paradero dará aviso por el correo ó personalmente, se-1 gun mfejór lé a’coñiode, á D. Jacinto Sánchez Monge, vecino de dicho pueblo de Cibeza.sjdtl^Villar , ^:en,Mádrid á los señores Uriarte y compañía, debcprnercio, ca lle Mayor, portal de Manguiteros, quienesdaránuna buena gratificación, y abonarán loá gastos cansados en caso de ser. halladas. Breve noticia de lo…</t>
  </si>
  <si>
    <t>Monge, Josef Miguel</t>
  </si>
  <si>
    <t>Josef Miguel Monge</t>
  </si>
  <si>
    <t>…pará el de Benavides de Ortigo á D. Anselmo Diez Canseco: para el de Chinchón á D. Tadeo Capablanca. Jfara la vara de León á D. Joaquín Ruiz de Arechavaleta: para la del Arahal á D. Josef Miguel Monge: para la de Ayamonte á D. Juan Nepomuceno</t>
  </si>
  <si>
    <t>Moñirio, Bernardo</t>
  </si>
  <si>
    <t>Bernardo Moñirio</t>
  </si>
  <si>
    <t>…de S. Ildefonso de Jaén ¿vacante por mberte de D. Estéban Barreda, i D. Mauricio García Puente: para otro beneficio de Tortoles, en el arzobispado de Burgos, vacante por muerte de D. Bernardo Moñirio, á D. Jiian Antonio Serrano. r •7 ' ■ ' En atención á los méritos y servicios de D. Josef Vaídés y Velasco, peí nitendario de la pontificia Real iglesia de Italianos de esta cortease ha ser vido S.M. agraciarle con una ración vacante en la santa iglesia de Ar…</t>
  </si>
  <si>
    <t>Monreal, Guillermo J</t>
  </si>
  <si>
    <t>Guillermo J Monreal</t>
  </si>
  <si>
    <t>…so-y «prosa que tuvieron la honra de pre sentar á S. M, y AA.. Después de esto pasó S.jM. al- -Seminario, en donde fue recibido en lá claíe de retórica,, en. la que el seminarista D. Guillermo J Monreal , acompañado de sus condiscípulos y del P. Satu/ago Dé gado de Jesús y Majía , su-maestro ,; tuvo la‘honra de felicitar - á&lt; S¿; m. én uu ¿breve ’ ■'discúrso, -que ‘ jp.t0n'íúj&lt;:ió?cpní?.%núcha; gradía y désembarazói El mfsmto trecito en Seguldá'un epigrama;…</t>
  </si>
  <si>
    <t>Monsalve, Juan García</t>
  </si>
  <si>
    <t>Juan García Monsalve</t>
  </si>
  <si>
    <t>…nfantería retirado, y á D. Joaquín Ferrer y Amat, coronel del Real cuerpo de Ingenieros. S. M. se ha servido nombrar para la vara de alcalde mayor de la villa de Paredes de Nava á D. Juan García Monsalve: para la dePeñaíiei á D. An tonio Prieto: para la de Plasencia á D. Francisco María Sánchez Castilla: para la de Igea á D. Josef Beortegui,; y para la de Alburquerque á D. An tonio Ayala. Para el corregimiento de Albacete á D. Antonio Fernandez BriV: para el…</t>
  </si>
  <si>
    <t>Montalban, Pedro Antonio Moraleja y</t>
  </si>
  <si>
    <t>Pedro Antonio Moraleja y Montalban</t>
  </si>
  <si>
    <t>…e Jumilla á D. Francisco Morales de los Ríos: para la de Velorado á D. Cosme Moreno y Mérida: para la de la villa del Prado á D. Luis Fran cisco Sanz Teresa: para la de Belmonte á D. Pedro Antonio Moraleja y Montalban: para la de Carcabuey á D. Juan Carlos Callaba: para la cíe Cartaya á D. Joaquín Fernandez Duran: para la de Mansilla de las Muías á D. Evaristo Linares: para la de Alcañices á D. Francisco de Paula Grande: para la de Cien pozuelos á D. Francisco Herrero Blan…</t>
  </si>
  <si>
    <t>Montalvo, Francisco</t>
  </si>
  <si>
    <t>Francisco Montalvo</t>
  </si>
  <si>
    <t>…cruz de: comendador de la Real, orden americana de Isabel la; Católica.. Igualmente se ha servido S. M. promover á teniente general de los Rea tes egercitos al: mariscal de campo-D. Francisco Montalvo, capíran general del Nueve-Reino de. Granadaen. consideración, á sus distinguidos méritos y largos servicios.. ' * Circular dé la Dirección general de Rentas; Por el Ministerio de Hacienda con. fecná i.° del corriente se nos Ha co municado la R’eal. órden que…</t>
  </si>
  <si>
    <t>…un golpe el 18 d¿l pasado en las alturas de Ricamachaiy en que les mató é hirió como joq con muy poca pérdida por nuestra parte.” h.-.Kl capitán general del Nuevo-Reino de Granada D. Francisco Montalvo, con fecha de 22 de Mayo de este año, dice al Sr. Secretario, de Esrado y dfl Despacho universal de Indias desde ;Santa Marta, entre otras cosas, lo siguiente:: ,,'Escmo. Sr.: Las disensiones acaloradas en que veta empeñados al rebel de Simón Bolívar y al gob…</t>
  </si>
  <si>
    <t>…e re gocijó Corrían á la orilla á gozar ael espectáculo grandioso que presentaban sus fuerzas, y donde solo se oian gritos de alegría y de vivas al Rey nues tro Señor. El teniente general D. Francisco Montalvo, capitán general del nuevo reino de Granada, c«j&amp;fecha: de 2Ó:del mismo Julio desde Sta. Marta parti cipa igualmente la feliz llegada de la expedición á aquel puerto : manifiesta la perfecta armonía que reina entre los generales Morillo, Enrile y él, y que Se…</t>
  </si>
  <si>
    <t>Montano, Antonio Machado y</t>
  </si>
  <si>
    <t>Antonio Machado y Montano</t>
  </si>
  <si>
    <t>…e las Ordenes á D. Gregorio Barraycoa y Campos la vara de alcalde mayor de la villa de Ocaña que egercia interinamente, y mandar continúe hasta cumplir su sexe nio en la de Usagre D. Antonio Machado y Montano ; promover á las de Villatobas, Almonacid de Zorita y Lietor á los electos para las de S. Ca brían de Gastrotórafe, Azuaga y Pedro Muñoz D. Antonio de Entrecanales, D. Antonio Mediano y Sartolo y D. Antonio Rodríguez de Es cavar; y nom brar para las de Los-Sá…</t>
  </si>
  <si>
    <t>Montano, Josef</t>
  </si>
  <si>
    <t>Josef Montano</t>
  </si>
  <si>
    <t>I2Í7 y 96bS~rs. de ¡uros. D. Manuel Suarez Bustamante 6® rs. en réditos de va les. D. Manuel de Tovar, alférez de caballería, 1410 rs. de sueldos venddós. D. Josef Montano, capitán retirado, los sueldos que ha dejado de percibir desde el año de 1808 hasta el dé 1812. D. Vicente Modrego y Morales la mitad de su sueldo de secretario del ayuntamiento de la ciudad de Valencia/ D. Josef Sala zar 200 rs. D. Manuel Merino de Castro 13…</t>
  </si>
  <si>
    <t>Montaos, Román Martínez</t>
  </si>
  <si>
    <t>Román Martínez Montaos</t>
  </si>
  <si>
    <t>…a...Señores viuda de Kamiro y Mesa. Mn Cuenca.......^* n. Josef EscolaryNoriega.. V,almA dex. D. Lorénza Gibcrt. Mn Palenda........ D. Marcelino de la Torre. Mn Burgos....i....... D. Román Martínez Montaos. Mn Cádiz..... ....... D.. Benito de la Piedra. Mn Canarias D, Francisco María/Herrara. Mn Málaga.......... D. Francisco Escorar* v Mn Orense.i.^."... Di. Fernando Reyv. Mn Lugo."............ D. Josef María Gayoso. Mn Santiago......... D. Manuel de, la Riva M…</t>
  </si>
  <si>
    <t>Montejano, Gaspar</t>
  </si>
  <si>
    <t>Gaspar Montejano</t>
  </si>
  <si>
    <t>…la, que vacó por muerte de D. Alejandro Ufano, á D. Juan Gómez de la Torre: otro beneficio servide ro vacante en la parroquia de S. Pablo de Ubeda por muerte de D. Manuel Aguayo á D. Gaspar Montejano.=El beneficio simple servidero de S. Pedro de la villa de Moya, diócesis de Cuenca, vacante por promoción de D. An selmo Aguado al de la villa de Sacedon, á D. Benito Josef Moyano y Vallejo..^ La ración, vacante en la catedral de Ciudad-Rodrigo por muerte de…</t>
  </si>
  <si>
    <t>Montejo, Manuel Sotillos</t>
  </si>
  <si>
    <t>Manuel Sotillos Montejo</t>
  </si>
  <si>
    <t>…. Fraucisco Xavier Montero y Losada: dé Supca JLD. Pascual Alpuente: de Azoaga á D* Antonio. Mediano y Sartolo: de Tarancon á D. Ignacio Marín y Sánchez : del Corral de AJmaguer á D. Manuel Sotillos Montejo : |de Xerez de ios Caballeros i O. Josef Antonio Ramos Calderón: dé Villanueva de la Serena i D» Isidro Astudillo: de Martos á D. Josef Fe* lipe Alaminos y Ooton: de Almodovar del Campo:;¿. D.: Fernando María Barrionüevo: de Arjonai áD.Bemarde josef de Hcrvas…</t>
  </si>
  <si>
    <t>Montemayor, Rafael</t>
  </si>
  <si>
    <t>Rafael Montemayor</t>
  </si>
  <si>
    <t>…ejadár, DvBasilioBayoni, D.Joaquin Dolz, D. Salvador Arnardo, D. An tonio Marcoletá, D, Josef Gáliano, D. Manuel Ayolo, D. Ignacio Cambil, D. Vicente. Dolz , D. Manuel Fernandez , D. Rafael Montemayor, D. Ga briel Villoría, D, Diego Latorre, D. Pedro Vidal, D. Antonio Rey, D. Pe dro Áhnabai, D. Manuel Lomar, D. Pablo Chamorro , :D, Josef Ckuñer. DvJosefGucrra, D. Juan Sevillano , H. Josef Fonseca, D. Sancho Estrada, ¡BJosefSoler , D. Diego Delgado* D* Rafa…</t>
  </si>
  <si>
    <t>Montenegro, Félix Andrés de Pazos</t>
  </si>
  <si>
    <t>Félix Andrés de Pazos Montenegro</t>
  </si>
  <si>
    <t>…puesto á disposición del gobierno. El general Deveaux y Mr. Legeas, cuñado de Maret, han sido arrestados en Dijon. , ESPAÑA.. Madrid 10 de Noviembre. . t ____ * * ■ . - . .: . ' 1 D. Félix Andrés de Pazos Montenegro, regidor del ?yontaqiiento de,ja</t>
  </si>
  <si>
    <t>Montenegro, Francisco</t>
  </si>
  <si>
    <t>Francisco Montenegro</t>
  </si>
  <si>
    <t>…derechos dé 1 trono. Grados de tenientes coroneles de infantería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 Sisto Fajardo, D. Ma-„ miel Fernandez…</t>
  </si>
  <si>
    <t>Montenegro, Joaquín María Tenreyro</t>
  </si>
  <si>
    <t>Joaquín María Tenreyro Montenegro</t>
  </si>
  <si>
    <t>…Dios guarde á V. 1. muchos años. Madrid 3 de Marzo de 1815. Enterado el Rey nuestro Señor de los distinguidos méritos que ha con traido durante, las ultimas ocurrencias el doroneL D. Joaquín María Tenreyro Montenegro , conde de Vigo, se ha servido concederle la llave de gen-* tiihombre de cámara con entrada. En, atención á los buenos y distinguidos servicios de D. Pedro García Diego,contador dé rentas de la próvincia de Burgos, y á propuesta del di rector general, se ha d…</t>
  </si>
  <si>
    <t>Montenegro, Josef</t>
  </si>
  <si>
    <t>Josef Montenegro</t>
  </si>
  <si>
    <t>…rancisco Ortiz de Taranco. &gt; Supernumerarias á D. Gaspar Zurita, D. Ignacio Acha,D. Vicente Alzaybár., D. Josef Vareta y Montero, Barón de Gastellnou de Momech , Don Burges Camac, D. Josef Montenegro , D. Ventura Malibran, D. Pedro Juan de Olazagarre, D. Diego Henares y Tienda, D. Diego Miguel Bravo, Don Antonio vidaurreta, D. Juan Zarate, D. Josef Irunciaga, D. Josef Perez Quintero, D. Joaquín Martínez de Medinilla, D. Rafael Vicente Bourman,’ D. Ignacio…</t>
  </si>
  <si>
    <t>Montenegro, Juan</t>
  </si>
  <si>
    <t>Juan Montenegro</t>
  </si>
  <si>
    <t>…oiripañados de 50 hombres de marina al cargo del teniente de fragata í). Joaquín Santaólaya, atacasen lá casa de Rayón: que otros 40 hombres de marina con los alféreces de fragata D. Juan Montenegro y D. Rafael Cortés con 6c dra gones de S. Luis, mandado el todo por el capitán Bustamanté, atacasen el Cuár^l. Yo, á la cabeza del escuadrón dé dragones fieles dél Potosí, formé la ‘primferá reserva, y los 20b pátriótás Cóñ sus oficiales y a -citados., la cóMpa*ñía de dragoneé…</t>
  </si>
  <si>
    <t>Montero, Isidro</t>
  </si>
  <si>
    <t>Isidro Montero</t>
  </si>
  <si>
    <t>ta, en el arzobispado de Toledo, vacante por fallecimiento de D. Isidro Montero, á D. Atanasio Salcedo, con retención de los que obtiene: para el beneficio simple dé S. Estéban de Balvas, en el arzobispado de Burgos , va cante por muerte de D. Roque Rodrigó, á D. Tomas Moyano Díaz: para la pfestamera de Huelva, que ha vacado en el de Sev…</t>
  </si>
  <si>
    <t>Montero, Josef Francisco</t>
  </si>
  <si>
    <t>Josef Francisco Montero</t>
  </si>
  <si>
    <t>…Albacete. Ascenso ¿ oficiales quintos i los meritorios D. Josef Velez Cabo, Doñ Antonio de Casas, D., Josef Valero i D_ Anastasio Ruperto Fernandez, Don, Antonio Josef Alayedré y D. Josef Francisco Montero.(óV continuara;) • ' Articulo correspondiente 4 la primera secretaría de Estado. Aunque el canal dé Castilla es por fortuna uno de los establecimientos que acaso se resienten menos dé iq$ estragos de la guerra desoládora que ha recedido, todavía ha necesitado…</t>
  </si>
  <si>
    <t>Montero, Josef Vareta y</t>
  </si>
  <si>
    <t>Josef Vareta y Montero</t>
  </si>
  <si>
    <t>…dro^Gó mez Labrador y D. Antonio Vargas y Laguna. 1 De número, pequeña á D. Francisco Ortiz de Taranco. &gt; Supernumerarias á D. Gaspar Zurita, D. Ignacio Acha,D. Vicente Alzaybár., D. Josef Vareta y Montero, Barón de Gastellnou de Momech , Don Burges Camac, D. Josef Montenegro , D. Ventura Malibran, D. Pedro Juan de Olazagarre, D. Diego Henares y Tienda, D. Diego Miguel Bravo, Don Antonio vidaurreta, D. Juan Zarate, D. Josef Irunciaga, D. Josef Perez Quintero, D…</t>
  </si>
  <si>
    <t>Montero, Pedro Henrique</t>
  </si>
  <si>
    <t>Pedro Henrique Montero</t>
  </si>
  <si>
    <t>…para la vara'de Alcalá la Real é D„ Josef Melitcn de Nava*, para la de Villaroblcdó á D. Joaquín María López de Ayala: para la de la Motiila del Palancar y Campillo de Aito Buey á D. Pedro Henrique Montero: para Ja de Navalcarnero á D. Antonio Castejon Hernández ; y para el corregimien to de Chiclana á D. Bartolomé Luis Lobaton y Sánchez. El Rey nuestro Señor se ha servido conceder les honores de su predica dor al Dr. D. Manuel de Aicayde, teniente vicario gene…</t>
  </si>
  <si>
    <t>Montes, Jacinta Tadéo</t>
  </si>
  <si>
    <t>Jacinta Tadéo Montes</t>
  </si>
  <si>
    <t>t catedral- pófrn*üerte de D. Mantel M*ttm á D. Jacinta Tadéo Montes. . la canongía ."vacante en la/catedral dé León por fallecimiento de 01 Ignació Pascual á D. Francisco de Mendizabal» y la canongía que ha Vacado en la misma catedral por muerte de D. Francisco Javier Sainz. £scaManuel Agüayo y Quevedá, fiscal dé la diócesis…</t>
  </si>
  <si>
    <t>Montesinos, Pantaleon Míreos</t>
  </si>
  <si>
    <t>Pantaleon Míreos Montesinos</t>
  </si>
  <si>
    <t>…ras de alcalde mayor de la ¿ciudad de,Valencia á p. Ladeo Rico Bononat y D. Antonio Martínez Arroy°para la de- Biar ár D. Anastasio Pinos y Plá: para la de Castellón de la Plana á D. Pantaleon Míreos Montesinos: para la de Axpe á D. Josef Vilella y Pastor: para la de Carlet a D. Francisco Ortiz de Cantonat: para la de Gorga y su Valle de Ceta á D. Gregorio Moran y Cavanes: para la de Xerica á D. Josef Cabezas; y á D. Miguel Sanz Aparicio para la de Villalonga, parti…</t>
  </si>
  <si>
    <t>Montiel, Juan Manuel</t>
  </si>
  <si>
    <t>Juan Manuel Montiel</t>
  </si>
  <si>
    <t>…e gratis. Los $ugetós qué gusten pretenderlas dirigirán sus memoriales y relación de méritos litera rios francos de porte 6 D. Juan Diez de la Cortina, alcalde de primer voto, ó á D. Juan Manuel Montiel,Jiabilitados para el efecto; previniéndose que el cirujano deberá ser latino y comadrón. Los memoriales se admitirán hasta 20 de Agosto prpximo, y las plazas se proveerán precisamente en el mes de Octubre. . . Fallecimiento de D. Antonio Capmaiiy, con una suc…</t>
  </si>
  <si>
    <t>Montijo, Manuel Sotillos</t>
  </si>
  <si>
    <t>Manuel Sotillos Montijo</t>
  </si>
  <si>
    <t>…para la de Almería á Don Manuel Perez de los Ríos: para la de la villa de Haro á D. Antonio Guar dilla: para la de Aguilar de Córdoba á D. Blas Josef de Martos: para la de Moron á D. Manuel Sotillos Montijo: para la de Medinasidonia á D. Leo nardo Talens de la Riva: para la de Berlanga á D. Josef Codina y Gómez: para la de Cuellar á D. Gaspar Antero Rochel: para la de Luque á D. Jo sef Carrillo; y para el corregimiento de la Puebla de Alcocer á D. Rafael Mogollo…</t>
  </si>
  <si>
    <t>Monto, Fernando</t>
  </si>
  <si>
    <t>Fernando Monto</t>
  </si>
  <si>
    <t>…rs. D. Manuel Merino de Castro 13446 rs. en réditos de vales. D. Jorge María de Arcos 6416 rs. de sueldos vencidos. La villa de Torrecillas 190295 rs. suministrados á las tropas. D. Fernando Monto) a y Solio , mayordomo de semana de S. M., y brigadier de los Reales egércitos, todos los alcances que resulten en su favor por sueldos devengados. D. Juan Antonio Ruano y Aguilera, comisario ordenador honorario, caballero maestrante de Ronda, y regidor decan…</t>
  </si>
  <si>
    <t>Montoya, Felipe</t>
  </si>
  <si>
    <t>Felipe Montoya</t>
  </si>
  <si>
    <t>…2 de Marzo de 1815S. M. se ha servido nombrar para la iglesia y obispado de Teruel, va cante por promoción del limo. Sr. D. Blas Joaquin de la Palma al arzobis pado de Granada, á D. Felipe Montoya, canónigo lectoral de la iglesia de Plasencia: .para la capiscolía de la catedral de Vique, vacante por promo ción de D. Francisco Rovira al arcedianato titular de la iglesia metropolita na de Valencia, á D. Francisco Moros, cura párroco déla villa de Iguala…</t>
  </si>
  <si>
    <t>Montoya, Josef Alonso</t>
  </si>
  <si>
    <t>Josef Alonso Montoya</t>
  </si>
  <si>
    <t>…Lucas Quiñones, á D. Juan González Villar, canónigo lectoral de la misma catedral: para el[ de la iglesia metropolitana de Granada, vacante por muerte de D. Miguel Craoyvinguel, á D. Josef Alonso Montoya, deán de la iglesia catedral de Almería: para el de la de Lugo , vacante por fallecimiento de D. Antonio de Lence, á D. Manuel Fernandez Varela, prior de Accba, y canónigo de la misma catedral: para una canongía de la iglesia catedral d.e Ceuta,, vacan-, te p…</t>
  </si>
  <si>
    <t>Montoya, Josef- Alonso</t>
  </si>
  <si>
    <t>Josef- Alonso Montoya</t>
  </si>
  <si>
    <t>…del beneficio: simple! servidero ¿e Gánete da Real qtié oh* tiene* en el arzobispado de Sevildar paira el deanato y canongía,¡ tacante* en kt catedral de Almería por promoción de D. Josef- Alonso Montoya á la dignidad también de deán de la iglesia metropolitana dé Granada V á'D¿ Antonio Vidáurreta, canónigo dé la6de Patencia: para la'ración qóe'ha vaca do en la iglesia catedral de Zamora porpromocion de D. Mignel l.opez- qué la obtenía á otra de lá dé Plasenc…</t>
  </si>
  <si>
    <t>Montull, Ramón</t>
  </si>
  <si>
    <t>Ramón Montull</t>
  </si>
  <si>
    <t>…on ' Antonio, pastorel 4 D&lt; Manuel de Urtazum , beneficiado de la parroquial &amp;&amp;' Molina, diócesis de Cartagena j y otra canongía vacante también en dicha c*¿&gt; tedral por muerte de D. Ramón Montull á D. Victoriano Sánchez, cura pár-* róco de los Carabancheles, én el arzobispado de Toledo. = El arcedianato de Alpuente , en ía Catedral de Segorve, vacante por promoción de D. Ventura Jo-" sef Masmirja al dé Llobregat ; á D. Juan Pablo Óonstans, canónigo de…</t>
  </si>
  <si>
    <t>Mor, Rafael</t>
  </si>
  <si>
    <t>Rafael Mor</t>
  </si>
  <si>
    <t>…dmitidos i felicitar á S. M. y fcesar su Real mano » á nombre del ayuntamiento y vecinos de la ciudad de Alicante» los Excmos. Síes.*deque de Montemar y marques de Valparaíso, ; y D. Rafael Mor?nt, oficial de la secretaría de estado y del despacho universal de Indias; el qual, encargado particularmente como regidor decano de la clase de*nobles de la misma, dixo: ; ' ,, Señor: restablecido el ayuntamiento de la ciudad de Alicante por vues- ' tra Real…</t>
  </si>
  <si>
    <t>Mora</t>
  </si>
  <si>
    <t>…se ve cuales son los signos que sobran á la lengua catalana, y los que faltan con respecto á los sonidos de otras len guas. El capítulo de dicciones, que es un elogio del difunto señor Mora, obispo d&lt;5 Solsona, héroe de nuestros dias, está escrito con la idea de que sirva de modelo pa ra él uso de cualquier acento territorial, de suerte que pueda escribirse todo cuanto se pronuncíe, y pronunciarse todo cuanto se escriba, lo cual se echa menos en…</t>
  </si>
  <si>
    <t>Mora, Ignacio de</t>
  </si>
  <si>
    <t>Ignacio de Mora</t>
  </si>
  <si>
    <t>…Juan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Sayago, D. Jldefonso Nieto, D. Cristóbal Giménez, D. Miguel de Torres, D. R.afael Sánchez Sáravia, D. Ramón Polo, D. Miguel Linares, D. Juan Larrua…</t>
  </si>
  <si>
    <t>Mora, Juan Miguel Gómez de</t>
  </si>
  <si>
    <t>Juan Miguel Gómez de Mora</t>
  </si>
  <si>
    <t>…, director del seminario' sacerdotal de S. Cárlosde la expresada ciudad de Zara goza : para lina ración» vacante en la catedral de Córdoba pór fallecimientó de D. Juan de Roda, á D. Juan Miguel Gómez de Mora, cura del hospital dé la sangeedé Sevilla r para otra: ración en b misma catedral, vacante por muerte de D. Josef Mazuelo» á D. Manuel Ximenez del Hóyó» médio racióneto de ella; para "esta mediad ración á JD. Pablo Romero y Castañeda: Íara la capellanía de Re…</t>
  </si>
  <si>
    <t>Moraleda, Valdomero</t>
  </si>
  <si>
    <t>Valdomero Moraleda</t>
  </si>
  <si>
    <t>…e S. M., alcalde de su Real casa y corte, a quien ha sido cometida dicha Real facul tad. Quien quisiere hacer postura á eílá 4cuda ante el mlámo señor y escribanía de provincia de D. Valdomero Moraleda, que se admitirán siendo arregladas. ; : Se desea saber de qué pueblo de Estremadura, la Mancha ó Rioja es natural Don Francisco Vezares, que fue comerciante en el Perú, y murió en Lima en fines del siglo pasado. Las personas que tengan noticia de la, poblaci…</t>
  </si>
  <si>
    <t>…postura, y por lo^mismo se ha mandado publicar por otroSv,i5 di|s mas. La persona que quisiere hacer postura S ella acuda ante el referido señor alca de eéCribahía de provincia de D. Valdomero Moraleda, que se le admitirá la que hicícrfe siendo'arreglada. . Se hace saber i todos los acreedores comprendidos en los autos del concurso Iformado por D. Josef Segundo Moreno, presbítero, que en el dia se hallan estos en estado^de procederse ¿ subasta y venta de un…</t>
  </si>
  <si>
    <t>Morales, Francisco</t>
  </si>
  <si>
    <t>Francisco Morales</t>
  </si>
  <si>
    <t>…y su ruebla de Manilva á D. Justo Rodríguez Hurtado de Bruna: para la de Sanlúcar la Ma yor á D. Juan Ribera: para la de Calasparra á D. Josef Antonio Picazo: para la de Jumilla á D. Francisco Morales de los Ríos: para la de Velorado á D. Cosme Moreno y Mérida: para la de la villa del Prado á D. Luis Fran cisco Sanz Teresa: para la de Belmonte á D. Pedro Antonio Moraleja y Montalban: para la de Carcabuey á D. Juan Carlos Callaba: para la cíe Cartaya á D. J…</t>
  </si>
  <si>
    <t>Morales, Joaquín</t>
  </si>
  <si>
    <t>Joaquín Morales</t>
  </si>
  <si>
    <t>…iménez', fí. Francisco Muñoz y fí. Alejandro Barrios-. .: -f ' • i. En el regimiento de sus Reales guardias de infantería Walona grado de teniente coronel á los segundos tenientes D. Joaquín Morales y D. Manuel de Cortabarría y D, Eduardo de Silva. j í Lá consideración de capitanes vivos y efectivos: de infantería á Jos alfére^s fí. Rafáel Valcárcel i&gt;.D.'Eduardo de Brett, D.. Francisco de Baños y D. Josef María de Craiwinkel. ' - .-,ó Grado de capitan.de intateríaqal sargento.primero…</t>
  </si>
  <si>
    <t>Morales, Josef</t>
  </si>
  <si>
    <t>Josef Morales</t>
  </si>
  <si>
    <t>…z , D. Dámaso Arroyo', D. Vicente Sier ra, D. Gregorio' Desea, D. Domingo Fernandez, D. Francisco íFerr&amp;Éidez, D. Josef Casulla, D. Juan Fernandez ,D.Gil Garande, D. Josef Castro, Don Josef Morales, D. Joaquín Soravilla , D. Francisco,Mora , D* Gabriel Bala-r giier, D. Benito Romasanta , D. Mariano Gómez , D. Juan: Antonio Berdia, D. Josef Alonso , D. Pedro Cortés , D. Francisco Mareli, D. Francisco Doyega , D. Agustín Berlanga y D. Manuel Serrano. . ^…</t>
  </si>
  <si>
    <t>Morales, Josef Ortega Vázquez y</t>
  </si>
  <si>
    <t>Josef Ortega Vázquez y Morales</t>
  </si>
  <si>
    <t>…n la librería de Dávila, calle de las Carretas. Ensayo sobre la electricidad de los cuerpos, con una lámina de la máquina, por el célebre abate Nollet: traducido en castellano por D. Josef Ortega Vázquez y Morales, primer secretario perpetuo de la.Real academia médica de Madrid, y Socio correspondiente de la Real academia de Ciencias de París y de la Real so ciedad de Londres: un tomo en 4.0 Se hallará á 16 rs. en pasta en la librería de Calleja, calle de las Carretas,…</t>
  </si>
  <si>
    <t>Morales, Juan Ruiz</t>
  </si>
  <si>
    <t>Juan Ruiz Morales</t>
  </si>
  <si>
    <t>…; y siendovpartes én los referidos autos el Lie. D. Juan Josef Goriiez Palenzuele , D. Pedro Manuel Folgueras, Doña Juana Rodríguez , viu da de D. Pedro Tegeiro, D. Gaspar Eugeni, D. Juan Ruiz Morales, D. Josef, D. Joaquín y D. Bernabé VcladieZ, como herederos del difunto D. Josef Veladiezj</t>
  </si>
  <si>
    <t>Morales, Miguel Alarcon y</t>
  </si>
  <si>
    <t>Miguel Alarcon y Morales</t>
  </si>
  <si>
    <t>36</t>
  </si>
  <si>
    <t>…dc6nocimientov serán la divisa, eterna de lós miembros dé las tres jumas reunidas.’’ - v-V Al día siguiente tuvo igualmente el honor de ser admitido á felicitar á $. M. y A A. RR. D. Miguel Alarcon y Morales, presbítero, beneficiado propio de las iglesias de Ataxate y AJpandeire, diputado por las villas y pueblos dé Ubrique^ Benaocaz , Villaluenga, Cortes de la Frontera, Manilva , Benadalid , Benalauria, el Bosque, Algatoqin, Benarraba, Ximera y Genaíguacil, todo…</t>
  </si>
  <si>
    <t>Morales, Pedro Huerta</t>
  </si>
  <si>
    <t>Pedro Huerta Morales</t>
  </si>
  <si>
    <t>…Josef Andrés de Arellano: de la Solana á Don Francisco María Osorio y Becerra: de los Santos á D. Vicente García Díaz: del Toboso á D. Francisco Juan y Cantabella: de San Mateo á Don Pedro Huerta Morales: de Almonacid de Zorita á D. Antonio Fernando Briz: de Daymiel al honorario de la cámara de Comptos D. Juan Ramón de Ibarra: de Mérida á D. Joaquín María de Egui^uren: de Dos-Barrios á D. Jorge Ferrer: de Segura de la Sierra á D. Diego Crespo de León! de Porc…</t>
  </si>
  <si>
    <t>Morales, Teresa de Saiazar y</t>
  </si>
  <si>
    <t>Teresa de Saiazar y Morales</t>
  </si>
  <si>
    <t>…-, del consejo de S. M.teniente primero decorregidor de esta heroica, villa, en cuyo juzgado y escribanía numeraria de D. To mas de Sancha pende la testamentaría de la Excma. Sra. Doña Teresa de Saiazar y Morales, marquesa que fue de Soásentelos, condesa de Montarco, se ha servido convocar á junta general á todos tos interesados en dicha testamentaría, para ia que ha señalado ei día 29 de Noviembre á las nueve de su. mañana en su posada, y que se les haga saber por me…</t>
  </si>
  <si>
    <t>Morales, Tomas</t>
  </si>
  <si>
    <t>Tomas Morales</t>
  </si>
  <si>
    <t>…tuvo la honra de presen tarse á S. M. y besar íu Real mano él présbite reí Dr1. JD. Josef Ambrosio Llamosa, como diputado por el comandante general del egército de Barlo vento el coronel D. Tomas Morales , para felicitar á S. M. en nombre de todo aquel fegérrito, y poner bajo su Real protección^*' provincia de Ve nezuela pacificada, el cual , después ¡de haber' eSpue&amp;O dos ¿servicios, hechor en favor del Rey por aquellos beneméritos oficiales y soldados , man…</t>
  </si>
  <si>
    <t>Morales, Vicente Modrego y</t>
  </si>
  <si>
    <t>Vicente Modrego y Morales</t>
  </si>
  <si>
    <t>…nuel de Tovar, alférez de caballería, 1410 rs. de sueldos venddós. D. Josef Montano, capitán retirado, los sueldos que ha dejado de percibir desde el año de 1808 hasta el dé 1812. D. Vicente Modrego y Morales la mitad de su sueldo de secretario del ayuntamiento de la ciudad de Valencia/ D. Josef Sala zar 200 rs. D. Manuel Merino de Castro 13446 rs. en réditos de vales. D. Jorge María de Arcos 6416 rs. de sueldos vencidos. La villa de Torrecillas 190295 rs. suminis…</t>
  </si>
  <si>
    <t>Moran, Basilio</t>
  </si>
  <si>
    <t>Basilio Moran</t>
  </si>
  <si>
    <t>…os Sargentos Ó. Francisco Ca lleja, JD. Isidro Cifuentes, y D. Manuel Lozano., det Real Cuerpo"de Arti llería; y á D. Angel Martin , E&gt;. Cayetano del Cás.tiliío, D. Josef Quenedí, D. Basilio Moran, D. Agustín Santero, y D. Josef Mediero, del Regimien to de Voluntarios de Avila; y asimismo se ha dignado S. M. conceder una Cruz pendiente del ojal de la casaeq con una cinta morada, la qual tendrá grabado en el círculo de su cara principal el quartej de la…</t>
  </si>
  <si>
    <t>Morand</t>
  </si>
  <si>
    <t>…arse. El Emperador pasó el día 19 a las cinco de la mañana el Samhra por Charferoi. Se han señalado por punto de reunión Phiítppeville y Avesnes, en donde el príncipe Gerónimo».el general Morand y los otros generales han reunido ya una parte del egército. El mariscal Grouchy con el cuerpo de la derecha marcha por el AJ &gt;'^</t>
  </si>
  <si>
    <t>Morcillo, Manuel López</t>
  </si>
  <si>
    <t>Manuel López Morcillo</t>
  </si>
  <si>
    <t>…nca por muerte de DJuan ' Pablo Muñoz * D. Vicente Ailíon y Rivas. r „ . -. ^ La canongía que ha vacado en la Colegiata .de Baza por fallecimiento de 0. Wolfango Vicente de Hore á D. Manuel López Morcillo. . . , Vr La canongía vacante en Ia: colegiata dé Sta. Mana de irianavia/ctel Pa— dron, arzobispado de Santiago, por muerte de D. Luis de Latas á 0. Junan pinera y Escaño» y para la que ha vacado en la propia colegiata por falte-</t>
  </si>
  <si>
    <t>Morcuende, Juan Martin</t>
  </si>
  <si>
    <t>Juan Martin Morcuende</t>
  </si>
  <si>
    <t>…'hecho prisionero y llevado á Francia. Se suplica, pues, á las personas que tuvieren noticia de su suerte ¿ tehgañ á bien darla en Cádiz á Di José Musart de Anglada, ó en Madrid á D. Juan Martin Morcuende, en la librería de Arribas, calle de las Carretas. Se suplica á quien supiese el paradero de Ramón Bach, cabo del regimiento de dragones de Numancía, natural de la ciudad de Vich, en Cataluña , que fue hecbcrprisioncro en Tarragona en el año de 1811, y fue co…</t>
  </si>
  <si>
    <t>More, Gabriel</t>
  </si>
  <si>
    <t>Gabriel More</t>
  </si>
  <si>
    <t>…luntarios de Avila, D. Fernando Diez Bascones, D. Mariano Hernández, D. Francisco Tiburcio Sánchez y D. Juan Francisco Perez, de los batallones de voluntarios de Ciudad-Rodrigo, y D. Gabriel More no, capitán de inválidos de las compañías de Ciudad-Rodrigo : de capitán á D. Juan Henriqoez y D. Antonio Vázquez Aldana, ayudante y tenien te del regimiento de infantería de Mallorca, D. Josef María Tandero, Don Salvador García, tenientes del segundo batalló…</t>
  </si>
  <si>
    <t>Moreau</t>
  </si>
  <si>
    <t>…puertos se exáminen escrupulosamente á toda clase de extrangeros que entren ó salgan en Inglaterra-----La princesa Talleyrand» que ha lle gado aquí» habita en casa de la viada del general Moreau. PIAMONTE. Génova $ de Abril. El 2 del corriente se leyó la siguiente orden del día á todos los cuerpos de tropa de S. M. ,, Soldados: nuestro corazón desea hacer renacer en el exército todo el vigor posible para conseguir sucesos felices. __ El espíritu siem…</t>
  </si>
  <si>
    <t>Moreda, Manuel</t>
  </si>
  <si>
    <t>Manuel Moreda</t>
  </si>
  <si>
    <t>…o; Honores de comisario Ordenador, áD. Francisco Totrejon y Correacon tador dé Rentas de esta provincia; á D.Manuel de la Torre, D. Manuel Sis— to . Dv Diego Crespo dé •Téjada'* * D. Manuel Moreda y D. Pedro Marcelino Blanco / individuos de la comisión para activar el préstamo voluntario reinída grablé; á D. Fernando Rey , administrador de las Reales gracias dél Nóvéiio y Escusado de la provincia de Orense ; á P. Manuel de Menoyó, tesorero principal de Rentas de la/provincia de T…</t>
  </si>
  <si>
    <t>…de la&gt; parroquial de Zamarrainala , en la misma diócesis : el beneficio servidero del lugar de Navares dp en medio * en el mismo obispado de Segovia, vacante por fallecimiento de Don Manuel Moreda, á D. Francisco Antonio de la Cárcel y Comas: otro bene ficio servidero de la parroquial de Santiago en la villa de Sepúlveda,que vacó por fallecimiento de D. Antonio Julián de Velasco y Manso, á D. Diego Velazquez. ==Una canongía de la iglesia colegial de S.…</t>
  </si>
  <si>
    <t>Morejon, Juan Antonio</t>
  </si>
  <si>
    <t>Juan Antonio Morejon</t>
  </si>
  <si>
    <t>Asimismo, y jfor las respectivas renuncias dé D. Ramón Rodríguez de Velase*», D. Léon González del Camino, D. Juan Antonio Morejon, Don Josef Antonio de Oscoz y D. Antonio Fernando Briz, se ha dignado S. M. nombrar, á consulta de dicho tribunal, para las varas de S. Vicente á Don Santiago Amatrtain: de Pedro Muñoz á D. Antonio Rodríguez fsscovar : de ViHaest/usa de Haro á D. Gínes Muiría…</t>
  </si>
  <si>
    <t>Morelos</t>
  </si>
  <si>
    <t>…te de los que las guardaban, las abandonaron cobardemente los rebeldes, de modo que de los buques con que iban formando su escuadrilla los piratas no existe ya mas que el titulado general Morelos, que pudo es*caparse por hallarse á gran distancia y superioridad de vela, el cual, según noticias posteriormente adquiridas, no volverá á presentarse tal vez en mu&lt;¿ho tiempo, por encontrarse sin víveres, con muy poca gente, y disgustada de su permanencia en…</t>
  </si>
  <si>
    <t>Moreno, Francisco</t>
  </si>
  <si>
    <t>Francisco Moreno</t>
  </si>
  <si>
    <t>…para la de Tarifa á~D. Manuel González Pintp: para la de Moguer á D. Pascual Félix Pui; y para la de Ífernan-Nufiez i D. Julián An drés García. Para el corregimiento de Madrigal á D. Francisco Moreno: pa ra el de Ciudad-Real á D. Fermín Diez: pará el de Benavides de Ortigo á D. Anselmo Diez Canseco: para el de Chinchón á D. Tadeo Capablanca. Jfara la vara de León á D. Joaquín Ruiz de Arechavaleta: para la del Arahal á D. Josef Miguel Monge: para la de Aya…</t>
  </si>
  <si>
    <t>Moreno, Francisco de Flores</t>
  </si>
  <si>
    <t>Francisco de Flores Moreno</t>
  </si>
  <si>
    <t>…te á S. Luis, está de venta el ensayo médico-práctico sobre la naturaleza y curación de la fiebre amarilla: escrito por el médico de cámara de S; M., doctor en medicina y cirugía, D. Francisco de Flores Moreno, proto-médico de la ciudad de Cádiz &amp;c. Esta obrita, digna de la lectura de los facultativos instruidos, está escrita después de una larga esperiencia y repetidas observaciones sobre la enfermedad de que trata, y apoyada su doctrina en casos prácticos, recogi…</t>
  </si>
  <si>
    <t>Moreno, Francisco de Paula</t>
  </si>
  <si>
    <t>Francisco de Paula Moreno</t>
  </si>
  <si>
    <t>…rgas, D. Josef Llanzo, Don Josfef Astraudi ,.D. Juan de Sotomáy or, D. Cayetano Perez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 Josef Arcos, Don Fermín Moza…</t>
  </si>
  <si>
    <t>Moreno, Gregorio</t>
  </si>
  <si>
    <t>Gregorio Moreno</t>
  </si>
  <si>
    <t>…cámara de S. M., str presidente, y de los ganaderos é individuos del concejo D. Fermín Fernandez de la Cuesta, D. Joaquín Perez , D. Balta sar Carrillo, D. Pedro Marcelino Blanco, D. Gregorio Moreno, D. Manuel Frutos , D. Cristóbal Hernández, D. Vicente Gil AIbert,L&gt;. Josef Ramírez y D.,Bernardo González Alvarez, su procurador general. Igualmente el 30 del mismo mes se presentaron también á S. M., y le fe licitaron con igual motivo en nombre del partido…</t>
  </si>
  <si>
    <t>Moreno, Josef</t>
  </si>
  <si>
    <t>Josef Moreno</t>
  </si>
  <si>
    <t>…imiento de infantería el Real de Lima, existente en el Perú, con la antigüedad de 18 de Mayo de 814; capitanes á D. Francisco Velasco y D. Pedro Noriega; tenientes de granaderos á D. Josef Moreno y D. Juan Cosío; ídem de fusileros á D. Josef Cañas, D. Ignacio de Castro y Neg reyros y D. Francisco Cañas; subteniente de granaderos á D. Juan Valdivíeiso, y subtenientes de bandera á D, Manuel Gil, D. Josef Nicolás Esre’Ia, D. Ignacio Alcázar y D. Jacinto del Rico: con la…</t>
  </si>
  <si>
    <t>Moreno, Josef Segundo</t>
  </si>
  <si>
    <t>Josef Segundo Moreno</t>
  </si>
  <si>
    <t>…provincia de D. Valdomero Moraleda, que se le admitirá la que hicícrfe siendo'arreglada. . Se hace saber i todos los acreedores comprendidos en los autos del concurso Iformado por D. Josef Segundo Moreno, presbítero, que en el dia se hallan estos en estado^de procederse ¿ subasta y venta de una. mitad de casa perteneciente al .misino, sita en esta corle , calle de la Magdalena baja, núqa. 5/ manz* ^ aCjC” «sorías £ la de la Cabeza, y de su producto satisfacer…</t>
  </si>
  <si>
    <t>Moreno, Lucas</t>
  </si>
  <si>
    <t>Lucas Moreno</t>
  </si>
  <si>
    <t>…de médico de lá-villa-de'Aranda de Due-&gt; ro: su dotación son 8 rs., pagados mensualmente en metálico por el mayordomo dé propios. Los pretendiente* acudirán con-sus i memoriales á D. Lucas Moreno y á</t>
  </si>
  <si>
    <t>Moreno, Luís</t>
  </si>
  <si>
    <t>Luís Moreno</t>
  </si>
  <si>
    <t>…Ramón Ortiz Otañez, Dv Miguel Palacios Ruiz, D^ Ramón Aguí lar, D. • Josef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t>
  </si>
  <si>
    <t>Moreno, Manuel</t>
  </si>
  <si>
    <t>Manuel Moreno</t>
  </si>
  <si>
    <t>…o, D. Francisco Sillero, D. Juan Sánchez, D. Alexandro Saez, D. Estéban Rubio y D. Gabriel Yanguas, del de Cazadores de León ; D. Ramón Mo reno, de la escuela militar de Santiago; D. Manuel Moreno y D. Andrés Pierola, del Cuerpo de Artillería; D. Antonio Freyre, del de Zaragoza, y D. León Ovalle, del de Cazadores del Rey; y grado y sueldo de Subte niente á Manuel Lamela: de Sargento primero y segundo á Juan Fandiño y Juan de Torres: dos escudos de ventaja á los Soldados R…</t>
  </si>
  <si>
    <t>…Caballería^ de línea y ligera. Cf Grados de tenientes á los alféreces D. Pedro Cataneó y Negro, D. Ig nacio Tejeiro y Lastra, D. Josef Quintero, D. Josef Garcés, D. Antonio Ferri, D. Manuel Moreno, D&gt; Josef Funes, D. Ignacio Iturrigaray, D. Fran cisco Martos,: D. Francisco G^rces, ,D. Gonzalo Lobo , D. Josef Araujo, p. Josef Rovirat, D. Antonio Sierra , D, Josef María Lauquer, D. Josef Dá^ viía, ,D&lt;Antonio Alvare^, D, Joaquín Asensio, D. Benito Ibañez,…</t>
  </si>
  <si>
    <t>Moreno, Manuel Vicente</t>
  </si>
  <si>
    <t>Manuel Vicente Moreno</t>
  </si>
  <si>
    <t>Ultimamente se lia servidoS. M. reponer en la vara de Alcalde mayor de Mazarron á D. Manuel de Calvache y López de Mayor: en la de Fiñana á D. Manuel Vicente Moreno: en la de la Población de los Barrios del Cam po de Gibraltar á D. Josef Joaquín de Eraso; y en la de Yepes, para que cumpla un sexenio, á D. Francisco de Paula Martínez Lozano. Para que los pueblos y particulares de este reino que se crean acreedores contra…</t>
  </si>
  <si>
    <t>Moreno, Nicolás</t>
  </si>
  <si>
    <t>Nicolás Moreno</t>
  </si>
  <si>
    <t>…or comisionado ó por escrito en esta corte á Joaquín del Rey, oficial de impresor, que vive calle ancha del Avapies, núm. 13, esquina á la plazuela, ó en Granada en la imprenta de D. Nicolás Moreno, que dando señas sé le entregará. . .. • v Se desea saber el paradero de D. Alejandro Caumels, alférez del regimiento ín-; fantería del Príncipe, que se hallaba en el reino de Galicia en el año de 1808, para hacerle entrega de varios efectos que le pertenecen…</t>
  </si>
  <si>
    <t>Moreno, Pedro</t>
  </si>
  <si>
    <t>Pedro Moreno</t>
  </si>
  <si>
    <t>…Manuel Cano y Tené, racionero de ella; otra canongía vacan te en la iglesia colegiata del Salvador de la referida ciudad de Granada por fallecimiento de D. Josef Benito Palácios á D. Pedro Moreno, presbítero. Eldeanato de la catedral de Calahorra, vacante por ■promoción de Don Antonio Carrillo y Mayoral á la iglesia y obispado de Plasencia, á D. Pe dro Prado , canónigo de la colegiata de S. Isidro de esta corté , y lá canon gía de lá misma catedral, q…</t>
  </si>
  <si>
    <t>…, D, Joaquín Asensio, D. Benito Ibañez, D. Anto nio Casbas j D. Francisco Botella,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t>
  </si>
  <si>
    <t>Moretid, Miguel</t>
  </si>
  <si>
    <t>Miguel Moretid</t>
  </si>
  <si>
    <t>…al de Zapadores; D. Josef Bena, 0. Manuel Hueso, D. Fránciscp-Yarto, D. Mariano Rosas,. D. Henrique Puga, y D. Carlos ViHarejo, del Regimiento de Mallorca; D. Ignacio Llánderas , D. Miguel Moretid, D. Gregorio del Pozo, D. Fabian de Lastra, 0. Ricardo Rey roso, Don Víctor Cabeza de Vaca, D. Casimiro Salcedo, y D. Miguel González, del de Voluntarios de Avila; D. Francisco Herranz ,'D. Angel Díaz, y Don Vicente Tomes, del Provincial de Segovia; D. Pedro…</t>
  </si>
  <si>
    <t>Morillo</t>
  </si>
  <si>
    <t>¿OÍ general Morillo; Di Luis Roca de Togafefc y Juan, comándame délcástillo de ia Cabana en la Havana; D. Juan Tirry y Lacy y D. Anastasio Fráncisco-Armenteros, coroneles agregados al escuadrón de dragones dé América lijo de aquella plaza; D. Ensebio Escudero, gobernador de Cuba…</t>
  </si>
  <si>
    <t>…olpes referidos, he reducido á los revolucionarios de Cartagena al último apuro___ Sobre tantos desastres para ellos, les llegó la noticia del arribo de la espedicion al mando del general Morillo á la Margarita acontecimiento tan grande por la opor tunidad en que se :ha verificado, como por lo bien dispuesto y equipado de la .espedicion-----.Recomiendo á V. E. ai. capitán del segundo Americano D. Ignacio La-Rus , par el valor , sagacidad y talento mil…</t>
  </si>
  <si>
    <t>Morillo, Pablo</t>
  </si>
  <si>
    <t>Pablo Morillo</t>
  </si>
  <si>
    <t>…rreaban, á su patria con su conducta temeraria y criminal quisieran reconciliarse cordialmente. Con este fin se dispuso desde luego la expedición ¿del mando del Teniente Gene- ral D. Pablo Morillo; la qual, á pesar del estado á quehabia quedado re ducida la Nación después de la destructora guerra que tan gloriosamente</t>
  </si>
  <si>
    <t>ira, raerte de 1800 hombrés, qué él tentehtejgefieral D. Pablo Morillo déíta*■có con este objito délegércltoéxpedicionáriódcsde Puértocábéllo y llegó cóli toda felicídadéi 21 déMayo sfntetfór á Ptírtbbéíó ii ‘ésras írtípas atravesaróji 'él Istmov haciendo^ tránsito éri Chagré y éh Cruces ,*y sé embarcaron en E¿N* mamá con direcc…</t>
  </si>
  <si>
    <t>Moro, Vicente González</t>
  </si>
  <si>
    <t>Vicente González Moro</t>
  </si>
  <si>
    <t>…: n r-yj .v.l'p.'-ío - De coronel al teniente coronel D. Manuel Matm&gt; de Guinea: de tenientes coroneles á los&gt; sargentos mayores 0.* Juan Ramírez Piéarro i, D. Cristóbal dé Reina, D. Vicente González Moro, D. &gt; Jman Loriga, D. Fernando Gocho, D. Mateo Hernández, 0. Pedro del Barco ; Jrá los capitanes D. Luis Abneig^ D. Josef Luna, D. Antonio Loriga, D. RamónCucalón., D.RamonTavaiy D, Pedro Argaiz, D:¡ Pabío Venéwies .y jDi jFramasco Sara víaDv Antonio Es parza…</t>
  </si>
  <si>
    <t>Morón, Cristóbal López</t>
  </si>
  <si>
    <t>Cristóbal López Morón</t>
  </si>
  <si>
    <t>…s de Cabrera, id. Capellanía de Doña Paula y D. Juan Albertos. Una casa cálle la Era en Armjlla: otra en id: una haza, 6 marjales tierra, pago de la Presa mala, id. Capellanía "de D. Cristóbal López Morón. Un cortijo llamado de Cortes de 120 fanegas de tierra, Montefrio. J Capellanía de D, Alonso de ios Ríos, Uná casa núm. 4 en las Tendillas de Sta. Paula, Granada. Capellanía de D. Ignacio López Beltranilla. Ochenta marjales tierra cal ma de riego con olivos,…</t>
  </si>
  <si>
    <t>Moron, Manuel</t>
  </si>
  <si>
    <t>Manuel Moron</t>
  </si>
  <si>
    <t>…nel del regimiento urbano de dragones de Azangaro al graduado de milicias y comandante de esquadron D. Josef Remio de Arias: para teniente coronel en el de Mages al sargento mayor D. Manuel Moron: para igual empleo en el de caballería de Luya y Chillaos al tenien te de milicias D. Pablo Rodríguez de Mendoza: para comandante de esqua dron én el de dragones de Mages al capitán D. Josef Villegas i para sargen to mayor en el de Andahuaylas ai capitán £).…</t>
  </si>
  <si>
    <t>Moros, Francisco</t>
  </si>
  <si>
    <t>Francisco Moros</t>
  </si>
  <si>
    <t>…iglesia de Plasencia: .para la capiscolía de la catedral de Vique, vacante por promo ción de D. Francisco Rovira al arcedianato titular de la iglesia metropolita na de Valencia, á D. Francisco Moros, cura párroco déla villa de Iguala da: para una canongía de la iglesia metropolitana de Zaragoza, vacante por promoción de D. Pedro Valero á’la iglesia y obispado de Gerona, á D. Mariano Martin Esperanza, vicario capitular y gobernador de ja mitra de Cádiz; y…</t>
  </si>
  <si>
    <t>Morte, Eduardo Fermín</t>
  </si>
  <si>
    <t>Eduardo Fermín Morte</t>
  </si>
  <si>
    <t>…ontaduría de Burgos que aquel dexa al contador de la provincia de Salamanca D. Josef Sánchez: para la contadu ría de Salamanca que este dexa al contador de la provincia de Paleada D. Eduardo Fermín Morte; y para esta resulta á D. Juan Josef ElizaLdn, oficial primero de ia contaduría principal de la expresada provincia de Ga licia. El Rey nuestro Señor en atención á los méritos, conocimientos y ser vicios hechos por el A. P. predicador Fr. Andrés Villageliu, d…</t>
  </si>
  <si>
    <t>Moscoso, Juan Josef Sánchez</t>
  </si>
  <si>
    <t>Juan Josef Sánchez Moscoso</t>
  </si>
  <si>
    <t>…o de i). Ignacio Escovedo y Mexía, á D. Miguel Raygon y Diaz, dignidad de tesorero de la catedral de Gu. dix: para una canongía, vacante en 1:&lt; misma iglesia por fa llecimiento de D. Juan Josef Sánchez Moscoso, á D. Juan de Vargas, in quisidor jubilado del santo tribunal de Córdoba, en consideración á sus mé ritos y dilatados servicios: para una ración, que se halla también vacante en dicha iglesia metropolitana por muerte de D. Julián García de Paredes, á D. Franc…</t>
  </si>
  <si>
    <t>Moscoso, Pascual Tenorio y</t>
  </si>
  <si>
    <t>Pascual Tenorio y Moscoso</t>
  </si>
  <si>
    <t>…derechos, y conseguir su pronto reintegro con solo el corto estipendio de un 5 por 100 sobre el producto de lo que se cobre, por medio del Cónsul general de S. M. en dicha ciudad D. Pascual Tenorio y Moscoso, remitiéndole para el espresado efecto un poder en forma; y respecto á que dicho Tenorio cede el pro ducto de la referida deducción á favor del egército, al paso que los interesa dos pueden lograr con facilidad y seguridad su reintegro con el menor gasto posi…</t>
  </si>
  <si>
    <t>…s derechos, y conseguir su pronto reintegro con solo el corto estipendio de un 5 por 100 ¿obre el producto de lo que se cobré,por medio del Cónsul general ae S. M. eñ dicha ciudad D. Pascual Tenorio y Moscoso, remitiéndole para el expre sado efecto un poder en forma; y respecto á que dicho Tenorio cede el pro ducto de la referidá deducción á favor del egército , ai paso que los interesa dos pueden lograr con facilidad y seguridad su reintegro con el menor gasto po…</t>
  </si>
  <si>
    <t>Mosquera, Antonio de Entrena y</t>
  </si>
  <si>
    <t>Antonio de Entrena y Mosquera</t>
  </si>
  <si>
    <t>…D. Francisco JavierMartinez, D. Josef M^na Blanco y í). Fulgencio Aicaraz; .: . 1 / Ascenso á oficiales quartos ¿ los quintos D. Josef de Torres Gal vez/ D. Clemente Román y Lobo, D. Antonio de Entrena y Mosquera, D. Jo sef Rodríguez, P. Clemente Losada, D. Josef María Pantoga ,‘D. Matías Ova-, lie, D. Juan Martínez Pozuelo y D. Fulgencio Albacete. Ascenso ¿ oficiales quintos i los meritorios D. Josef Velez Cabo, Doñ Antonio de Casas, D., Josef Valero i D_ Anastasio R…</t>
  </si>
  <si>
    <t>Mosteirin, Manuela Rosalía de</t>
  </si>
  <si>
    <t>Manuela Rosalía de Mosteirin</t>
  </si>
  <si>
    <t>…íiages, del consejo de S. M. en el de Hacienda, subdelegado general de bienes mos trencos, vacantes y abintestatos, y asesor general de correos, se ha mandado se ci te y emplace á Doña Manuela Rosalía de Mosteirin, viuda de D. Francisco Geró nimo de Arríaza, como madre tutora y curadora'de sus hijos menores , ó á quien l,e represente si hubiese fallecido, á fin de que dentro de 30 dias, contados desde la fecha de este periód co, acuda al juzgado de la subdelegacion gen…</t>
  </si>
  <si>
    <t>Mota, Carlos</t>
  </si>
  <si>
    <t>Carlos Mota</t>
  </si>
  <si>
    <t>…dro Santistéban y D. Josef Novoa, del de Lugo; D. Luis Blanco, Don Pedro Iglesias, D. Pedro Ruiz Peña, D. Pedro Rodríguez, D. Isidro del Rio, D. Antonio Arias, D. Manuel Quiñones, D. Carlos Mota, D. Auto-</t>
  </si>
  <si>
    <t>Moten, Pedro</t>
  </si>
  <si>
    <t>Pedro Moten</t>
  </si>
  <si>
    <t>…presenláfSn pór sí ó or medio de memoriales en el término de dos; meses, que concluirán el 22 .de larzo de este año» á los sefíores comisionados D¿ Olegario Ximenez , canónigo,S j D. Pedro Moten©, prebendado-, quicnesioainformarándé da calidad de voz qué *c requiere »i y dei las ^bb’gSQÍooé*jquc.¡l^dViiksénspeSánj:í^' *rq o i ne'íhsr;?'.' K Sermón n £¡ud«d dc ^aff» yoa!cl?0r» Joaef patitos GarcíaKcura funcion.dft^cipft de.gracias por d*¿0*^*9Jaxplei|…</t>
  </si>
  <si>
    <t>Motezuma, Antonio Marsilla</t>
  </si>
  <si>
    <t>Antonio Marsilla Motezuma</t>
  </si>
  <si>
    <t>…e el azote de la epidemia castigó los pueblos comarcanos á aquella ciudad, han merecido el aprecio del Soberano, que se ha dignado aprobar los estatutos formados para su gobierno. D. Antonio Marsilla Motezuma, juez administrador de la Real empresa</t>
  </si>
  <si>
    <t>Motezuma, Conde de</t>
  </si>
  <si>
    <t>Conde de Motezuma</t>
  </si>
  <si>
    <t>…tará la Borgoña de un egército cuyas intenciones no inspiran ninguna confianza. j , í.. ' Madridg de Agosto* - &gt;•••., J/ .españa./;,}; El dia j) de Abril próximo pasado el 'Escmo. Sr. Conde de Motezuma, grande de España de primera clase, gentilhombre' de cámara i de S. M. con egercicio, y corregidor de la heroica villa de Madrid, tuvo la honra de pre sentarse á S. M. en hombre del ayuntamiento de: la ciudad de Lorca, y de -felicitarle por su feliz restituci…</t>
  </si>
  <si>
    <t>…sas consistoriales , en donde se les admitirán los memoriales acom pañando sus respectivos títulos, en el término de ocho dias contados desde este de la fecha. De orden dei Escmo. Sr. Conde de Motezuma se cita de nuevo á los dueños, administradores ó encargados de las casas solares números 12 , ig y 14, manz. utf, sitos en la calle.de las Aguas, para que dentro del mismo término de 15 dias pre cisos y perentorios concurran al juzgado de Policía urbana de es…</t>
  </si>
  <si>
    <t>Mounier</t>
  </si>
  <si>
    <t>…r. S.A.R. hizo marchar el 30 por la mañana 1© hombres del regimiento del coronel general, tres ca ñones, dos obuses, y 900 hombres mas de las guardias nacionales, manda das por el general Mounier baxo las órdenes del príncipe, las que se enca minan á Valencia. S. A. R. ha tenido noticias del Rey, del conde de Artois y del duque de Berri, los que se hallan de la parte de Lila , y las tro pas del Norte están en movimiento contra Napoleón. Las guardias n…</t>
  </si>
  <si>
    <t>Moure, Josef</t>
  </si>
  <si>
    <t>Josef Moure</t>
  </si>
  <si>
    <t>…nuel Blanco San tos, á D. Josef Uraga, canónigo cardenal de la misma catedral: para el de Litnia, dignidad de la propia iglesia, vacante por fallecimiento de D. An tonio Getino, á D. Josef Moure, prior claustral de la colegial de Junquera de Ambia en aquella diócesis: para el arcedianato titular y canongía de la iglesia catedral de Salamanca, vacante por muerte de D. Vicente Cáceres y Godoy, á D. Vicente Ruiz de Albiilos, juez auditor de la Rota de l…</t>
  </si>
  <si>
    <t>…l de Segovia, vacante pór fallecimiento de D** Joan Sánchez,"á D. Policarpo de la Puente: para el priorato claustral de la colegiata de janquera de Ambia, vacante por promoción de D. Josef Moure al arcedianató de Limia, dignidad de la cateara! de Orense, á D. Julián de Piñera, cura párroco de S. Julián de Travadelo, en el arzobispado dé Santiago; y para una capellanía, vacante en la Real capilla de Granada por premoción de ,D. Manuel Elízalde á una c…</t>
  </si>
  <si>
    <t>…á D. &lt; Fermín del Rio , cura de Ventosa de la Sierra': para una canongía de la iglesia colegiaL de Junquera deAmbia, dió cesis de Orense , que.resaltará v.icante.por promocíon de D. Josef Moure al arcedianato de Limia dignidad/de laiiglesia catedral de Orense, á D. Juan Bautista- Torres: para unajracioiii.de la- igiesia colegial de la ciudad de Al fa ro, diócesis,dé Tarazona, vacante 1 por promoción de D. Tomas María Ma yor á una canongía de la mism…</t>
  </si>
  <si>
    <t>Moya, Josef Bejar y Dt Férnahdo</t>
  </si>
  <si>
    <t>Josef Bejar y Dt Férnahdo Moya</t>
  </si>
  <si>
    <t>…us y IX Miguel Ricarte; el de tenienté al subtenienté D. Jfcsejf tiiásÉ Capilla ¿ y al sargento primero con grado de subtéiiiérité D. ^icétfté BéjárJ éldesubteniénte á tós cadetes D. Josef Bejar y Dt Férnahdo Moya^p/yídél Rey, y los sargentos primeros D. AntonioOrtiz y D. Teaquin Sánchez; no incluyéndose al subteniente D. Rafael Reus por haber obtenido el retiro con él sueldo correspondiente á su empleo eri el egército.Ádemas es la voluntad de S. M. que para los destin…</t>
  </si>
  <si>
    <t>Moya, Tomas</t>
  </si>
  <si>
    <t>Tomas Moya</t>
  </si>
  <si>
    <t>…t había ya publicado otra suya en que procuran respectivamente hacer sus apologías. ESPAÑA. Madrid, o.$ de Diciembre. ARTICULO DB OFICIO. Circular del Consejo Real, . Por difxcmó. Sr. D. Tomas Moya no, Secretario dé Estado y del Des cacho universal de Gracia y Justicia, se comunicó al Consejo en 16 de Ju nio de este añó la Real orden que sigue: „ Excmo. Sr.: El Rector y Claustro de la Universidad de Valladolid ha expuesto al Rey qué desde su origen hast…</t>
  </si>
  <si>
    <t>Moyano, Tomas</t>
  </si>
  <si>
    <t>Tomas Moyano</t>
  </si>
  <si>
    <t>…etexto ni motivo. Tendreislo entendido , y lo comunicareis á quien corresponda para su cumplimiento. Igualmente con fecha dé 7 dél corriente se ha servido también el Rey dirigir á D. Tomas Moyano, secretario interino de Estado y del despacho de Gracia y Justicia, el Real decreto siguiente:. Habiendo resuelto por mi decreto de 6 del presente^mes suprimir tres plazas de las cinco de que se componía el juzgado ordinario de ios tenientes de corregidor de…</t>
  </si>
  <si>
    <t>…y efectos convenientes. Dios guarde á V. mu chos años. Madrid 30 de Enero de 1815. Circulares del Consejo Real. i.a Con fecha 25 de Enero último ha comuuicado al Consejo el Excmo. Sr. D. Tomas Moyano, Secretario de Estado y del Despacho de Gracia y Justicia, por medio del Excmo. Sr. Duque del Infantado, su Presidente, la Real orden que dice asi: „ Excmo. Sr.: Enterado el Rey de un oficio que me dirigió el Decano de la Sala de Alcaldes D. Tadeo Soler y Cas…</t>
  </si>
  <si>
    <t>…obispos, RR. Obispos y Prelados para su inteligencia y cumplimiento en lo que res pectivamente íes corresponde. Y lo participo á V. &amp;c. Madrid 2 de Marzo de 1815. 2.24 * El Excmo. Sr. D. Tomas Moyano, Secretario de Estado y del Des pacho Universal de Gracia y Justicia* ha comunicado al Consejo por medio del Excmo. Sr. Duque del Infantado, Presidente de él* con fecha 22 de Febrero último, la Real orden siguiente: 1 „ Excmo. Sr.: El Rey quiere que se renuev…</t>
  </si>
  <si>
    <t>…encargo. Tendreislo entendido , y lo comunicareis á quién ^correspónda. Señalado de la Real mano de S. M. En Palacio á 9 de Marzo de 1815/* 1 Circular del Consejo Real. El Excmo. Sr. D. Tomas Moyano, Secretario de Estado y del Despa cho de Gracia y Justicia, ha comunicado al Consejo por medio del Excmo. Sr. duque del. Infantado, su Presidente, con fecha 2 de este mes, la Real orden siguiente: ' ,, Excmo. Sr. : No pudiendo desconocer S. M. que debe á la.…</t>
  </si>
  <si>
    <t>…ores del Consejo. Don Fernando vn por la gracia de Dios, Rey de Castilla, de León, de Aragón &amp;c. &amp;c. A los del mi Consejo, Presidentes, Regentes y Oido res &amp;c. &amp;c., sabed: Que por D. Tomas Moyano , mi Secretario de Estado y del Despacho de Gracia y Justicia, se comunicaron al mi Consejo con fe chas 22 y 27 de Febrero último, por medio del Duque del Infantado, su Presidente, las dos Reales órdenes, que dicen asi: 1. a ,,Excmo. Sr.: El Sr. Secretario de…</t>
  </si>
  <si>
    <t>…ra su inteligencia, y que disponga su cumplimiento en la parte que le corres ponde. Dios guárde á VV machos años. Madrid 20 de Abril de 1815. Circular del Consejo Real. El Exento. Sr. D. Tomas Moyano, Secretarlo de Estado y del Despa cho Universal de Gracia y Justicia, ha comunicado al Exento. Sr. Duque del Infantado, Presidente del Consejo, con fecha 17 de Marzo próximo, de órden de S. Mi la siguiente:: „ Excmo. Sr.: Condescendiendo el Ret nuestro Señor…</t>
  </si>
  <si>
    <t>…el!esplen dor dél trono, y él mantenimiento &amp; Ja religión y la felicidad de mis vasa llos. Tendreislo entendido, y lo comunicareis para su cumplimiento a quienes corresponda, zr A D. Tomas Moyano.” ; ; ! , . Circular dél ministerio He Querrá. r r Penetrado el sensible corazón del Rey nuestro Señor del noble, leal y constante entusiasmo con que en todas las provincias de la monarquía se crearon para, la defensa de sus ¿agrados derechos y la independenc…</t>
  </si>
  <si>
    <t>…facción de los interesados en ella. Y de la misma Real orden lo traslado á V. para su inteligencia y gobier no. Dios guarde á V. muchos años. Madrid 25 de Julio de 1815. El Escmo. Sr. D. Tomas Moyano, secretario de Estado y del despacho universal de Gracia y Justicia, ha comunicado al consejo por medio del Escmo. Sr. duque presidente la Real orden que dice asi: ,, Escmo. Sr. : Considerando el Rey la grande importancia de propofcio- • nar los medios mas se…</t>
  </si>
  <si>
    <t>…corresponde. Lo comunico á V. de -Real orden para su noticia y cumplimiento. Dios guarde á V. muchos años. Madrid á 2 de Octubre de 1815. Circular del Consejo Real. Por el Excmo. Sr. D. Tomas Moyano, Secretario de Estado y del Des pacho universal de Gracia y Justicia , se ha comunicado at Consejo por me dió del Excmo. Sr. Duque del Infantado, Presidente de él, con fecha £ de este mes deluden de S. M. la siguiente: „Excmo. Sr: Movido el Rey de muy justas…</t>
  </si>
  <si>
    <t>Moyua, Joaquín</t>
  </si>
  <si>
    <t>Joaquín Moyua</t>
  </si>
  <si>
    <t>…üan Diaz' Maqueda,Don -Jdsef Losada y Ribera, j D. Simón Londoñb ,30. Luis Boisgroller, D. Jacin to Marcayda, D. Rufino Torrótitegui y D." Josef García Campero, D.* Pedro Montuel, D. Joaquín Moyua, D. Manuel Salaberria, &gt;D. Eugenio Vizcaíno, D. Félix Torrontegui, D. Luis de ios Riosy1Ü&gt;.: Vicente Sáavedrá, D. Migue! Montemayor, D. Martin Mendoza, D. Julián Henriquez, D. Josef'dél' Rio Eligió, D; Juan jósef Giiidoy D/ BenitodelaRigádtf &amp; Miguel Lizarza,…</t>
  </si>
  <si>
    <t>Moza, Fermín</t>
  </si>
  <si>
    <t>Fermín Moza</t>
  </si>
  <si>
    <t>…erraz , D. Francisco Arroyo, D. Raimundo * Carbonell , D.'Rafael Amandi,D. Matías Cirer , D. Andrés Ramos, D. Jo sef Ibardó, H; Gabriel Calabaza Casimiro Quesada^D.** Josef Arcos, Don Fermín Moza, DPAnjgel Villa, JL Florentino García., D. Rafael Alcalde, D, Ambrosio Doz, D. Vicente Guisber, D. Mariano Rodríguez, D. Eusebio Gavilanes, D. Juan Polo, D. Josef Baeza, D; Josef Dávila , D. Francis co Frades., D* Josef Urbiña, D. Antoiiio Valdivieso, D. Juan…</t>
  </si>
  <si>
    <t>Mozo, Joalquin</t>
  </si>
  <si>
    <t>Joalquin Mozo</t>
  </si>
  <si>
    <t>e&amp;ucáciOiY jfóédícápa ra que ésta llegue1 dl:iiiifs alto grádo dé perfección poAscenso á brigadieres á los capitanes de navio D. Pedro Ruiz Mateos» D.Joaquin de ■la-Croixy'D. Joalquin Mozo, D. Tomas, Herrera y Cruzar» D.Francisco Vizcarrondo, D-Joaquiñ !de Castañeda» D. Juan Francisco Püi¿t D. Ramon Hcrrera yíCfüzat, D. Francisco Millau, D. Vicente Fran cisco1 de ¡Voz , Martin Francisco Triarte, D. Josef Sartorio, D. Diego Bu trón, D. Francisco…</t>
  </si>
  <si>
    <t>Mozo, Josef</t>
  </si>
  <si>
    <t>Josef Mozo</t>
  </si>
  <si>
    <t>…Llobregat, D. An tonio Villavicencio , D. Mauricio Albert, D. Manuel Villavicencio, D. Fran cisco Fernandez dejos Senderos , D. Josef Saravia ,* D. Manuel Vigo, Don Gaspar Pineda, D. Josef Mozo, D. Juan de* la Cueva, D. Juan Delgado,: D. josef Febrer , D; Mariano Henarejos, D; Ciríaco Mella , D. Juan Sanjurjo, D. Ignacio Cuadrado,: D. Juan Aleson, D. Honorio Siréra ; D. Pedro Vizcarrondo, D. Josef Guimbarda, D. Juan Sotélo, D¿ Tiburdo Basanta, p. Ro…</t>
  </si>
  <si>
    <t>Mózq, Joaquín Lorenzo</t>
  </si>
  <si>
    <t>Joaquín Lorenzo Mózq</t>
  </si>
  <si>
    <t>. .. £¥» Hería dé Granada á D. Francisco'Fe rhatidez del Pino j D. Antonio de f« Parra y D. Joaquín Lorenzo Mózq; y para alcaldé del;crimen dé la misfma?á D. Salvador Antonio Fernandez y TorreV: pára Oidores; de la áudieñ. ciá de Sevilla á D . Josef Miér, D. Pédro Simo y D: Francisco Ola va rrieta ; y pará alcaldes de la qnadra de 'éUa’á ■ D. josef Santa 1 María, Don Eu…</t>
  </si>
  <si>
    <t>Mozzi, Santiago Usoz y</t>
  </si>
  <si>
    <t>Santiago Usoz y Mozzi</t>
  </si>
  <si>
    <t>…Vicente Bourman,’ D. Ignacio Josef de Combo, D. Joaquín García' Mellado, D. Josef Gerau de Arellano , E&gt;; Juan López Fraga , p. Manuel de Lardizabal y Montoya , Ba rón de Castieí, D. Santiago Usoz y Mozzi, D. Blas Manuel de Loya, Don osef Vicente de Barrenechea, D. Simón de León Santos, D. Josef Escarano, Í). Francisco Hurtado de Mendoza , D. Pablo Ibañez , D. Juan Josef de Barciterrechea, D. Juan Quintana, el general Roche y D; Josef Pando. a Por la Mayordomí…</t>
  </si>
  <si>
    <t>Mqyano, Tomas</t>
  </si>
  <si>
    <t>Tomas Mqyano</t>
  </si>
  <si>
    <t>…te y los testigos con el espresado requisito. : . : S. M. ha tenido á bien conformarse con esta disposición de la Sala del Crimen en Real orden comunicada al Consejo por el Escmo. Sr. D. Tomas Mqyano, Secretario de Estado y del Despacho universal de Gracia y Justicia, ea . 10 de- Agosto próximo, mandando que el Consejo circule á todos los Tribunales y Justicias del reino é islas la Real orden de 19 de Noviembre de fl799 para‘su cumplimiento en los casos q…</t>
  </si>
  <si>
    <t>Mr</t>
  </si>
  <si>
    <t>…iputación de la ciudad de Orleans á manifestar al Rey la adhesión de todos sus conciudadanos, que fue presentada á S. M. á la» dos de la tarde. El regimiento de lanceros,de que es coronel Mr. Colbert, y que se ha lla de guarnición en Orleans, ha prestado nuevamente con entusiasmo el ju ramento de fidelidad al Rey. Idem iy. Una persona digna de fe, que salió de León el n por la noche, dice que Bonaparte se hallaba el mismo dia en aquella ciudad ;…</t>
  </si>
  <si>
    <t>…zo, S. A. R. el príncipe Federico de Prusia ha salido de aquí para Strelitz, y el teniente general Thumen para Francfort del Oder. El regimiento de coraceros de Silesia, de que es coronel Mr. de Brisen, ha entrado de guarnición en esta capital. Idem 4. El célebre príncipe de B’ucher lia marchado de Francfort del Oder. _ El regimiento de coraceros del gran duque Constantino se va á acantonar en Landsberg sobre el Wartha ; el de Silesia dicen que s…</t>
  </si>
  <si>
    <t>…r : GRAN BRETAÑA. ' ■' ' • «■ Y ■ .-Y ■ -■ i ■ • ’ .. .* ■- ; ............ - • - , Londres go de Jumo. Hoy debe salir de aquí pajra París el lord Castlereaghr á quien acom paña su secretario Mr. Planta. Este viage, que hasta ahora ha sido un miste rio, se saibe ya que no tiene Otro objeto «¡noel que este ministro resida al ladOí.de Me Cristianísima. Luis; xvrji para que en sus relaciones CQn;.eI gar, bínete ingles haya las menores dilaciones posible…</t>
  </si>
  <si>
    <t>…se supieron en aquella isla los acontecimientos desastro4 sos que afligían á la Francia. Algunos buques procedentes de Burdeos llevaron noticias de Paris hasta el 23 de Marzo. El intendente Mr. Dubuc sé trasladó inmediatamente con esta noticia á Fort-Royal á verse con el gobernador y. concertar las precauciones que deberían tomarse. Uno y otro conocieron que la conservación de la colonia'dependía dé la pronta reunión.de las mta licias, y de la sepa…</t>
  </si>
  <si>
    <t>Mr, Deveaux y</t>
  </si>
  <si>
    <t>Deveaux y Mr</t>
  </si>
  <si>
    <t>…ércitos aliados. EL tribunal de Vienne ha condenado á este impostor á seis años de prisión, con la condición de que cumplida esta condena sea puesto á disposición del gobierno. El general Deveaux y Mr. Legeas, cuñado de Maret, han sido arrestados en Dijon. , ESPAÑA.. Madrid 10 de Noviembre. . t ____ * * ■ . - . .: . ' 1 D. Félix Andrés de Pazos Montenegro, regidor del ?yontaqiiento de,ja</t>
  </si>
  <si>
    <t>Mr, Harrouby y</t>
  </si>
  <si>
    <t>Harrouby y Mr</t>
  </si>
  <si>
    <t>…on los pliegos que traia. Parece que contenían instrucciones de Bonaparte para el conde de Chartre , como su embaxador; pero se le dio orden de volver á su pais. Se asegura que el conde Harrouby y Mr. Wellesley Pole van á Flandes encargados de alguna comisión importante cerca de lord Wellington, quien se halla ya en Brusélas mandando las tropas inglesas, hannoverianas y belgas. ESPAÑA. Barcelona 20 de Abril. Escriben de Perpiñan que en este último correo…</t>
  </si>
  <si>
    <t>Mu, Alfonso</t>
  </si>
  <si>
    <t>Alfonso Mu</t>
  </si>
  <si>
    <t>…muerte de D. Juan de Entrena, para el de Escañuela, que lo está por la de D. Vicente Aizaa, el de Garciez por la de Don Francisco Izquierdo, el priorato rural de Castro por la de D. Alfonso Mu ñoz Palomares, y el beneficio servidero de Villanueva del Arzobispo, va cante también por fallecimiento de D. Francisco Félix Cameros, todos en la expresada diócesis de Jaén, á D. Francisco Zamora Fernandez; y para la prestamera menor de Valdejudíos en la igl…</t>
  </si>
  <si>
    <t>Mu, Bartolomé</t>
  </si>
  <si>
    <t>Bartolomé Mu</t>
  </si>
  <si>
    <t>…os corresponda, sin contra vencía,, permitirni . dar lugar á que se contravenga en manera 2lguna:: que asi es qii voluntad; y que al traslado impreso de esta mi Cédula, firmada de D. Bartolomé Mu ñoz de Torres, mi Secretario, Escribano de Cámara mas antiguo y de Go bierno,del mi Consejo , se le dé la misma fe y crédito que á su original. Da da en Palacio á 19 de Febrero de 1815 . == YO EL REY.sr Yo D. Juan Ig nacio 'de Ayeitaráu, Secretario!del Rey nu…</t>
  </si>
  <si>
    <t>Mu, Josef María</t>
  </si>
  <si>
    <t>Josef María Mu</t>
  </si>
  <si>
    <t>…el Bernardino Perez: en el de Carrion* de los Condes á Don Juan Antonio Rama y Arcas: en el de Bujalance' á O. Salvador Seirrano; y en la vára de alcalde mayor de Vera y Moxacar á D. Josef María Mu ñoz de Guzman. i. i * Habiéndose dignado' el Rey nuestro Señor admitir deD. Csistóbal Jinra ido dé Vargas, vecino y regidor perpetúo de Übeda, la cesión que ha heého de 68331 rs. vn., importe dé suministros hechos al exército, bá manda do Sí M. qtíé en su Rea…</t>
  </si>
  <si>
    <t>Mu-</t>
  </si>
  <si>
    <t>…n coronados con la satisfacción de poder res tablecer la autoridad del legítimo Soberano sin aquellas desgracias para el -país, comunes en operaciones -militares.Se asegura que el mariscal Mu-</t>
  </si>
  <si>
    <t>MuezVD, Joaquín</t>
  </si>
  <si>
    <t>Joaquín MuezVD</t>
  </si>
  <si>
    <t>…de Unzaga, D. Manuel Arangu, d: Vicente Agreda , D. Manuel Jones, D. Joaquin Henriquez, D. Isi dro de Diego, D. Silverio López, D. Francisco de Oña, D.. Francisco Antdhio Líbref ; D. Joaquín MuezVD. Juan Ignacio*Cervera, D. Salvador Ce bollino, D. Ventura Córdoba, D.Í Patricio 5alanueva, D. Pedro de la Torre, D. Miguel Oliver, D. Pascual Menacho, D. Cárlos Teodoro,Gil, D. Claudio Vinuesa, D. Juan Qüirante, D. Josef María Muñdz*, D. Francisco Ocaña, IX A…</t>
  </si>
  <si>
    <t>Müflin</t>
  </si>
  <si>
    <t>…rtamento del Sena, revestidos todos de los plenos poderes de S; E. el mariscal príncipe de Eckmühl (Daveust), co mandante del egército francés de una parte , y el mayor general el barón Müflin, revestido de los plenos poderes de S. A. el íeld-mariscal príncipe Blucher, comandante en gefe del egército prusiano , y el coronel Henvey, .revestido de los plenos poderes de S. E. el duque de 'Wellington,. comandan te en gefe del egército. ingles de la otr…</t>
  </si>
  <si>
    <t>Mulero, Francisco</t>
  </si>
  <si>
    <t>Francisco Mulero</t>
  </si>
  <si>
    <t>…isma catedral por muerte de D. Francisco Javier Sainz. £scaManuel Agüayo y Quevedá, fiscal dé la diócesis de Almería. ’T'®^anongía vacante, én : la catedral de Jaén: por muerte de D. Francisco Mulero 'Delgado á D. JosefCortina; González, racionera de la de Almeríai. 1.a canongía que .ha vacado en la catedral de Gerona,por fallecimiento de D. Josef Subían á D. Tomas Escuer, párroco^rectór de Farlete en el arzo bispado de Zaragoza. ’ _ . , La canongía vacan…</t>
  </si>
  <si>
    <t>Mulero, Juan Gómez</t>
  </si>
  <si>
    <t>Juan Gómez Mulero</t>
  </si>
  <si>
    <t>…al Rey la duda que so presenc iaba de si habian de considerarse vacantes los referidos empleos de Brigadie res en dicho Real Cuerpo, ó habian de volver á ocuparlos los expresados D. Juan Gómez Mulero -.y D. Joaquín Burgos ; y S. M. tuvo á bien mandar que el Consejo Supremo ae la Guerra consultase la regla general que le pa reciese podría adoptarse-respecto de estos y demas oficiales que sé hallasen en su caso; y habiéndolo verificado este supremo Tribunal…</t>
  </si>
  <si>
    <t>Muñdz, Josef María</t>
  </si>
  <si>
    <t>Josef María Muñdz</t>
  </si>
  <si>
    <t>…or Ce bollino, D. Ventura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 Josef Valcárcel 'yRosique, D. Josef Gómez Arteche , D. Joséf Gutiérrez, D. Josef B en i tez Cafrípou ,D. Segundo Ulibarri, D. Migue…</t>
  </si>
  <si>
    <t>Munguía, Lucas</t>
  </si>
  <si>
    <t>Lucas Munguía</t>
  </si>
  <si>
    <t>…n, al referido D. Fran cisco Antonio Fernandez. Igualmente se ha servido nombrar S. M. para un beneficio simple de Santa María del Campo, diócesis de Cuenca, vacante por muerte de Don Lucas Munguía, á D. Josef Antonio García Poyatos: para la prestamera de Villanueva de Alarcon» que vacó por haber muerto D. Antonio.de Larreategui, y la del lugar de Chillaron, vacante también por fallecimiento de L&gt;. Franci seo de Figueroa, las dos en el expresado obispad…</t>
  </si>
  <si>
    <t>Munida, Eleuterio</t>
  </si>
  <si>
    <t>Eleuterio Munida</t>
  </si>
  <si>
    <t>…, IX Josef Vilíavieencio, D. Cristóbal del Aguila, D. Berna-? Fe Chinchilla,, D. Manye! Carrasco, D. Tomas López, D. Miguel Bueno, JX Juliani Lop£z dq Ansó ¿'Di* Antonio Martínez, D. Eleuterio Munida, Don Á^anueí Andrada , !)» Domingo Blanco, D. Lorenzo Martínez, D. Isidro QJi* vares , D. Tomas Zamora, L&gt;. Benito Reehel, D. Gaspar Nogueruela, Don Luis Medinilla , D. Pedro Medinilia, D, Joaquín García., D. Gregorio Arta-r cho, D. Josef Aguilar, D. Antonio…</t>
  </si>
  <si>
    <t>Muñoz, Ana Giménez</t>
  </si>
  <si>
    <t>Ana Giménez Muñoz</t>
  </si>
  <si>
    <t>…apellanía de Juan San Martin y Palma. Una casa num. 11, calle S. An tón junto á la nueva, id.: otra con su huerto, en Arbolete: otra num. u, calle S. Antón, Granada. Capellanía de Doña Ana Giménez Muñoz. Una casa núm. 4, calle las Cruces, id. Capellanía de D. Fr. Alonso, Bernardo de los Ríos. Una casa núm. 6, Tendidas, Sta. Paula,id. Capellanía de D. Cristóbal Plazas. Una casa, calle la Estación, Gabia la grande : 3 hazas de tierra,una de 20 marjales de rieg…</t>
  </si>
  <si>
    <t>Muñoz, Bartolomé</t>
  </si>
  <si>
    <t>Bartolomé Muñoz</t>
  </si>
  <si>
    <t>…le toca, y que ál mismo fin lo circule á las Justi cias de los Pueblos de su territorio; y de su recibo me dará V. aviso. Dios guarde á V. muchos años. Madrid 3 de Bnero de 1815.= Don Bartolomé Muñoz. Circular del Ministerio de Hacienda. Habiendo resuelto el Rey nuestro Señor que los empleados retirados y de otra qualquiera Clase que sin tener ocupación se hallen disfrutando suel do en virtud de Real orden, y esten en disposición de trabajar, sean destina…</t>
  </si>
  <si>
    <t>Muñoz, Cristina</t>
  </si>
  <si>
    <t>Cristina Muñoz</t>
  </si>
  <si>
    <t>…miento á justa tasación de inte ligentes; exceptuándose únicamente por ahora de esta regla general á los em picados del Real Patrimonio que por ordenanza disfruten habitación, y á Doña Cristina Muñoz, Ama de pecho que fue del Sr Infante Don Felipe; quedando derogadas las demas órdenes en cuya virtud la hayan gozado los Empleados y Oficinas de Correos, Real Hacienda, Exército, Crédito pú blico, y qua esquiera otras; á cuyo fin, y para que se lleve á efecto…</t>
  </si>
  <si>
    <t>Muñoz, Diego</t>
  </si>
  <si>
    <t>Diego Muñoz</t>
  </si>
  <si>
    <t>…el Aznar, á t). Juan de la Torre y Carabáño, capellán de numero de ella: para otro beneficio,- vacante en el coro de la misma catedral por falle cimiento de D. Miguel Caballero, á D. Diego Muñoz, capellán del núme ro mas antiguo, y maestro de ceremonias de la propia iglesia: para otro be neficio servidero de Cañete la Real, en el arzobispado de Sevilla, vacante por muerte de D; Julián Cobelo, á D. Juan Fernando de las Cuevas; y para las dos capellaní…</t>
  </si>
  <si>
    <t>Muñoz, Felipe</t>
  </si>
  <si>
    <t>Felipe Muñoz</t>
  </si>
  <si>
    <t>…s de Jerez, Ciudad-Rodrigo, Laredo, Santiago, Tuy, Bu jalance , Cuenca y Monterey, á los de infantería D. Antonio Jesús de Chin chilla, D. Pedro de Prado, D. Francisco del Aguila, D. Felipe Muñoz, D. Andrés Arroyo, D. Angel Alvarez Sotomayor, D. Pedro Angel Marcó del Pont y D. Heradio Alaiz. Y para igual empleo del regimiento provincial de Betanzos al Teniente coronel agregado al mismo cuerpo D. Pedro Váz quez Pimentel. Asimismo se ha servido S. M. no…</t>
  </si>
  <si>
    <t>Muñoz, Gerónimo</t>
  </si>
  <si>
    <t>Gerónimo Muñoz</t>
  </si>
  <si>
    <t>…Timoteo Connelli, D. Juan Mitlan , D. Manuel Cortas,, D. Francisco'Velasco , D. Alejo González, D. josef Lázaro Vallejo, D. Ramón Carreño, D. Matias Case ro, D. Manuel Bénjumeda * D. Gerónimo Muñoz, D. Sisto Fajardo, D. Ma-„ miel Fernandez Rey na, D. F raneisco Bonet, D. Josef María de Novoa, Don Miguel Mir, D. Antonio Cidron , D. Santos Cremona, D. Josef Joaquín Ayestáiran, D. Vicente Ordoño, D. Raymundó de Unzaga, D. Manuel Arangu, d: Vicente Agreda ,…</t>
  </si>
  <si>
    <t>Muñoz, Josef</t>
  </si>
  <si>
    <t>Josef Muñoz</t>
  </si>
  <si>
    <t>…. Pedro Martínez de Baños: para las dos alcaldías mayo res de ia ciud¿d de Valencia á D. Josef Fernandez Quevedo y D. Ignacio Guseme: para la de la ciudad de S. Felipe de Xátiva á D. Josef Muñoz de la Hinojosa : para la de la villa de Callera á D. Fermín Sánchez y Ferriz: Íaraabernasla dedela Valdignavilla de Alciraá D. Antonioá D. BlasMateo.Ar¿guete; y para la de la villa de Artículo de oficio comunicado por la primera secretaría de Estado. La exper…</t>
  </si>
  <si>
    <t>…ns^iD* Josef AraüjoyD. Antonio Rute, D. Manuel Santander, D. Josef Domínguez , D. Josef!Montero y D. Pedro .Trasierra , D. Frandsco Olmo:,* Don Fermí n Meneos^ «Dv VénturaiRiesco ,D. Josef Muñoz § D. Luis Gorrichátegui, B; Joaquín Arbizu, D. Francisco Bravo, D. Josef Ausejo, B. Ramón Espona, D. Fráncisco Victoríno, D. Pedro Lechuga, D. Manuel Aramburu, D. Ramón Vinader, D. Antonio Fons ,D. Lorenzo Alambra, D. Pedro Albornoz, D. Juan Ibañez, D. Pedro…</t>
  </si>
  <si>
    <t>Muñoz, Josef.Moreno</t>
  </si>
  <si>
    <t>Josef.Moreno Muñoz</t>
  </si>
  <si>
    <t>…hacer postura á las mismas alhajas ó á cualquiera de ellas acuda por sí ó por medio de quien le represente, y por lá escribaníá mayor de rentas de aquella intendencia del cargo de D. Josef.Moreno Muñoz. \ r ' 1 Paseos por Granada y sus contorno1^ ó descríp’cion dé los mas rarós monumen tos y bclíás ¿ntigüeda’des qué adoriiaivésfp;|i(ermo^o'paisVobra que dió á luz el cé lebre P. Juan de Echeverría , cuyo méritó^dnpésfa clase1 dé escritos éstnüy conocido y ap…</t>
  </si>
  <si>
    <t>Muñoz, Juan</t>
  </si>
  <si>
    <t>Juan Muñoz</t>
  </si>
  <si>
    <t>…asencia, vacante por muerte de D. Luis Merino de Vargas, á D. Juan Sánchez Conde, canónigo de la de Coria: para otra de la misma iglesia de Piasencia, vacante por fallecimiento de D. Juan Muñoz, á D. Bruno del Castillo, cura de la parroquial de San Pedro de Ciudad-Rodrigo: para otra canongía de la iglesia catedral de Co ria, que resultará vacante por la promoción del citado D. Juan Sánchez Conde á la de Piasencia, á D. Tiburcio Sánchez Herrera; y pa…</t>
  </si>
  <si>
    <t>Muñoz, León Gil</t>
  </si>
  <si>
    <t>León Gil Muñoz</t>
  </si>
  <si>
    <t>…oii Mateo Gil de Sola , D. Josef dé Iniáz Baquedanó y D. Agustín de Samanoj Contador de Rentas generales D. Higinio García de Burunda; Gefe del De partamento del Fomento y Balanza.D. León Gil Muñoz; Contador de Rentas Provinciales D. Tomas de Aja y Pellón; Contador de la Renta del Taba? co D. Gabriel López; Contador de la Renta de Salinas D. Francisco Escar-. íariy Contádor. Ael, ÍÑoveno y E^cu^ado D. Rafael Florín , y Contador de Salitres D. Joaquín Ci…</t>
  </si>
  <si>
    <t>Muñoz, Manuel</t>
  </si>
  <si>
    <t>Manuel Muñoz</t>
  </si>
  <si>
    <t>…mas de exemplares en varias impresiones que se han hecho en esta, Murcia y Cartagena. Se hallará en las librerías de Escribano y Barco, calle de las Carretas, y en la Ion-, ja de D. Manuel Muñoz, calle del Príncipe, esquina á la del Prado. Los maestros de primeras letras y diputaciones que quisieren surtirse por docenas acudirán á ca sa de Claros, calle del Baño, núm. 9, quarto segundo. Se han tirado algunos ejem plares en papel fino. Sermón del Dos…</t>
  </si>
  <si>
    <t>Muñoz, Manuel Cayetano</t>
  </si>
  <si>
    <t>Manuel Cayetano Muñoz</t>
  </si>
  <si>
    <t>…rde á V. muchos años. Madrid 13 de Marzo de i8if. El Rey se ha servido nombrar para la abadía de Alcalá la Real, vacan te por fallecimiento de D. Manuel María Truxíllo y Jurado, á D. Manuel Cayetano Muñoz, obispo de Lecó polis, auxiliar de Sevilla: para la dignidad de arcediano de Galatrava, dignidad dé la iglesia primada de Toledo, va cante por muerte de D. Alfonso Aguado y Xarava, obispo de Augustdpolís, y auxiliar de dicha ciudad, al limo. Sr. obispo inquis…</t>
  </si>
  <si>
    <t>Muñoz, PédrO Antonio</t>
  </si>
  <si>
    <t>PédrO Antonio Muñoz</t>
  </si>
  <si>
    <t>…tubre próximo pasado tfavieron el honor de presentarse i S. M. y AA. y besar su Kéál minó 4 nombre dé! ayuntamiento y villa del Bonillo sus diputados D. Joséf M kría: Goh'zál ez y D. PédrO Antonio Muñoz^ irégidór perpetuo y escribano de so ay untamiento; el primero1 dé los qualés dirigid á M. el discurso siguiente: • ’K&gt; ■ v • ■-¿'í-iri "&gt;&gt;*■ „ Señor: la villa del Bonillo, en la provincia de la Mánche, no satisfecha éon ios sentimientos de lealtad y amor- qu…</t>
  </si>
  <si>
    <t>Muñoz, Santiago Key y</t>
  </si>
  <si>
    <t>Santiago Key y Muñoz</t>
  </si>
  <si>
    <t>…ado de la misma catedral de Orihuela: para otra canongía, vacante en la catedral de Canaria por promoción de D. Santiago Josef Bencomo á I»dig nidad de deán de la misma iglesia, á D. Santiago Key y Muñoz, canónigo deetoral de la iglesia colegial de S. Salvador de Sevilla: parí otra canongía de Ja iglesia metropolitana de Búrgos, vacante por fallecimiento de D. Pe dro Vicente Berrio, y por no haber tenido efecto el nombramiento que S. M . se sirvió hacer de es…</t>
  </si>
  <si>
    <t>Muñoz, Tomasa Pascuala</t>
  </si>
  <si>
    <t>Tomasa Pascuala Muñoz</t>
  </si>
  <si>
    <t>…nes á una de. las huérfanas de los militares ó patriotas que hubieren muerto en defensa de la justa causa de la nación, ha cabido en suerte del primer extracto de la de este dia á Doña Tomasa Pascuala Muñoz, hija de D. Francisco, músico .de Carabineros Reales, muerto en el campo dei honor. La extracción siguiente se egecutará el dia 18 de Diciembre. • articuló de oficio. Por oficios que ha recibido el Sr. secretario de Estado y del Despacho; universal de la Guer…</t>
  </si>
  <si>
    <t>Munster</t>
  </si>
  <si>
    <t>…racto de la mencionada acta, lo han firmado. ss l^iena 12 de Mayo de 1815. . ;■ y , &gt;yBaviera.=: El conde de Rechberg.^. Dinamarca.^ C. Bernstorff—h £ernstorff. =; Hannóver. s= El conde Munster. = Él cande de Hardemberg. =£ Países-Bajos. == El barón de Spaen.zzEl barm de Gagern. =Cerdeña. = El marques de St. Marean. = El conde Rossi. == Sajorna. — El conde de SchuJemburg. = Sicilias (Dos). = El comendador Ruffo.zzW urtemberg.= El cunde de Wintzinger…</t>
  </si>
  <si>
    <t>Murat</t>
  </si>
  <si>
    <t>…marchará?! alta Italia. Ademas de esto se for-£ m en las inmediaciones de Bresciá un éxército de reserra. Idem j de Mayo,■r Las dirimas noticias del cuárte^generatconfirman que el rey Murat con tinua retirándose: qnRimim,hiizo^m^rqar. .¿¿po heridos para transportarlos 4 Ancona ; y la vanguardia del* cuerpo de éxército austríaco , mandada jjof ergenérá)c6nde dé Nieppérg , sé haiíába el 27 tfél jasado 'en laCakó ica. El cuerpo mandado por el gener…</t>
  </si>
  <si>
    <t>…eyes.” (ó&gt; continuara,.). PI AMONTÉ, Niza 3 de Junto, &lt; &lt; El 15 det pasado se supo aquí de oficio que habían desembarcado en Catines, pequeño- puerto de la frontera en Francia, el rey Murat con los ge nerales Mouries, gobernador de Ñapóles, y Pignatelif y unas 32 personas de; su Séquito. Murat inmediatamente después que desembarcó despachó un cor reo á Napoleonyy parece que no trata de internarse en Francia hasta;que no reciba contestación. Poco…</t>
  </si>
  <si>
    <t>…t, de que hablé en mi último oficio, recibió el teniente de feld-mariscal Bianchi el 18 una carta del duque de' Gallo, pi diendo una conferencia para Comunicarle proposiciones dei mariscal Murat___ Esta conferencia sé aplazó para el día: siguiente ; y él general Bianchi quiso que asistiese yo &amp; elíá en nombre de la.‘ Inglaterra , como se verificó. __Eh mi conferencia con aquel ministro se trató únicamente sobre la intención de los aliados para termin…</t>
  </si>
  <si>
    <t>…er por obra las; perversas maquinaciones ■ que meditaba * Veseovato- se hizo en pocos diás el cuartel general dé todos- tos corsos que habían, servido en Nápoles á las órdenes del general Murat» quien con una atroz violación del derecho de .gentes proyectaba sorprender á Bastía-, y per* turbar de este modo la tranquilidad de la: isla ,,sometida; ya al dominio dé; k&gt;&amp; BotboneSj* . . &gt; \ K,</t>
  </si>
  <si>
    <t>…staba destinada una fragata inglesa para transportarle de Córcega á Trieste. Esperábase el resul tado de estas noticias , cuando en la noche del 28 de Setiembre huyó de Ajaccio el general Murat. Aunque sus proyectos parecían absolutamente Impracticables, el gobier no ñapofitano apostó fuerzas sutiles en las costas del reino , estableciéndose una línea de cañoneras desde Gaeta á Monte-Circello, otra desde la punta' de la Campania hasta el Faro, y la…</t>
  </si>
  <si>
    <t>Murga, Domingo María del Rio</t>
  </si>
  <si>
    <t>Domingo María del Rio Murga</t>
  </si>
  <si>
    <t>…nción de ésta canongía: para la dig nidad de vicario de coro, vacante én la santa iglesia primada de Toledo por promoción de D. Alfonso Cañedo á la iglesia y obispado de Málaga, á Don Domingo María del Rio Murga, con retención de la ración que obtiene en la misma iglesia de Toledo v para la canongía vacante en la iglesia colegial de Vitoria por promoción de D. Domingo Garramiola á una canongía de la catedral de Calahorra á D. Pedro Díaz de Holarte; para el arcipresta…</t>
  </si>
  <si>
    <t>Murga, Tomas</t>
  </si>
  <si>
    <t>Tomas Murga</t>
  </si>
  <si>
    <t>…. Concillando las justas y benédcas intenciones de S. M. con las penas que las leyes tienen establecidas contra sus agresores, y por lo que resulta del proceso que se ha formado á D. Tomas Murga, vecino de esta corte, sobre las criminales ideas que expresó en público contra los inviolables derechos del Rey, sufrirá la pena de ser desterrado por quatro años al presidio de Melilla, con imposición de 1® duros de multa sobre sus bienes, repartida por mit…</t>
  </si>
  <si>
    <t>Murga, Tomas de</t>
  </si>
  <si>
    <t>Tomas de Murga</t>
  </si>
  <si>
    <t>386 están atribuidos, ha mandado que la sentencia dictada con acuerdo dé su asesor interino contra D. Tomas de Murga, vecino de esta corte, en la causa principiada y determinada con arreglo á las leyes en el dia de ayer o del corriente sobre los escandalosos insultos contra la Real potestad y Persona de S. M. públicamente expre^dos , se inserte en la gaceta del gobierno y d…</t>
  </si>
  <si>
    <t>Murías, Francisco</t>
  </si>
  <si>
    <t>Francisco Murías</t>
  </si>
  <si>
    <t>…es, regresando el 7 después de haber hecho en los dias 5 y 6 los interesantesser vicios qu^ s¡e detallan en el parte que tengo el honor de acompañar i V. E. del tenientes de navio D. Francisco Murías, comandante del citado bergantín, ■«uyo ^noi^ e^cpmo sigue: ^W-. v b- ioívíncotpjDtfVdá ,1a. cprbe^a(D/4»4 con este bergantín y la goleta JFionaablanca^ las diez de la/úpche^eí 4del corriente, dimos la veía de;este puer to,, conforme á las . órdenes. 4?, V. S…</t>
  </si>
  <si>
    <t>Muriedas, Santiago</t>
  </si>
  <si>
    <t>Santiago Muriedas</t>
  </si>
  <si>
    <t>…D. Agustín Reviila, del de Voluntarios de Avila; á D. Pedro Doz, D. Ignacio Fuerte , D. Josef Gacet, D. Guillermo Dot, y D. José f Villar de Francos, del Provincial de Segovia; á D. Santiago Muriedas, D, Isi doro Moreno, D. Antonio Gallego, D. Juan Calderón, y Di Juan Sierra, del primer Barallon de Voluntarios de Ciudad-Rodrigo; á D. Manuel Ri bero, D. Joaquín Quadrado, D. Francisco Escovar, D. Salvador S. Juan, y D. Josef Renau, del segundo Batallón de i…</t>
  </si>
  <si>
    <t>Murilio, Juan Manuel de</t>
  </si>
  <si>
    <t>Juan Manuel de Murilio</t>
  </si>
  <si>
    <t>…a-ración de la catedral de la misma á D. Josef Ruiz Carrer en premio de su lealtad y pa-r triotismo.=Una canongía vacante en la catedral de Segovia,que obtuvo Don Lucas. Orejas, á D. Juan Manuel de Murilio , cura de la&gt; parroquial de Zamarrainala , en la misma diócesis : el beneficio servidero del lugar de Navares dp en medio * en el mismo obispado de Segovia, vacante por fallecimiento de Don Manuel Moreda, á D. Francisco Antonio de la Cárcel y Comas: otro bene…</t>
  </si>
  <si>
    <t>Muro, Manuel García</t>
  </si>
  <si>
    <t>Manuel García Muro</t>
  </si>
  <si>
    <t>…de Zara goza-. por esta causa, y para nueva publicidad, sé repite este anuncio por Última* vez, haciendo saber á los interesados que ocurran sin detención en Goatemalá al albacea D. Manuel García Muro, ó en Cádiz á la plazuela dé las Nieves, núm. 122, donde se les instruirá de la dirección y documentos necesarios; en la inteligencia de que los que 110 se‘,presenten prontamente quedarán perjudicados, mediante á que por los albaceas se va.á proceder á Ja deb…</t>
  </si>
  <si>
    <t>Murray, Jorge</t>
  </si>
  <si>
    <t>Jorge Murray</t>
  </si>
  <si>
    <t>…alupas de corsarios malayos: apre só 30, que se defendieron con tal obstinación ,"qiie no pudo hacer en tan gran número de chalupas mas que 14 prisioneros vivos.-r. .*7 r El mayor general Jorge Murray, que fue quartel-maestre general del duque de Wellington, va á reemplazar á sir Jorge Prevost, y el co/imódoro Owen va también á tomar el mando de la esquadra que está en los lagos* Estos nuevos comandantes deben partir mañana a bordo de la fragata la ■ , : '…</t>
  </si>
  <si>
    <t>M’Ether</t>
  </si>
  <si>
    <t>…ayer aquí, y esperamos unai junta de indios’ que se debe celebrar el 20. Habrá de 6 á 7$ de ellos. Pienso; que se mantendrán pacíficos.” La gaceta del Scioto anuncia la salida del general M’Ether y del mayor Graham, dos de los comisarios nombrados para tratar con los indios del N. O.,; los cuales deben encontrar al general Harrison-en Frankiinton, y de allí, marchar á toda prisa al parage en donde han de desempeñar su comisión. ITALIA. Bolonia 17 de S…</t>
  </si>
  <si>
    <t>Nano, Antonio Osteret y</t>
  </si>
  <si>
    <t>Antonio Osteret y Nano</t>
  </si>
  <si>
    <t>…ía erección dedicha cá» ledra, siendo su Real voluntad que desde luego procediese la sociedad á su establecimiento , poniéndola al cuidado de los socios D. Josef Felipe dé Olive y D. Antonio Osteret y Nano» ■.* En seguida el Excmo. Sr. deque de Hija*, director de la sociedad , leyó un breve -pero elocuente discurso , manifestando que no era nueva la cicncúa. económica e» España. Que en ésta parte, coma en otras .mochas ríos extran jero* rno nos bao hecho la jus…</t>
  </si>
  <si>
    <t>Nape</t>
  </si>
  <si>
    <t>494</t>
  </si>
  <si>
    <t>…un corto número de nobles sobre.un puebo acostumbrado á la igualdad: ved ahí lo que han he cho lo Borbones, ó lo que querían h.cer. ■ ,, En semejantes circunstancias fue cnardo el emperador Nape león aban donó'la i-la de Elba por estos motivos, y no por h consideración de sus intereses personales, despreciables para sí en comparación de lo^ intereses de la nación á quien ha consagrado su exigencia, * ,,No ha conducido la guerra á la Francia; al contr…</t>
  </si>
  <si>
    <t>Napoleón</t>
  </si>
  <si>
    <t>…s de la diplomacia, y en la qual franceses revestidos del carácter publico mas respetable, empiezan por poner fuera de- la ley, ó hablando mas claro, cor provocar al asesinato del emperador Napoleón. Convenimos con el ministro de la Policía en que esta declaración es obra de los plenipotenciarios franceses, porque los de Austria, de Rusia, de Prusia y de Inglaterra no han podido firmar un acta que sus Soberanos y sus naciones no podrían menos de desaprob…</t>
  </si>
  <si>
    <t>…nd prOCüró: indagar en las oficinas ministeriales de París , y en ellas se en contraron un sin nú Ulero de cartas entre Murat, Eugenio Beauharnais,Fouché, la reina de Ñápeles y el emperador Napoleón. De estas cartas resul ta que Murat, siempre adicto á la Francia, tenia la ambición-personal' de ponesse á la cabeza de Italia ; que desde luego procuró inculcar al Virey en esté proyecto, y que no tomó el partido de fes aliados har ta que le salió nial su te…</t>
  </si>
  <si>
    <t>…-Para apoyar -su ‘disciirsó lord Castléreagh presentó. á la cámara de los comunes las cartas entre- Mfifat, Eugenio Beaunarnais, Fouché (duque de Otrantó),* la princesa Elisa y el emperador Napoleón. ' PIAMONTE. '' i - ^ t Génova Tú de mayo. El 8 dél: corriente por la mañana salió de aquí para Savona el Padre San to acompañado de los prelados que habían venido en su cómpafíía ; y al día siguiente partieron para el mismo parage los cardenales Mattei-, Pac…</t>
  </si>
  <si>
    <t>…, que á consecuencia de ios acontecimientos so brevenidos últimamente en Europa se habiá juzgado conveniente, y como tal resuelto, de acuerdo con los Soberanos aliados , enviar ai general Napoleón 3onaparte á la isla de Sta. Elena con las precauciones necesarias para la to tal seguridad de su persona; á cuyo efecto se ha determinado que ningún bu que estrangero, sea de la clase que quiera,pueda comunicarse con dicharsla, ni acercarse á ella mientras qu…</t>
  </si>
  <si>
    <t>Ñapóles, Fernando de</t>
  </si>
  <si>
    <t>Fernando de Ñapóles</t>
  </si>
  <si>
    <t>…Napoleón. J ■ Por un barco procedente de Mesina, que en 31 dias de navegación llegó á S. Feliu de Guisols el 19 del mes pasado, se ha sabido qué eí 15 del mismo esperaban allí al rey Fernando de Ñapóles, que debía darse á la vela en una escuadra inglesa que conducía á Reegio un convoy de mucha Consideración. : Madrid de Junio. El 19 de Mayo último el Sr. conde de la Gardíg , efiviardó óstf aordlnarioy ministro plenipotenciario de S. M. el rey de Suecia y de…</t>
  </si>
  <si>
    <t>Ñapóles, Leopoldo de</t>
  </si>
  <si>
    <t>Leopoldo de Ñapóles</t>
  </si>
  <si>
    <t>…qué él i*éy Murar .se Ha cOffgtéSd íib sé ha hecho cálo ni ínfencion de él.í—-El resto del egército na* politano debe tetiráráé hacia ^Sdíérriq, y álliesperarsusuerte---- A. R. el príncipe Leopoldo de Ñapóles llegará mañana al cuartel general de Teano* y tQinará posesión del ,xeino en nombre dé su augusto padre el Rey Fer nando iv. ZL+fEÍ seheráWNugen't marcho de éste'cuartel general está mañana a recibir el egercito anglo-siciliano &gt; y tomar su mando. ■’ ^ ' ■ *”…</t>
  </si>
  <si>
    <t>Naranjo, Roque</t>
  </si>
  <si>
    <t>Roque Naranjo</t>
  </si>
  <si>
    <t>…la de Zafra á D. Juan Crisóstomo de la Peña: para la de Cazorla á D. Manuel María de Peralta: para la de Benamegí á D. Cristóbal María Auton: para la de Cervera del Rio-Pisuergá á D. Roque Naranjo: para la de Astudillo á D. Eustaquio Manuel de Irala y Zavala: para la de Lora del Rio á D. Manuel Josef Rodríguez: para la de Colmenar de Oreja á D. Pedro Carbonero: para la de Roa á D. Josef Fernandez Almansa: para la de Ronda, á D. Fernando López de Sagred…</t>
  </si>
  <si>
    <t>Narvaez, Ramón</t>
  </si>
  <si>
    <t>Ramón Narvaez</t>
  </si>
  <si>
    <t>…entes 0. Juan Mendez Vigo, D„ Pedro Masdeuy íDoin Joaquín Goñi, 0. Tomas Murrietay 0. Felipe Agnado , 0. Dionisio Gil, Don Simeón de la Rosa, D. Gabriel'Solano, 0.' Juan Alverico, D. Ramón Narvaez, D. Salvador Gallard, 0. Lorenzo Zarate, D. Josef Odriozola, 0. Pe dro Fuenmayor, p. Juan de Dios Gil de Lara., D. Anastasio Navas, Don Manuel Rodríguez, 0. Fernando López, 0. Juan Sénovilla, 0. Santiago Pereira, D. Sabas Marín, D.1 Manuel dét Castillo * 0 Ju…</t>
  </si>
  <si>
    <t>Naryaez, Luis</t>
  </si>
  <si>
    <t>Luis Naryaez</t>
  </si>
  <si>
    <t>…Cante-pOr falleóimíento*de D. Francisco Vicente Venesas f á D. Mieuel de Vargas Fernandez, racio%féro&lt;:dé-4a^nismanigle^? {mnFtítNi"Baza, diócesis de Guadix, vacante por muerte de D. Luis Naryaez:, á P. Pedro Mar tínez Bellido1: para étra'Cahbñgía de la iglesia cólegiáf de Al faro, vacante por 'miuérté- ¿e! Ó. MáhnelpGáfées de - lois Fayos, á D. Pedro Ola no, capellán del régintiertto de! diagóñ^;dé'5Sóriá*: para una ración patrimonial de la igfé-* éa…</t>
  </si>
  <si>
    <t>Nastetz</t>
  </si>
  <si>
    <t>…se adelantó el 2 á Chalons , en donde tuvo una acción brillante. Según los mejores informes que he podido adquirir, parece que envió unos 100 caballos como vanguardia al mando del coronel Nastetz, que se metieron dentro de la ciudad. La guardia de lá puerta habiéndose reunido , y conociendo que habia sido sorprendida, cerró la puerta y dió la alarma; pero la vanguardia, que había penetradoen el pueblo, hizo una buena retirada, saliéndose por la puerta…</t>
  </si>
  <si>
    <t>Nattali</t>
  </si>
  <si>
    <t>…la costa de Pezzo, en la Calabria ulterior, donde desembarcó* inmediatamente con una comitiva de 30 personas, entre las cuales se halla ban el teniente general Franceschetti y el mariscal Nattali , quienes desde la costa se dirigieron tranquilamente á la plaza. Luego que llegaron á ella, Mu rat trató de excitar una sedición gritando al pueblo: Yo soy vuestro Rey Joaquín Murat, d quien debeis reconocer. ‘ Estas palabras fueron la señal de una conmoción…</t>
  </si>
  <si>
    <t>Nava, Redro de</t>
  </si>
  <si>
    <t>Redro de Nava</t>
  </si>
  <si>
    <t>…os tenientes de navio D. Ramón de Eulate , D. Tomas Cortés, D. Pedro Bucheli, D. Sebastian Paez de la Cadena, D. Francisco Lafita » D. Joaquín Gil de Bernabé, D. Gregorio Roldan , Don Redro de Nava, iD; Miguel Araoz, D.: Juan Echenique, *6/ Vicente Varela, D. Agustín Blondo, D. Agustwt Wautersy D. Ramón Allendey-D» BenitoOirtiz, D/ Manuel Soli$y D. Nieblas Meñaca, D¿ 'Ignacio ValleMarimon; Don Antonio Gastón, D. Vicente’ Bauzáy&lt;D¿ Pedro dePalacio,D. Joa…</t>
  </si>
  <si>
    <t>Navámuel, Mariano Ruiz de</t>
  </si>
  <si>
    <t>Mariano Ruiz de Navámuel</t>
  </si>
  <si>
    <t>…pado deÓartajpnalT a D'^Mariano Roxas y Rodríguez. . •; :iíl cu ?jf¡ f ¿ •: El Rey nuestro Señor en .atención á los méritos y distinguidas circuns tancias qué concurreti en el Dr. D. Mariano Ruiz de Navámuel, canónigo de la iglesia catedral de la Paz, ha tenido eiurtombrarle para &gt;el:arcedianato de la misma, vacante pór fallecimiento de -D* Mariano,Perez Uriondo. ■ -. t : ... j &gt; .1 i Y' ' • ; * 1 "? ' ■': &gt; • 1 &lt; *í&gt; A instancia de los procuradores generales de…</t>
  </si>
  <si>
    <t>NavarreteD, Francisco Fernandez</t>
  </si>
  <si>
    <t>Francisco Fernandez NavarreteD</t>
  </si>
  <si>
    <t>…oficiales primeros D. Juan Antonio* González, D. Juan Francisco Fernandez, Di Josef Manuel de Casas, Don* Miguel Perez de la Quintana , D. Nicolás Hernández, D. Salvador de Otero, D. Francisco Fernandez NavarreteD. Juan Manuel Maurat y D. Benignode Rodenas. .. Grado de comisario de guerra al oficial primero D. Juan del Pico. • „Jiscenso X oficiales primeros á los segundos D. Juan de Sierra, D. Estéban Sánchez Martin, D. Agustín Perez de Lérma, D. Gregorio La Bustay p,…</t>
  </si>
  <si>
    <t>Navarro, Angel Láborde y</t>
  </si>
  <si>
    <t>Angel Láborde y Navarro</t>
  </si>
  <si>
    <t>…ar; dispuesto para la enseñanza de los caballeros cadetes del Real: colegio milir tar interno de. Santiago * yde l^s Reales escuelas, militares del tercero y cuarto egér cito: por D. Angel Láborde y Navarro, capitán de fragata de la Real armada.,y Ífrimer prpffspr de djchp epíteto : segunda.edición: un tomo en 41o,.§¡e. hablarán en ja Jibrwí^% Vilíareal,, caite de las^arretas. * -&gt;j }ín EÍ&gt; Misionero capuchino*. compendio históricov\de la vida del M. R.iP. Fr,.…</t>
  </si>
  <si>
    <t>Navarro, Antonio María</t>
  </si>
  <si>
    <t>Antonio María Navarro</t>
  </si>
  <si>
    <t>…ava del Rey á D. Juan Antonio Bernal: para la de Utrera á D. Miguel de Salazar y Sandobal: para la de Aguilar del Rio Alhama á D. Juan Ricardo Lozoyo: pa ra la de Castro del Rio á D. Antonio María Navarro: para la de Villarejo de Fuentes á D. Juan Roza Ridoces: para la de Lerin a D. Francisco Mi guel Lombardo: para la de Villalon á D. Saturnino Tablares: para la de Guernica á D. Josef Manuel dp Aizpuru: para la de Jerez de la Frontera ID. Juan de Dios Aguilar:…</t>
  </si>
  <si>
    <t>Navarro, Celedonio</t>
  </si>
  <si>
    <t>Celedonio Navarro</t>
  </si>
  <si>
    <t>…sio, D. Benito Ibañez, D. Anto nio Casbas j D. Francisco Botella,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 IX Plácido Gúell, D.…</t>
  </si>
  <si>
    <t>Navarro, Joaquín</t>
  </si>
  <si>
    <t>Joaquín Navarro</t>
  </si>
  <si>
    <t>…mas desóladora y lastimera que todos los niales pasados. •El Rey nuestro Señor se ha servido conferir el empleo de Teniente Ge4 neral de sus Reales egércitqs al Mariscal de Campo D. Joaquín Navarro, Conde de CasarSarria, con; la antigüedad de 30 de Mayo ultimo, en premio de su particular mérito y distinguidos servicios* *í, : í ' ; Asimismo; se; ha dignado S.r M. conceder ál conde de Aúb&amp;rede ;de Astorga , capitán de dragones agregado al estado mayor de…</t>
  </si>
  <si>
    <t>Navarro, Josef</t>
  </si>
  <si>
    <t>Josef Navarro</t>
  </si>
  <si>
    <t>…. Josef Luna, D. Antonio Loriga, D. RamónCucalón., D.RamonTavaiy D, Pedro Argaiz, D:¡ Pabío Venéwies .y jDi jFramasco Sara víaDv Antonio Es parza , D. Andrés ArtiatyD. Josef Dalpy D. Josef Navarro, 0; Baltasar Co&gt; mellas, 0. Juan Brayo, D. Josef González Merino, D. Joaquín Aguado , Bou Ramón Palacio, D. Josef Meneses , D. Antonio Riosoto , 0. Manuel Monde* toro, D. Manuel Crespa, D. Luis María Sarasti, D. Tomas Orive, 0. Ma« jnuel Cayaleri , D. Agustín…</t>
  </si>
  <si>
    <t>…á los capitanes marques dé A-yerve , 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 Zaballa , D. Juan…</t>
  </si>
  <si>
    <t>…n su último suspiro en los dias 3 y 27 de Junio de 1899 ^os ^roes barceloneses el Dr. D. Joaquín Pou, cu ra párroco de la cindadela, el P. D. Juan Gaiiiía, clérigo reglar teatino, D. Josef Navarro , sargento del regimiento de infantería de Soria, D. Juan Massana, oficial de la Consolidación de vales Reales, D. Salvador Aulet, co merciante , D. Ramón Mas, carpintero de ribera , D. Julián Portet, espar tero, y D. Pedro Lastortras. El público expresó con…</t>
  </si>
  <si>
    <t>Navarro, Juan Pedro</t>
  </si>
  <si>
    <t>Juan Pedro Navarro</t>
  </si>
  <si>
    <t>…ría Moscoso y Anaya .* para eTde Zahara á D. Antonio Villareal; para el de ' Espera á D. Rafael Josef Castilla: para el de Hita á D. Manuel Antonio Barba: para el de Castrogeriz á D. Juan Pedro Navarro: para el de Almon-</t>
  </si>
  <si>
    <t>Navarro, Juan Víctor</t>
  </si>
  <si>
    <t>Juan Víctor Navarro</t>
  </si>
  <si>
    <t>…miento de letras de Mancha Real á Don Femando Segovia: para el de las Alpujarras del reyno de Granada, su ca-^ pita! Uxijar, á D. Joaquín Castells y de Montaner: para el de Loxa á Don Juan Víctor Navarro: para el de Chinchilla á D. Juan María Ruano: para el de Marbella á D. Marcos Cachapero:. para la vara de Purchena á Don Francisco Fernandez: para la de Tobarra á D. Antonio Roca y Bayot: para la de Adra, Berja y Dalias á D. Ramón Rodríguez Vélaseos para la d…</t>
  </si>
  <si>
    <t>Navarro, Julián López</t>
  </si>
  <si>
    <t>Julián López Navarro</t>
  </si>
  <si>
    <t>…Romero y Castañeda: Íara la capellanía de Reyes nuevos de Toledo» vacante por promoción de ). Pedro Felipe Moreno á una canongía de la iglesia metropolitana de la misma ciudad» á D. Julián López Navarro,con dimisión del beneficio prés tamo de S.oMárco$ de Baeza» obispado de Jaén» que obtuvo pór decreto de 2 de Noviembre último. i El Rey nuestro Sefior.se ha servido nombrar í consulta del Real conse jo de las órdenes para las varas de alcalde mayor de Montane…</t>
  </si>
  <si>
    <t>Navarro, Leandro Alvarez y</t>
  </si>
  <si>
    <t>Leandro Alvarez y Navarro</t>
  </si>
  <si>
    <t>…n Pedrero Espinosa , con dimisión del beneficio que obtiene de Ta pióles en la diócesis de León: para una media ración de la iglesia catedral de Cuenca, vacante por haber obtenido D. Leandro Alvarez y Navarro el beneficio de la parroquia de S. Salvador de Requena , á I). Francisco Gon*i zalez, catedrático de latiniJad en el seminario conciliar de Ja misma ciudad de Cuenca: para la media ración que resulta vacante en, la catedral de Ca lahorra por promoción de D. J…</t>
  </si>
  <si>
    <t>Navarro, Manuel</t>
  </si>
  <si>
    <t>Manuel Navarro</t>
  </si>
  <si>
    <t>…, quienes los reunieron y trajeron á! su costa á :esta ciudad, en donde están á sueldo y al mando del teniente coronel D. Antonio Barreda, sin que debamos omitir el mérito del Dr. D. Manuel Navarro, que entró al frente de sus feligreses 4e Huamanguilla. El cura de Quinhua nos ofrece algunos de sá doctrina, pues los demas están con los insurgentes* repitiendo igual oferta el Dr. D. Pedro Tello, cura de Tambillo,Con los indios de los Ñeques, que no hemos…</t>
  </si>
  <si>
    <t>Navarro, Pascual</t>
  </si>
  <si>
    <t>Pascual Navarro</t>
  </si>
  <si>
    <t>…r., agente de negocios, natural de Orihuela,y ve cino de esta corte, al presidio de Ceuta por seis años, con destino'á los migueletes, y con la circunstanci :» que los anteriores. D. Pascual Navarro, pensionado por la Real hacienda, natural de la ciudad de Huesca en Aragón, vecino de esta corte, al presidio de Melilla por seis años, y del mismo medo. *• D. Ramón de Latas, teniente que fue del regimiento infantería de Pla&gt;sencia, desertor de las banderas…</t>
  </si>
  <si>
    <t>Navarro, Silvestre</t>
  </si>
  <si>
    <t>Silvestre Navarro</t>
  </si>
  <si>
    <t>84* D. Ramón García 1400 rs. importe dé un caballo que entrego para el ¿g¿rcito: D. Pedro Bernardo de la Peña 10830 rs. , reditos de vales : D. Silvestre Navarro , D. Simón dé Segoyia y D. Juan Canturry 17352 rs. y 20 mrs. en 69 recibos de suministros á tropas, y de¡ 2 marcos 7 onzas y 2 adarmes en plata labrada: D. Miguel Blany 2032 rs. vn.: D. Rafael Diez Andrade 664 rs. y 16 mrs. mrnm*mmm, ■ .... .... .. ..........…</t>
  </si>
  <si>
    <t>Navas, Anastasio</t>
  </si>
  <si>
    <t>Anastasio Navas</t>
  </si>
  <si>
    <t>…de la Rosa, D. Gabriel'Solano, 0.' Juan Alverico, D. Ramón Narvaez, D. Salvador Gallard, 0. Lorenzo Zarate, D. Josef Odriozola, 0. Pe dro Fuenmayor, p. Juan de Dios Gil de Lara., D. Anastasio Navas, Don Manuel Rodríguez, 0. Fernando López, 0. Juan Sénovilla, 0. Santiago Pereira, D. Sabas Marín, D.1 Manuel dét Castillo * 0 Juiuin Benita,' 0. Jñari González deL Castfllo, D. Francisco Jouy D- Juan Alaminos#, D* Pedro Gar cía ,JX Juan" Sánchez Illescas-, D.…</t>
  </si>
  <si>
    <t>Navas, Francisco</t>
  </si>
  <si>
    <t>Francisco Navas</t>
  </si>
  <si>
    <t>…JuanVicente , D. Eduardo Paules , ,D. Francisco Sánchez, D. Josef de Castro, D. Venancio, Garnez , D. Nicolás Laborda, D. Manuel 1 aborda*, D. Nicolao Ribera, D. Gregorio Dalmao ; D. Francisco Navas., D. Filiberto Malus, D.;/Josef •¡Blanco*L). Mariano Córdoba * P. Josef Ferrer, D. Ca yetano Vivar , P,; JqseJ de^fcuenca, EX Francisco Caso, D. Felipe Mendicuti, í). Baltasar Gonzajes* *&gt;¿X;FVancisep de Torres, D. Andrés Casainayer, D. Francisco Reguera , D.…</t>
  </si>
  <si>
    <t>Navia, Ventura de</t>
  </si>
  <si>
    <t>Ventura de Navia</t>
  </si>
  <si>
    <t>…s resoltas se le confirió el gobierno .del . mismo fuerte., que desempeñó hasta la devolución dé la isla. Estuvo en la isla de la Martinica con la expedición del mando deBExciiio, Sr. D. Ventura de Navia; hallán dose en la dispersión de la misma, ocasionada por un terrible temporal; soli citó y pasó á la qüe marchó contra Panzacola á las órdenes del Sri D. Ber nardo Calvez en clase de ayudante de aquel general; en 'él'sitio dé la expre sada plaza tuvo el mand…</t>
  </si>
  <si>
    <t>Náxera, Miguel de</t>
  </si>
  <si>
    <t>Miguel de Náxera</t>
  </si>
  <si>
    <t>…-Real de esta corte, diputado nato del mismo Bárrirí; IX Saturnino Peal, teniente may or de cura de tá de S. Justo y; Ptstoi:, di putado eclesiástico del Barrio del mbmo nombre ;, D. Miguel de Náxera, agente por &amp; M. de les del número de Indias , diputado del Barrio de San Gir.és ,.y D. Redro Pérez Merino,, ageute de negocios de los Reales conse jos, y alcalde del Barrio de’ Santiago ; y tomando la palabra el primerojii-</t>
  </si>
  <si>
    <t>…os de Doña Francisca Manrique de Lara y del señor conde de Lavania, vecinos de esta corte. La persona ó personas que puedan legitimar di cha representación podrán acudir en ella á D. Miguel de Náxera, agente de los del número de Indias, calle del Arenal, núm. 21, y en Sevilla al presbítero D. Gon zalo Angioiety. D. Salvador Somoza, presbítero, vecino de la ciudad de Santiago, tiene noti cias interesantes que comunicar á D. Josef Villa, cirujano que fue de…</t>
  </si>
  <si>
    <t>Necio, Cirilo Perez de</t>
  </si>
  <si>
    <t>Cirilo Perez de Necio</t>
  </si>
  <si>
    <t>…D. Josef Domingo de Aguirre, D, Mariano Perez 4e;Nemn,, D. Pascual Jo^efde Ardanáz, D. Diego Macmahon, Goossens e mjo, D. ManuelMa* Íía de Aldecóa , D. Antonio Juap de Viidosola, D. Cirilo Perez de Necio* D. Francisco de Lemonauría hijo y D. Juan Laurencio. A fin de que este establecimiento inspire al público toda la confianza posible» no conten tándose los accionistas con el buen crédito de que gozan cada uno de por si, han depositado desde luego en poder de…</t>
  </si>
  <si>
    <t>Neg, Ignacio de Castro y</t>
  </si>
  <si>
    <t>Ignacio de Castro y Neg</t>
  </si>
  <si>
    <t>…ntigüedad de 18 de Mayo de 814; capitanes á D. Francisco Velasco y D. Pedro Noriega; tenientes de granaderos á D. Josef Moreno y D. Juan Cosío; ídem de fusileros á D. Josef Cañas, D. Ignacio de Castro y Neg reyros y D. Francisco Cañas; subteniente de granaderos á D. Juan Valdivíeiso, y subtenientes de bandera á D, Manuel Gil, D. Josef Nicolás Esre’Ia, D. Ignacio Alcázar y D. Jacinto del Rico: con la de 30 de Enero último capitán de granaderos en el propio cuerpo…</t>
  </si>
  <si>
    <t>Negrilla, Juan del Rey</t>
  </si>
  <si>
    <t>Juan del Rey Negrilla</t>
  </si>
  <si>
    <t>…go * que resultará vacante por promoción de D. Mariano Gil Fernandez, ¿ D. Josef de Florez y García: para otra ración de la jglesia catedral de Avila, vacante por fallecimiento de D. Juan del Rey Negrilla, á D. Benito Gómez de Gayangos, cura propio de Canales, en la diócesis de Sígti^nza: para ©tra racion de la de</t>
  </si>
  <si>
    <t>Negrillo, Rafael Mogollon y</t>
  </si>
  <si>
    <t>Rafael Mogollon y Negrillo</t>
  </si>
  <si>
    <t>…ra la de Berlanga á D. Josef Codina y Gómez: para la de Cuellar á D. Gaspar Antero Rochel: para la de Luque á D. Jo sef Carrillo; y para el corregimiento de la Puebla de Alcocer á D. Rafael Mogollon y Negrillo. El Rey ha tenido á bien prorogar hasta el dia 8 de Abril próximo la apertura del concurso 'para la plaza de ayudante del Real estudio de mi neralogía de esta corte. En atención al zelo Singular que ha mostrado D. Julián de Mollinedo en el restablecimiento de…</t>
  </si>
  <si>
    <t>Negro, Josef Sanz</t>
  </si>
  <si>
    <t>Josef Sanz Negro</t>
  </si>
  <si>
    <t>…lesia y obispado de Lugo, á D. Andrés Gómez Somorostro, racionero de la iglesia colegial de S. Ildefonso*, para la prestamera de Ragama, diócesis de Avila, que va có por muerte de D. Josef Sanz Negro, á D. Josef de Lucas Ramos: para el beneficio préstamo de Birbadiilo, diócesis de Salamanca, vacante por muerte de D. Josef Sancho Velasco, á D. Antonio González Benito, cura del lugar de Coca de Huebra en el mismo obispado: para otro beneficio servidero de B…</t>
  </si>
  <si>
    <t>Negro, Pedro Cataneó y</t>
  </si>
  <si>
    <t>Pedro Cataneó y Negro</t>
  </si>
  <si>
    <t>…ido conce-:‘ ]¿er étt celebridad de -los alas de sU augusto nombre porpor el ministerio de x Ik Gttíerta: ,&lt;j Caballería^ de línea y ligera. Cf Grados de tenientes á los alféreces D. Pedro Cataneó y Negro, D. Ig nacio Tejeiro y Lastra, D. Josef Quintero, D. Josef Garcés, D. Antonio Ferri, D. Manuel Moreno, D&gt; Josef Funes, D. Ignacio Iturrigaray, D. Fran cisco Martos,: D. Francisco G^rces, ,D. Gonzalo Lobo , D. Josef Araujo, p. Josef Rovirat, D. Antonio Sierra…</t>
  </si>
  <si>
    <t>Neipperg</t>
  </si>
  <si>
    <t>…a se han hecho aquí los siguientes nombramientos diplomáticos. El conde de Etz para Roma; el ca ballero Lebzeltern para Petersburgo; el príncipe de Kaunitz para España; el general conde Neipperg para lurin; elbafon Steigcntesch para Copenha gue; el barón de Wessembargo para Munichj^el conde Bombelles para Stockoímo el barón Schauensteín para Cássel y Hannóyer; el príncipe Jablonowski para Sicilia, y el conde de Tautmansdorf para Saloma. Se ha circula…</t>
  </si>
  <si>
    <t>…es el 2 y 3; pero todos se le frustaron, porque el exército austríaco sostuvo sus posiciones con mucho valor hasta el anochecer * en cuyo tiempo llegó ¡á. Jesi el teniente general conde Neipperg con su división, y logró muy en breve desconcbr-» taf enteramente ál enemigo.—¿ Se sabe que Murát el.día 2; con las 'divisiones Ambrosio * Lechi, Bignatelli y Livron se encaminaba á Tolentino, al misino tiempo que había destacado la división del mando dél gen…</t>
  </si>
  <si>
    <t>Neira, Pedro de Castro</t>
  </si>
  <si>
    <t>Pedro de Castro Neira</t>
  </si>
  <si>
    <t>…eal casa y corte, se ha publicadÓpor termino de 30 dias úna casa, sita en esta corté y subida de los Angeles, señálada con cl^ nume ro 2,i correspondiente ai mayorazgo fundado por D. Pedro de Castro Neira ,‘que actualmente posee D. Josef Quiñones y Caballería, marques de Lorenzana, vec no de l,a Fuente del Maestre, que medida geométricamente comprenderen sí di,ha casa de area plana 4401 § pies superficiales de sitio, inclusos los gruesos de sus^media nerías, t…</t>
  </si>
  <si>
    <t>Nepomuceno, Juan</t>
  </si>
  <si>
    <t>Juan Nepomuceno</t>
  </si>
  <si>
    <t>…Diez Canseco: para el de Chinchón á D. Tadeo Capablanca. Jfara la vara de León á D. Joaquín Ruiz de Arechavaleta: para la del Arahal á D. Josef Miguel Monge: para la de Ayamonte á D. Juan Nepomuceno</t>
  </si>
  <si>
    <t>NépomucenoCascallaría, Juan</t>
  </si>
  <si>
    <t>Juan NépomucenoCascallaría</t>
  </si>
  <si>
    <t>…una 20 dt Setiembre. ..... : H Habiendo tenido á bien S. M. por Real resolución de 3 1 de Julio último, condescendiendo con las súplicas del ayuntamiento de la villa de Osuna y dé D. Juan NépomucenoCascallaría, rector de sü.universidad literaria, mandad continúe en ella la enseñanza; se han tomado ya todas las providencias ne cesarias para que.Iós jóvenes que deseen matricularle en dicha universidad para estudiar ya desde este año las facultades de filosofía, teolo…</t>
  </si>
  <si>
    <t>Nepomucerio, Juan</t>
  </si>
  <si>
    <t>Juan Nepomucerio</t>
  </si>
  <si>
    <t>…gobernador de .Guayaquil, y D, Mariano. Osorio , coman dante ae artillería en Lima , y comandante general del egército Real de Chile. Grados de coroneles á los tenientes coroneles D. Juan Nepomucerio de ©árdenas, gobernador político y militar del presidio de S Felipe de Bacalar; t). Ignacio Caro ,*comandanté ael castillo de A'¿arefc en la Havana; D. Jo sef Sallent, teniente coronel comandante del batallón de voluntarios de Ma?-. drid , que esistia en Mont…</t>
  </si>
  <si>
    <t>Nes</t>
  </si>
  <si>
    <t>…er sobre ella y arruinar esta primera ciudad de la Europa. El valor de las guardias nacionales de París tenia irritados á k&gt;s vencedores, cuando el príncipe de Schwartzemberg y el general Nes— selrode me declararon que Paris podia salvarse por medio de una capitula ción ; y habiendo entrado desde luego á tratar de la conservación de un mi llón de habitantes, tuve después da dicha de entrar también en negociaciones para salvar á toda ia Francia. „…</t>
  </si>
  <si>
    <t>Ney</t>
  </si>
  <si>
    <t>…llar, fugándose de'de la Coruña á Vigo con el místico Corzo y los cañoneros Lagarto y Uron de sus respectivos mandos, en vez de pasar á Bayona á donde los destinaba con pliegos el mariscal Ney ; y enterado igualmente S. M, de que el pensamiento y su execucion sin ageno auxilio fué pecu'iar de Rigada, ha tenido á bien mandar se publique en la gaceta p^ra satisfacción de este, con la advertencia de que por el expresado serviwio ha merecido Rigada el…</t>
  </si>
  <si>
    <t>…laba el mismo dia en aquella ciudad ; que el vecindario estaba consternado, y que quando salió de la isla de Elba no tenia sino un corto número de soldados sumamente fatigados. El mariscal Ney ha dado parte al Rey desde Besanzon , con fecha de ayer mañana que partía para combatir al enemigo de la Francia con io^ soldados, de cuya fidelidad respondia. S. A. R. Monsieur conde de Artois ha venido á París, y debe volver á marchar inmediatamente. El Rey…</t>
  </si>
  <si>
    <t>…blo quantas medidas creyó convenientes para defensa del territorio de so jurisdicción. Las cartas y los avisos recibidos de León dicen que inmediatamente que Supo Napoleón que el mariscal Ney se habia puesto en m ¡rcha , habia he cho replegar precipitadamente las avanzadas que tenia sobre Macón. Ney se dirige hácia Bourg con ic© hombres de tropas de línea y de guardias nacionales recogidas en las plazas del Franco Condado, que todas están llenas d…</t>
  </si>
  <si>
    <t>…ias dan lugat á creer que Napoleón salió de León el 13 * con dirección á Macón y Chalons, y las disposiciones tomadas aqui dan á entender que se había previsto este movimiento. El mariscal Ney, que lo observaba , ha marchado en su seguimiento á marchas forzadas. El Rey ha escrito una carta ai duque de Dalmacia para manifestarle Io; agradecido que estaba á sus servicios, la alta estimación que le merecían; y los deseos qué le animan de recibir de él…</t>
  </si>
  <si>
    <t>…que circundada de enemigos aquella provincia, y sin auxilios del su premo gobierno, fue acometida por los que estaban en Galicia, Castilla y Montañas de Santander, mandados por el mariscal Ney y por los generales Rellerman y Bonnet; habiéndose sostenido á pesar de su corto número cerca de uñ año con escarmiento de los mismos enemigos, á quienes en varios y repetidos encuentros batió y rechazó con mucha gloria de las Reales armas y honor de sus natu…</t>
  </si>
  <si>
    <t>…«Francia; y de ja imposibilidad en, que se halla de salvarla él solo, ha, manifestado » conforma rse. y consentir en la abdicación absoluta y sin .ninguna restricción.*’ Cúr tadei mariscal Ney,,al ¡príncipe de; Benev^nto, fecha en Fontainebleau .el 5 de Abril de* 1 ífÁáse. el monitor de, dfy4br¡l 4* % $ WfljíPffit* •« la gaceta de Madrid de 2 z de Abril del mismo am. w :- k . &gt; • • • . ■ • • • " . • ‘ " 1 • • ■ ' 1 " ■ • " - •• •• -. • • 'i</t>
  </si>
  <si>
    <t>…legército =ptuí iañb ^ha‘■'quedado ¡destruida en está batalla :\ su pérdida no puede bajar dé i‘5@ hoiñbres : la nuestra Ha sido de 3® éntre muertos y heiidos. Por la izquierda el mariscal Ney hábiá marchado contra Quatre-Bras con una división que ya había arrollado otra inglesa que estabá apostada allí ; pero habiendo sido atacado por el príncipe de Orangé, á la cabeza de #)$';Miñbrés, parte in gleses y parte hárinoverianos, al sueldo de la Ingla…</t>
  </si>
  <si>
    <t>982</t>
  </si>
  <si>
    <t>…a puerta de sucu&amp;rtO,sent¿t^de iinpistoletazo. tSe ha naandado: al prefecto deVaucluse qúepersiga en- justiciará*3os autores' de ht sedición. -v ' j;; áru - ^'s ■: ; r : - / ¿j El mariscal Ney ha sido descubierto enefccanton de Figeác /departamen to del: J^ot i de donde, ha sido llevado presóáAurillac.Esta prisión impor tante se debe á la vigilancia de Mr. Locard, prefecto del Cantal , -y á la dél subprefecto de Aurillae. El capital) dé la genclarm…</t>
  </si>
  <si>
    <t>…iduque Fer nando, comandante en gefe dei cuerpo de reserva del egército austríaco acan tonado en este departamento. ! París iZ de Agosto. Sehan dado órdenes para traer, á París al mariscal Ney. Dentro de cua tro ó cinco dias llegará, y. se empezará inmediatamente su proceso. ¡ Desde, efc'dia: 10. de Julio ;no ha- pasado él Rhin cuerpo alguno de tropas austríacas. Un egército de reserva de 30© hombres, los&lt; batallones de milicias fiandwehr)í, que de…</t>
  </si>
  <si>
    <t>…en mar cha todas ks tropas del general Marley , y «e cree que el enemigo se retirará al otro lado de los pantanos.” ■ ■ — , ‘ - FRANGÍA., ,, , p, :&gt;-7 ' París 21 de Agosto. ■ . El mariscal Ney ¡legó ayer a esta capital escoltado por dos oficiales de ta gendarmeiía que le acompañaban en el coché. Se han concluido las operaciones relativas-'Ü la disolución del egército del</t>
  </si>
  <si>
    <t>…brá ademas inspectores, comisarios or denadores y de guerra. V-----------f T ' 1 Se asegura que se juntará á mediados de lá semana próxima el consejo de guerra que ha de juzgar al mariscal Ney. GRAN BRETAÑA. Londres 1.® de Setiembre. Se han recibido aquí papeles de ofició, estrdctados de la gaceta de Pekín, traducidos del chino-é impresos en Cantón en la imprenta de la compañía de la India, en los cuales se dan fas noticias siguientes del imperio d…</t>
  </si>
  <si>
    <t>…de la misma nación Mr. SmirnofT, fue conducido al cuartel general ruso, y el consejo de guerra le condenó el 29 de Agosto á ser arcabuceado. El dia 15 tomó el general Grundler al mariscal Ney una declaración que duró cuatro horas. Se anuncia la formación próxima de un establecimiento que tendrá por título: As ocia don universal para el progreso de las denotas, las artes, la legislación, la jurisprudencia y la industria francesa. El jproyeeto se de…</t>
  </si>
  <si>
    <t>…ro día por la mañana tomó i él camino de Dresde. El mismo dia 26 llegó» también á Leipsick el Príncipe Barclay de Tolly. . :. ¡ ídem 9. El consejo de guerra encargado de juzgar al mariscal Ney se reunirá hoy 9 á las diez de la mañana en el palacio de la Justicia. Los jueces que com ponen el tribunal son los Excmos. Sres. mariscales conde :Joúrdan&gt; presiden te; Massena, príncipe de EsslÍng; Augereau:, duque de Cástiglione j Mortierj duque de Treviso…</t>
  </si>
  <si>
    <t>i394 El general Drouot que se constituyó, pres® desde la promulgación del de creto Real de 24 de Julio, ha solicitado y conseguido que se le juzgue inme diatamente después del mariscal Ney. Está para completarse y empezar su servicio la legión departamental del Sena: varias compañías que se habían formado en Vincennes acaban de pa sar á Orleans. , Es un hecho muy honorífico para la nación en general y para las señoras ,francesas en particular,…</t>
  </si>
  <si>
    <t>…os motivos de la marcha retrógrada del primer cuerpo del egército prusiano, se dirigirá dentro de pocos dias al ducado del Bajo Rhin.vGRAN BRETAÑA. Lóndrds 24 de Noviembre. * \ El mariscal Ney ha presentado por medio de su muger diversas notas al Duque de Wellington y á los embajadores extrangeros, pretendiendo ser comprendido en la amnistía general concedida por las potencias aliadas en la capitulación de París á todos los individuos existentes en…</t>
  </si>
  <si>
    <t>…Rusia se creyó que fuese arcabuceado. ■ FRANCIA. París G de Diciembre. La cámara de los Pares dio ayer la sentencia siguiente en la causa que se ha . seguidor rante ella contra el mariscal Ney: „ Miguel Ney ,- riiáriscal de 'í*ráncia?, 'Duque de Elchingeny Príncipe del Moskowa, habiendo sido con vencido? del crimen de alta traición, con rodas las circunstancias enunciadas éñ la acusación del fiscal Reaf, la cámara le condena á la pena de muerte. La…</t>
  </si>
  <si>
    <t>Nicea, Arzobispo de</t>
  </si>
  <si>
    <t>Arzobispo de Nicea</t>
  </si>
  <si>
    <t>…los honores con dos descargas, victoreándole coino á su Coronel. En; seguida pasó S. M; con SS. AA. á: la Capilla parroquia par* presenciar la función, á la que asistió el EsCtnoü Sr. Arzobispo de Nicea, Nuncio de: Si S. en estos reinosy á? lar que precedió una pequeña plática aná loga á la ceremonia, que hizo’ el capellán rasís antiguo del Real Cuerpo Don Francisco González del Campillo. Concluida la' bendición, y habiendo sa-r lído los Reales Estandartes á…</t>
  </si>
  <si>
    <t>Nico</t>
  </si>
  <si>
    <t>…teniendo los sagrados derechos dé 1 trono. Grados de tenientes coroneles de infantería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Manuel Bénjumeda * D. Gerónimo Muñoz, D.…</t>
  </si>
  <si>
    <t>Nicolás</t>
  </si>
  <si>
    <t>…iaírÍR*Y‘8 o ano ^perpetuo eucansuco para toaos rosarasrviaa manmesta oc ia •Cristd hasta*lá institúcioú déí'áUjgustfoVétféVa&amp;Ie' :Sant&amp;f¿hó ‘$écritinént» iá noebe de la cenar por D. Nicolás déT Cáúipo y Herréra. Vecino del ciudad de vnm jfr'i tiw ew » 1Ó0 ébl i; t fírih br ■t.m ol ib SOL-i ,ol.t-g;aCl í -i</t>
  </si>
  <si>
    <t>…ento de D. Dionisio Sainz Galinsoga, á D. Tomas Ugarte , canónigo de la catedral de Teruel, ss La dignidad cíe chantre que ha vacado en la catedral de. Cádiz por falleci miento de D. Nicolás de la Rosa y Chacón á D. Fernando Alba, cura del Sagrario de la misma iglesia. = La canongía de la catedral de Cuenca, vacan te por muerte de D. Antonio de Rojas y Galabardo, á D. Josef Miguel Al-</t>
  </si>
  <si>
    <t>…cial de la corte con encargo de informarse tanto del estado del niño como del de su madre. El día siguiente fue un ayudante á casa de Mr. Fabio para llevarle ante S. A. I. el gran duque Nicolás, quien le habló en estos términos: „El Emperador mi hermano me encarga que os manifieste su satisfacción y vivos deseos de que prospere el niño y toda su familia: os recomienda con parti cular cuidado su educación , y promete no olvidarle.” Al retirarse S. A.…</t>
  </si>
  <si>
    <t>…ra á las tropas de S. M.; y es su Real voluntad que se publique en la gaceta este rasgo de patriotismo y de amor á su Real Persona. Por providencia de 13 del corriente dada por el Sr. D. Nicolás La Miel y Beíiages, del consejo de S. M. en el de Hacienda, subdelegado general de bienes mos trencos, vacantes y abintestatos, y asesor general de correos, se ha mandado se ci te y emplace á Doña Manuela Rosalía de Mosteirin, viuda de D. Francisco Geró nimo de Arríaza, como ma…</t>
  </si>
  <si>
    <t>NicolásChantreau, Pedro</t>
  </si>
  <si>
    <t>Pedro NicolásChantreau</t>
  </si>
  <si>
    <t>…la .academia fráncéüa : por D: Matías de Rueda y León. ÁñádenVe dos diálogos,*uno dé1 Fonténelle, y otro de Feftélón , y el análisis de las gramáticas de D. Antonio Gas mace y de D. Pedro NicolásChantreau. Se ha llará en Madrid en la librería de Villárcal, calle de las Carretas, y en Santiago en la de Roy y Romero. En las mismas 1 i brema se hallará la gramática española para uso de los francéses, del mismo autór: és también útil para, los españoles que en tie…</t>
  </si>
  <si>
    <t>Niepperg</t>
  </si>
  <si>
    <t>…seguridad dé'que si ef general Carrascosa quisiese hacer al agunas preposiciones seria recibido; ai dia‘ isiguiemeí-, ,.. Con efecto esta, maña na vino el general Carrascosa; y el general Niepperg por parte del Austria, el general Coleta por la de Ñapóles, y yo , á falta de comandantes ingleses, hicimos uñ convenio militar.-_.Por parte de Ñapóles se hicieron proposicio nes totalmente inadmisibles; por la nuestra se exigió la abdicación del maris cal Mu…</t>
  </si>
  <si>
    <t>Nieto, Jldefonso</t>
  </si>
  <si>
    <t>Jldefonso Nieto</t>
  </si>
  <si>
    <t>…uran, D. Rafael* Máhi,D. Juan Sentmauat, D.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Enfy, D. Josef Aguilar, D.” Juan de DiosVaidivia,D. Lázaro Caballero ,D. Antonio Floran, D.'Manuel García…</t>
  </si>
  <si>
    <t>Nieto, Josef García</t>
  </si>
  <si>
    <t>Josef García Nieto</t>
  </si>
  <si>
    <t>…l&gt;JAntonio Romero * ácJ^on Benito Fef n andez ?Nayarirétei canmi^o dé la fmisma iglesia: para otro deanato, vacante en la^caiedraldeValbdolid póV haber muerto sin tomar po&gt; sésion D. Josef García Nieto *í.á .Francisco Antonio Fernandez * dignidad de chantre de la propia ¡iglesia: para esta dignidad á D. Lorenzo de Pa lacio NancbreY y Cevallos vcura propia de la: parroquial de S. Miguel y San Julián de la expresada'CÍüdád deiValladolid^paraunacanongía qneres…</t>
  </si>
  <si>
    <t>NJarciso</t>
  </si>
  <si>
    <t>…onio Marco , D. Ginés 'Rubio, D. Josef Ga vilanes , D Joaquín Aguijar, D. Santiago López Gascón, D. Ambrosio Mar tínez, ÉX C^ayemnp Ojezalde,; D.-Antonio Delgado, D. Gaspar Jover, Don NJarciso,Felipe, IX Josef Vilíavieencio, D. Cristóbal del Aguila, D. Berna-? Fe Chinchilla,, D. Manye! Carrasco, D. Tomas López, D. Miguel Bueno, JX Juliani Lop£z dq Ansó ¿'Di* Antonio Martínez, D. Eleuterio Munida, Don Á^anueí Andrada , !)» Domingo Blanco, D. Lorenzo…</t>
  </si>
  <si>
    <t>No</t>
  </si>
  <si>
    <t>…. Sí debo, espresar mi sentimiento por la suerte de un* oficial qué hábia ya hecho muy brillantes é importantes servicios-'; y era el ornamento dé sil‘profesión.” y * r ¿ „ 2.a P. D. No fie recibido aun los estados de muertos y heridos; pero incluyo una lista de los oficiales muertos y heridos en los dos dias, hecho del; modo que puede* hacerse sin tener aun los estados; y tengo el gusta de aña dir qde*eloorónéTDelancy no ha muerto, y qxie h…</t>
  </si>
  <si>
    <t>Ñoailles, Alexis de</t>
  </si>
  <si>
    <t>Alexis de Ñoailles</t>
  </si>
  <si>
    <t>Gaceta de Madrid n.º 40 (extraordinaria)</t>
  </si>
  <si>
    <t>…. 5? Austria 9, £l príncipe de Mettsrnicb. ' == El barón de Vesiemberg. = EspañaP. Gómez Labrador.= Francia, El príncipe Talleyrand. = El duque de Dalberg. zz^La Tour~ dupin. = El conde Alexis de Ñoailles. zzGtzn Bretaña, Él duque de Wdfington. zzCiancarty. =Cathcart.-zzLord Stewart. zz Portugal V i?/ conde ,PdifhelÍd¿z Saldanha —Lobo. zzVrm'12 &gt; El Príntitpédé Hkrdembérg.sz El bátan de, ■Uumbold. ssRusia, El conde Píasoumo'rvki} =: pl conde de StacMWefg* =s ;…</t>
  </si>
  <si>
    <t>Noailles, Alexis de</t>
  </si>
  <si>
    <t>Alexis de Noailles</t>
  </si>
  <si>
    <t>…cia; el conde de ChóiseulGouffier, par de Francia; el conde de Lally-Tollendal, par de Francia; el vizconde de Chateaubriant, par de Francia ; el barón Anglés; Mr. Bourienne, y el conde Alexis de Noailles. 6.° El barón de Vitrolles egercerá las funciones de secretario del consejo privado. / j.° Los ministros de Estado que forman parte del consejo privado reci birán anualmente el sueldo de 20® francos. Dado en París en el palacio de las Tullerías á 19 de Setiem…</t>
  </si>
  <si>
    <t>Nodales, Manuel Rodríguez</t>
  </si>
  <si>
    <t>Manuel Rodríguez Nodales</t>
  </si>
  <si>
    <t>…óngía vacante por muerte déD. Francisco Solís á D. Antonio Cabal, cura párroco de S.Juan el, Real de dicha ciudad. = La media-raciomvacante en la catedral de Córdoba por muerte de D. Manuel Rodríguez Nodales á Don Agustín Perez, capellán de dragones de Almansa: la dignidad de prior de la colegiata deS. Hipólito de la ciudad de Córdoba, vacante por no haber toma do posesión de ella D. Celestino Sánchez, nombrado posteriormente para una canongía de la catedral de S…</t>
  </si>
  <si>
    <t>Nogueruela, Gaspar</t>
  </si>
  <si>
    <t>Gaspar Nogueruela</t>
  </si>
  <si>
    <t>…op£z dq Ansó ¿'Di* Antonio Martínez, D. Eleuterio Munida, Don Á^anueí Andrada , !)» Domingo Blanco, D. Lorenzo Martínez, D. Isidro QJi* vares , D. Tomas Zamora, L&gt;. Benito Reehel, D. Gaspar Nogueruela, Don Luis Medinilla , D. Pedro Medinilia, D, Joaquín García., D. Gregorio Arta-r cho, D. Josef Aguilar, D. Antonio Quadra, D. Felipe Doria, D. Vicente Ruiz)jD. ^Ramón-Quinan^ &amp; Geróriimq»dé G.éus, IX Josef Carrasco , Don josef Rae^a f ,D. Miguel Sánchez,,¡ D.…</t>
  </si>
  <si>
    <t>Nogueyra, Ricardo Perez</t>
  </si>
  <si>
    <t>Ricardo Perez Nogueyra</t>
  </si>
  <si>
    <t>…tan nobles encargos.; - óv-• ** brú : En seguida se presentaron al exámen de matemáticas ciiico jóvenCs Juan Antonio Maestre, D. Manuel María González, *D. Joaquin? Pérez Seoane y D. Ricardo Perez Nogueyra de primer año, y D. Francisco Ma-? ría Urierte de segundo, quienes fueron interrogados respectivamente á dis creción de los&gt;frcunstantes, los quatro primeros en los ramos de aritmética, álgebra, geometría y trigonometría plana, y el quinto en los de seccróneP…</t>
  </si>
  <si>
    <t>Noles, Frutos Rodríguez</t>
  </si>
  <si>
    <t>Frutos Rodríguez Noles</t>
  </si>
  <si>
    <t>…vi lla del Prado; á D. Ramón de Ataola, de la de Ajofrin; á D. Josef Francisco del Valle, de Madrid, y á D. Josef Irunzaga, de la de Bilbao; todos acreedores á la testamentaría de D. Frutos Rodríguez Noles, vecino y del comercio que fue de la referida villa del Prado, para que en el término preciso y perentorio de 15 días, contados desde hoy . comparezcan á espóner y pedir lo que les convenga por la es cribanía de cámara del cargo de D. Manuel de Carranza; con…</t>
  </si>
  <si>
    <t>Nollendorf, Kieist.de</t>
  </si>
  <si>
    <t>Kieist.de Nollendorf</t>
  </si>
  <si>
    <t>…o soberano Luis xviii. &gt; Hemos recibido la noticia de que antes de ayer pasó por Namur un considerable cuerpo de tropas, la mayor parte de caballería» pertenecientes al cuerpo del general Kieist.de Nollendorf, las quales se dirigían hacia Give y Filipeville. Las cartas recibidas últimamente de Vessei aseguran que de diferentes puntos dél reyno de Prusia van marchando hacia eí Rhin 100$ prusianos. El elector de Hesse-Cassel ha puesto en marcha para el mismo destino…</t>
  </si>
  <si>
    <t>Ñoñez, Cárlos</t>
  </si>
  <si>
    <t>Cárlos Ñoñez</t>
  </si>
  <si>
    <t>…batallón al capitán segundo D. Josef Osorio: á tenien te de granaderos al de la misma clase graduado de capitán D. Salvador Valdeyuli: á tenientes de fusileros á los subtenientes D. Cárlos Ñoñez, Don Juan Nuñez y D. Josef Freyre: á subtenientes de granaderos ¿ los de fusi leros D.^ Miguel Román, D. Francisco Josef Miura y D. JoSef Céspedes: ¿ subtenientes de fusileros á los de bandera D. Antonio Saez, D» Franciscó Caro, D. Juan Tomas de la Torre y D.…</t>
  </si>
  <si>
    <t>Nono, J.</t>
  </si>
  <si>
    <t>J. Nono</t>
  </si>
  <si>
    <t>…mútica: sistema fundado en 1a naturaleza, en la experien cia délos mejores:.‘profesores, y en las observaciones de los filosofas mas?ilustrados: dedicada al Rey nuestro Señor por D. J. Nono. Se hallará en la librería, de Rodrí guez, calle de las Carretas, y en la de Corral, Calle de jos Tintes: dos quadernos í'2 cada uno. • ............ -■ r .1 , ' . - v 1 .&lt;■ ' \ V -r“v '•, ", . Nota.. La felicitación á S. M. que ,en. la gaceta del 17 del corri…</t>
  </si>
  <si>
    <t>Noriega</t>
  </si>
  <si>
    <t>…otosí, formé la ‘primferá reserva, y los 20b pátriótás Cóñ sus oficiales y a -citados., la cóMpa*ñía de dragoneé ae Puéblá cón Su capitáó Viíchfes, y un lpiquete de S. Luís con su teniente Noriega formaron la segunda, destacando partidas a los flancos. „ Lós enemigos, que tuvieron tiempo de formarse, nos aguardaron en n limero de 400 hombres, la mayor parte desertores, con seis piezas en batfería, ocupando el cementerio y las esquinas de la Casa dé Ray…</t>
  </si>
  <si>
    <t>…api tán D. Josef María Mendoza, de fieles del Potosí, y los capitanes y oficiales . ya citados de patriotas llenaron á toda mi satisfacción sus deberes , domo el capitán pilches y teniente Noriega ; y si alguno ha tenido la buena suerte en hacendase visible sn mérito, ha sido porque la fortuna le puso en el caso, pues losi deseos han -sido iguales en todos. El mayor general D. Eugenio TeIrán debía- haber marchado á la cabeza de su escuadrón; pero las a…</t>
  </si>
  <si>
    <t>Noriega, Josef Escolar y</t>
  </si>
  <si>
    <t>Josef Escolar y Noriega</t>
  </si>
  <si>
    <t>…o y Romero. I 1 r • ■ : - i i4 .En Jaén..... .^.;..;i I&gt;^ Frane¿sGb^Lopíez Zavala. &gt; ■'! - i. *¡ " Q’.» EnSegovia.,...}.... Señores ■viuda deRamií*o y Mesa. ' En Cuenca........... D. Josef Escolar y Noriega. , Mallirca...:....} Lore,?zo G,bert- .. 'JE'« Patencia...^" D. Marcelino de la Torre. £u) Bar vos y..;..:.... ©.¡Román ? Martínez Montaos. En jCatíiz.a¿¿.¿¿i"i-jDá Benita de la Piedrav £n Canarias........ D. Francisco.*María Herrera. -En Malaga........ D¿ Fr…</t>
  </si>
  <si>
    <t>Noriega, Juan Antonio Díaz</t>
  </si>
  <si>
    <t>Juan Antonio Díaz Noriega</t>
  </si>
  <si>
    <t>…sente por sí ó por procurador con suficiente poder ante el Sr. D. Luis Gabaldon y López, del consejo de S. M., teniente corregidor de esta villa, por la escribanía de provincia de D. Juan Antonio Díaz Noriega, á exponer lo que le convenga en el expediente formado en virtud.de Real cédula, ganada á instancia de dicha poseedora, sobre la venta de las fincas del vínculo hasta en cantidad de • go9 rsv; con apercibimiento que pasado dicho término sin haberse'presentado…</t>
  </si>
  <si>
    <t>…stilla , juez privativo en virtud de Real órden para Ja de terminación del concurso de D. Francisco y D. Sebastian Nevares de Santoyo , se lia mandado fizar edictos refrendados de D. Juan Antonio Díaz Noriega , escriba* no de provincia y comisiones de la Real casa y corte de S. M., citando y empla zando á todos los acreedores que lo sean por razón de escribanías segregadas de la mayor de rentas de Sevilla, su arzobispado, obispado de Cádiz y Badajoz, que po seyó d…</t>
  </si>
  <si>
    <t>Ñoseret, Luis</t>
  </si>
  <si>
    <t>Luis Ñoseret</t>
  </si>
  <si>
    <t>…lcspararáel perjuicio que haya lugar* * v j Estampas de S. Miguel Arcángel y S. Antonio de Pad.ua,.dibujadas por E&gt;. An^ tonio Guerrero, y grabadas en cuartilla de marca mayor por D. Luis Ñoseret, Se hallarán i 3 fs. cada una en el almacén (je estampas de la cálle Mayor, frente ¿ la casa del conde de Oñate. ' ^ íj ~7~ .&lt; l ' « ÍÚ' EN LA IMPRENTA REAL.</t>
  </si>
  <si>
    <t>Noseret, Luis</t>
  </si>
  <si>
    <t>Luis Noseret</t>
  </si>
  <si>
    <t>…de hidrografía, casa titulada de la Camorra: su precio 2 § rs. vn. Estampa nueva de S. Juan Nepomuceno en cuartilla de marca mayor, dibujada por D. Antonio Guerrero, y grabada por D. Luis Noseret. Se vende con otras mu chas de igyal tamaño de varios santos y santas en el almacén de estampas, calle Ma yor, frente á la casa del conde de Oñate: su precio grs. vn.__En el mismo alma cén se hallará el retrato á caballo del Excmo. Sr. D. Josef Palafox y Melz…</t>
  </si>
  <si>
    <t>Novillo, Cesáreo</t>
  </si>
  <si>
    <t>Cesáreo Novillo</t>
  </si>
  <si>
    <t>…encia correspondiente para su reimpresión, el dueño de ella lo advierte á los invprcsores de.esta corte;.y demas del reino para que 10 detengan si llegase á sus manos, avisando .a D. Cesáreo Novillo, del comercio ‘áé^ibtoá^calfé ^é1 ía^ohceplCÍón‘tíerdimmá en Madrid.' ” ' ‘ ‘d Los subscriptores á las memorias y campañas de Bernadotte pueden recoger él primer cuaderno en la librería de Gila, calle de las Carretas, dondp se .admiten fsubscrip¿iones. ’ : :…</t>
  </si>
  <si>
    <t>Novillo, Cesáreo Josef</t>
  </si>
  <si>
    <t>Cesáreo Josef Novillo</t>
  </si>
  <si>
    <t>…gón; y como después no se haya tenido noticia de él, se suplica tanto á los individuos de aquel cuerpo como á qualquicra que tenga noticia de su paradero, lo avise en esta corte á D. Cesáreo Josef Novillo, calle de la Concepción Gerónima, Ó en la ciudad de Palencia á D. Josef Miguel Palacios, del comercio.</t>
  </si>
  <si>
    <t>…halla establecido en un pueblo con botica abierta desea pa sar á otro, porque donde se halla no le va bien de salud. El que le necesite podrá dirigir el aviso con las propuestas á D. Cesáreo Josef Novillo, del comercio de li bros én esta corte, calle de la Concepción Gerónima. Se desea saber de la existencia de D. Manuel Penche ó sus herederos, que va rios años antes de la invasión de los enemigos en España vivía en la ciudad de Cá diz, para comunicarles ciert…</t>
  </si>
  <si>
    <t>Novoa, Josef María de</t>
  </si>
  <si>
    <t>Josef María de Novoa</t>
  </si>
  <si>
    <t>…zález, D. josef Lázaro Vallejo, D. Ramón Carreño, D. Matias Case ro, D. Manuel Bénjumeda * D. Gerónimo Muñoz, D. Sisto Fajardo, D. Ma-„ miel Fernandez 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t>
  </si>
  <si>
    <t>Novoa, Mariano</t>
  </si>
  <si>
    <t>Mariano Novoa</t>
  </si>
  <si>
    <t>…el Sr. D. Ramón González de Bernedo, coronel del primer regí{ciento, de su muy benemérito comandante el coronel D. Julián de la Llave, y sargento mayor del mismo el de igual clase D. Mariano Novoa, como tam bién del , singular porte del capellán presbítero D. Tomas Zúñiga, pues han sellado honrosamente ia noble opinión que les distingue: igualmente que el recomendable' coronel D. Juan de Dios Saravia, comandante del bata* llon denominado del General ;…</t>
  </si>
  <si>
    <t>Nueveiglesias, Lorenzo</t>
  </si>
  <si>
    <t>Lorenzo Nueveiglesias</t>
  </si>
  <si>
    <t>…n la propia catedral por fa llecimiento de D. Ramoii García Prieto á D. Juan Cuadrillero y Bedoya.1 La dignidad de chantre vacante en la catedral de Almería por faliecir miento de D. Lorenzo Nueveiglesias á D. Diego Carlon , canónigo magistral de la misma, y la dignidad de tesorero vacante Sn la propia catedral pojr v muerte de í). Julián Perez González á D. Josef Parracia , racionero de la misma. , ... La dignidad de prior vacante en la catedral de Coria' por…</t>
  </si>
  <si>
    <t>Nugent</t>
  </si>
  <si>
    <t>…ortificaciones que habia construido para deCendeda. . 'A. . &gt; '■ • , Jtítlan. aj? de Abrtl* ' , .v Xa deserción de las tropas ftapbiíráná^ ha srdo tan numerosa en Toscana» qtie el conde Nugent *¡coñiandante superior' del gran ducadof ha tenido por ilUp^f^ienfe^^llu^^la orden deUdiaaíg^ 3f.-*x::.-if&gt;,Xa desercion que se uiamtiesta cada dia en el erército napolitatid es una prueba de que ha^ conocido la injasticia de la causa que defendía. Xa* autori…</t>
  </si>
  <si>
    <t>…de dé Nieppérg , sé haiíába el 27 tfél jasado 'en laCakó ica. El cuerpo mandado por el general baron de Bianchí se adelanta &gt;pér él estado pontificio sin ninguna opóstcioii , y el conde Nugent se hallaban! otro lado de Vitérbo, y se cree que á estas horas esté en Roma. El general de Cabáiléríá barón de Frknont volvió el yo áMantuadespues de ¿ la Correría qtíehreo sobre Cesena.__- En fifi en todas partes en donde' lástrbpaí' HíapoKranafs han: venido…</t>
  </si>
  <si>
    <t>…l continente; con este motivo se ha encama nado á aquel punto mucha tropa. * ,,, .• - ITALIA. ,,,, ; ; Roma 28 de abril. Ayer al amanecer entró en esta ciudad el general austríaco conde Nugent, y desde luego pasó 2 visitar al cardenal Somagliá, vicario general de S. S. y presidente de la suprema junta de Estado;,y á monseñor el Tesorero; y des pués de haber recibido varios personages, partió al concluirse ia tarde por el eamiño de Vitérbo. Se ha es…</t>
  </si>
  <si>
    <t>…ara contrapesar el mal efectodeestos descubrimientos , habia presentado una larga esposlciop de la conducta de su amo; pero habiéndole comunicado esta memoria á lord Bentinck y al general Nugent, fue rebatida por ellos punto por punto. Sin em bargo / el coWgreso no tqmpninguna resolución positiva contra Murat, y desde líiegó ie* dejái-on las;Már&lt;pas de Ancona; pero bien pronto se le vio que ptétéhdiá ¿stendérsé haVita el Po.i—Con este obgeto había so…</t>
  </si>
  <si>
    <t>…ofensivo y defensivo del Austria con la corte de Palermo. El rey Fernando se obliga por este tratado á poner contra Mu rat 30© hombres en campaña, los cualesserári Wndados por el conde Nugent, quien sin embargo de’ esto conservará, su grado en el egército ' austríaco. • -Xas noticias de Italia son muy satisfactorias: Se icree que se concluya hi guerra con Murat antes que se principie con Napoleón. i 1 Una parte del egcrcito austríaco, dirigido con…</t>
  </si>
  <si>
    <t>…egan' eási sin escepeion á los aliados, para que estos las pongan á disposición del legitimó" soberano del país el Sr. D. Fernando iv.—.Después de las ventajas conse guidas por el general Nugent, de que hablé en mi último oficio, recibió el teniente de feld-mariscal Bianchi el 18 una carta del duque de' Gallo, pi diendo una conferencia para Comunicarle proposiciones dei mariscal Murat___ Esta conferencia sé aplazó para el día: siguiente ; y él genera…</t>
  </si>
  <si>
    <t>Nugentvha</t>
  </si>
  <si>
    <t>…ó al otro lado del Pénaro. La vanguardia deh teniente general Bianchi entró en-.Módena el día 11-----El cuerpo que te halla en Toscana y en el Appenino, á las órdenes del teniente general Nugentvha conseguido varias Ventajas sobre la columna de tropas de Marat, que intentaba entrar, en Florencia^-— En esta ocasion se distinguieron particularmente los dragones toscanos, los cuales .unidos á unos pocos hú sares del regimiento deLichtenstein , atacaron la…</t>
  </si>
  <si>
    <t>Nunciante</t>
  </si>
  <si>
    <t>…resulta.de los golpes que .recibió:en lá cara. Fuebonducido mmédia-^ tamente á una torre,donde se conserva bajo la custodia dé las tropas queha bían acudido de Reggio al mando del general Nunciante. Los buques en que= arribó á Calabria huyeron con el resto de lá gente, habiendo sido después; apresados dos de los otros cuatro pqr la división de caponeras que ^e h^llur apostada én Pálerírió: Esté suceso uó fia ^causado iá^tííéhar á^feracioñ en tbdó^ el re…</t>
  </si>
  <si>
    <t>Nuncio</t>
  </si>
  <si>
    <t>…toda su corte , los seis prehidós que asistieron, *y el numerbso pueblo que pudo recibir la capacidad del.templo eñ~sus res pectivos lugares, celebró misa de pontifical el Excmo. Sr. Nuncio &gt; emb/xa-dor de S. S., y predicó el R. P. P. Fr. Agustín Aguilar, del orden de Pre dicadores, y predicador honorario de S. M. j Concluido e) Te Deunt, tuvo el Excmo. ayuntamiento el honor de ser -admitido á besar la mano á S. M. y A A., que se retiraron fdesp…</t>
  </si>
  <si>
    <t>Nunez, Francisco</t>
  </si>
  <si>
    <t>Francisco Nunez</t>
  </si>
  <si>
    <t>…pensión dé\i5® rs. que» le concedió sobre las rentas dé la mitra de Segovia : para una capellanía, vH cante en la Real capilla de Granada por muerte de D. Pedro Josef Victo ria, a D. Francisco Nunez, capellán del colegio de San Telmo en Sevilla* v para la racon, oue resulta en la iglesia catedral de Cádiz por promocíoíi de D. Joaquín Izquierdo a canongía de la misma, áD. BonifacLCastehi.</t>
  </si>
  <si>
    <t>Nuñez, Juan</t>
  </si>
  <si>
    <t>Juan Nuñez</t>
  </si>
  <si>
    <t>…tán segundo D. Josef Osorio: á tenien te de granaderos al de la misma clase graduado de capitán D. Salvador Valdeyuli: á tenientes de fusileros á los subtenientes D. Cárlos Ñoñez, Don Juan Nuñez y D. Josef Freyre: á subtenientes de granaderos ¿ los de fusi leros D.^ Miguel Román, D. Francisco Josef Miura y D. JoSef Céspedes: ¿ subtenientes de fusileros á los de bandera D. Antonio Saez, D» Franciscó Caro, D. Juan Tomas de la Torre y D. Josef Rivas: á subtenientes de ba…</t>
  </si>
  <si>
    <t>NuñeZ, Pedro</t>
  </si>
  <si>
    <t>Pedro NuñeZ</t>
  </si>
  <si>
    <t>…íctor Cabeza de Vaca, D. Casimiro Salcedo, y D. Miguel González, del de Voluntarios de Avila; D. Francisco Herranz ,'D. Angel Díaz, y Don Vicente Tomes, del Provincial de Segovia; D. Pedro NuñeZ;, D. Manuel Calderón, D. Matías Frade, D.Francisco Antonio Ledesmá, y LF. Andrés .Muñoz, del primer Batallón de Ciudad-Rodrigo; D. Miguel Retámar, Don Juan Atienza, D. Isidoro Caballero* 0. Julián Avilé*, D¿! Juan Martin,</t>
  </si>
  <si>
    <t>Nuñez, Pedro</t>
  </si>
  <si>
    <t>Pedro Nuñez</t>
  </si>
  <si>
    <t>…lejo Gutiérrez de Rübalcava, D. Luís Moreno ,D. Ignacio Acedo , D. Antonio Miranda , Don Manuel Lobo , D. Joaquín Delgado , D. Benito Basabe, D.Márcos Guruceta, D. Roque Guruceta ,D. Pedro Nuñez , D: Tomas Urreclia, D. 'Joaquín Blan co oMaldoñádoy;D. - Tobías Blanco Cabrera, D. Francisco Labandeyra, Doh Andrés Fernandez Caballero y D. Diego Prieto. - ; Ascenso á capitanes de fragata á los tenientes de navio D. Ramón de Eulate , D. Tomas Cortés, D. Pe…</t>
  </si>
  <si>
    <t>Nuñez, Rambn</t>
  </si>
  <si>
    <t>Rambn Nuñez</t>
  </si>
  <si>
    <t>…e Dj Manucl de Yela. fuyjO último endosofecho en,Barcelona es á favo* de D.?Pcí^ro, Áyentin ,r y debió presentarse en Diciembre de 1806: otro de/150, pesos núrarig 1418 á favor oé D. Rambn Nuñez, y endosado á favor de A ventin, ídem: otro de 150 pesos núm.' 254396 á favor de D. José Pares,.y endo sado á,favor de, dicha Aventin. idem; y ademas otros papeles interesantes f dirigi dos i DV^ábfíérZava^ interesados á quienes pertenezcan acudirán á la di l…</t>
  </si>
  <si>
    <t>O-Donell, Josef</t>
  </si>
  <si>
    <t>Josef O-Donell</t>
  </si>
  <si>
    <t>…ñor, y con motivo de la desgraciada batalla de Castalia, que tuvo lugr.r en 21 -de Julio de aquel año, y fue dispuesta por eLóerieraí éngefe interino del segundo y tercer Exército D. Josef O-Donell, que se formase la competente sumaria y proceso sobre dicha acción, con otras, calidades.a que en aquella época da ban margen las circunstancias y el sistema que se habían propuesto. Verificada después de varios trámites-y ocurrencias la actuación del pro-* p…</t>
  </si>
  <si>
    <t>O-Farril, Ricar do</t>
  </si>
  <si>
    <t>Ricar do O-Farril</t>
  </si>
  <si>
    <t>…regados al escuadrón de dragones dé América lijo de aquella plaza; D. Ensebio Escudero, gobernador de Cuba ; D. Cárlós May nez, comandante general que ha sido del istmo de Panamá; D. Ricar do O-Farril, teniente coronel del regimiento darm¡líelas dé caballería de la Havana.; D. Indalecio González Socasa, comandante del batallón'de volun tarios disciplinados de Potosí; D.Tranciscó Ramonet, coronel agregado al regimiento de dragones de la Reina, nombrándole á…</t>
  </si>
  <si>
    <t>Óárlos</t>
  </si>
  <si>
    <t>…imiento» que pop apstepjcía'dp,1a jfceáí’, |6nj:a de/gobierno, compuesta de individuos de f estado de cabañeros, hijosdalgo de Madrid, del que es presidente el $ermo. ‘Se. Infante D. Óárlos» pe cantase una solemne misa en la iglesia de est^f.piadoso; asilo de caridad el. domingo 19 de Febrero , con Te Deum , salSeñprmptamifiesto , Ipqpe. tpdp se exécütó sin aparato ni ostenta— cíp4’fppr:.tlp9rtfljismqs niños, pero con, tal ternura y devoción, qu…</t>
  </si>
  <si>
    <t>Oave, Josef Felipe de</t>
  </si>
  <si>
    <t>Josef Felipe de Oave</t>
  </si>
  <si>
    <t>…ada per su. benéfica &gt;y amado Soberano Monarca, tcdos los,medios de ilmtjarse y engrandecerse. Siguió el profesor■» y al propio tiempo comisario de guerra de Fos Rea les exércitos D. Josef Felipe de Oave» exponiendo ios útiles establecimien tos que estaban al cargo de la sociedad » las ventajas que de esta nueva en señanza resulta rianaL estada» y la irtdsspénsablenecesidadque este tiene de &gt;a ciencia económica para k grande obra de la prosperidad pública; ha…</t>
  </si>
  <si>
    <t>Obispo, Franciscb Infante y</t>
  </si>
  <si>
    <t>Franciscb Infante y Obispo</t>
  </si>
  <si>
    <t>…elo patriótico en las urgencias pasadas; á las delicadas comisiones que ha desempeñado á satisfac ción del gobierno legítimo, y al mérito y valor poco común de su hijo el teniente coronel D. Franciscb Infante y Obispo, que murió gloriosamente en la batalla de Molins del Rey» El Rey nuestro Señor se ha servido resolver, por su Reai decreto de 30 de Junio de 1814 que se permita la feria de S. Marcos de la dehesa de San Benito, propia del marques de Miravel, conde de Berantev…</t>
  </si>
  <si>
    <t>Oca, Manuel Yebra y</t>
  </si>
  <si>
    <t>Manuel Yebra y Oca</t>
  </si>
  <si>
    <t>…D. Martin Ramírez de la Piscina, canónigo de la iglesia metropolitana de Burgos: para otra abadía de la Trinidad, dignidad de la catedral de Oren se , vacante por fallecimiento de D. Manuel Yebra y Oca, á D. Manuel Fontan , cora párroco de aquella diócesis: para el arcedianato de Baronceli, dignidad de la misma iglesia , vacante por muerte de D. Manuel Blanco San tos, á D. Josef Uraga, canónigo cardenal de la misma catedral: para el de Litnia, dignidad de l…</t>
  </si>
  <si>
    <t>Ocaña, AndreS Sánchez</t>
  </si>
  <si>
    <t>AndreS Sánchez Ocaña</t>
  </si>
  <si>
    <t>…u inteligencia y cuníplimiento en la parte que le foca. &lt;r: Dios guarde á V. muchos años. Madrid 31 de Mayó de 1815. El Réy nuestro Señor, eó atención á los méritos y servicios de Don AndreS Sánchez Ocaña, secretario de. S. M., con egercicio de decretos, y oficial de la se¿ret.aríá del despacho de Hacienda, se ha dignado concederle la plaza de fiscal del consejo ae Hacienda, que ha resultado vacante por fa llecimiento de D. Manuel Lartiga , libre del derecho d…</t>
  </si>
  <si>
    <t>Ocaña, Francisco</t>
  </si>
  <si>
    <t>Francisco Ocaña</t>
  </si>
  <si>
    <t>…ra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 Josef Valcárcel 'yRosique, D. Josef Gómez Arteche , D. Joséf Gutiérrez, D. Josef B en i tez Cafrípou ,D. Segundo Ulibarri, D. Miguel Párraga, D- Juan Am…</t>
  </si>
  <si>
    <t>Ocaña, Jacinto Sánchez de</t>
  </si>
  <si>
    <t>Jacinto Sánchez de Ocaña</t>
  </si>
  <si>
    <t>706 metropolitana, y*el beneficio simple Je S. Simón'de Nande,*en el arzobispa do de Santiago, que.vacQ por muerte de D. Francisco Domingo Antonio Fer nandez Buituron, á D. Jacinto Sánchez de Ocaña, én atención á la renuncia fque ha hecho, y le ha .sido admitida, de la canongía que obtiene en la cate dral de Coria. = Atendiendo al notorio mérito y virtud de D. Simón López, presbítero de la congregación del oratorio de S. Eelipe Neri de la ciudad de Murc…</t>
  </si>
  <si>
    <t>Ocaña, Marcelino García</t>
  </si>
  <si>
    <t>Marcelino García Ocaña</t>
  </si>
  <si>
    <t>Sán Miguel r para la de Yepes á O. Juan Guiltermo Monreal: £ara la de Al ba de Tofmes á D. Folicarpo Fernandez de Lorca: para la de Pedraza á D. Marcelino García Ocaña: para la de Peñaranda de Duero á' D. Agustín Monge: para la de Coca á D. Diego Henriquez: para la de Nava del Rey á D. Juan Antonio Bernal: para la de Utrera á D. Miguel de Salazar y Sandobal: para la de Aguilar del Rio Alhama á D. Juan Ricardo Lozoyo: pa ra…</t>
  </si>
  <si>
    <t>Ochterlony</t>
  </si>
  <si>
    <t>…e le ha causado la pérdida del mayor general Gillespie, quien manifestó un valor heroico. Tengo el honor &amp;c.= ír. H. Fagan* Cuartel general deLucknowo de Noviembre, de. 1814. „ El coronel Ochterlony con el destacamento de Ludheaneah se reunió con los cuerpos de la división en Rooper el 30 del pasado, y el 31 estaba en Plapea dispuesto á marchar á Nallaghur, que es la llave de los pasos principales que se dirigen á la posición de Ummer-Sing-Thanpah y á Mi…</t>
  </si>
  <si>
    <t>…o w, porque desde entonces nó había experimentado mas que desastres. Las gacetas de Calcuta contienen una relación circunstanciada de las ope raciones del egército de la India. El coronel Ochterlony tomó el 16 de Fe brero á Rangut por capitulación: la guarnición se componía de 150 hom bres; pero la posición del fuerte hubiera hecho muy difícil y sangriento el asalto. También ha evacuado el fuerte de Kojour? su guarnición, compuesta de 200 hombres. A cons…</t>
  </si>
  <si>
    <t>Oconar, Diego</t>
  </si>
  <si>
    <t>Diego Oconar</t>
  </si>
  <si>
    <t>…cción de los expedientes, librar exborros :á esta cpfte, á fin de que en ella se exámfiien ■ testigos y documentos, dando comisión efi debi da forma á este efecto á Tomas, Oconar, D. Diego Oconar y D. Mateo de Arroyo 5 quienes en virtud de esta comisión , que han aceptado, han se ñalado desde el'dia de Febrero próximo; para principiar las referidas diH&gt; iigencias la casa posada del expresado D. Diego Oqonar, situadaien La Icalle de la Salud, núm. 2, quárto principad, desd…</t>
  </si>
  <si>
    <t>Octavia, Bernardo</t>
  </si>
  <si>
    <t>Bernardo Octavia</t>
  </si>
  <si>
    <t>…• •• ^ La ración que ha vacado en la catedral de Osma por muerte de 0. Ge rónimo Prieto , y el? beneficio servidero de la villa de Caltañazor, que lo ha sido por fallecimiento ’de D. Bernardo Octavia, á 0. Est^baa García», cur# párroco del lugar de Almasaño. , ; f • r La media-ración vacante en la catedral dé Cuenca por muerte de DJuan ' Pablo Muñoz * D. Vicente Ailíon y Rivas. r „ . -. ^ La canongía que ha vacado en la Colegiata .de Baza por fallecimient…</t>
  </si>
  <si>
    <t>Odriozola, Josef</t>
  </si>
  <si>
    <t>Josef Odriozola</t>
  </si>
  <si>
    <t>…Goñi, 0. Tomas Murrietay 0. Felipe Agnado , 0. Dionisio Gil, Don Simeón de la Rosa, D. Gabriel'Solano, 0.' Juan Alverico, D. Ramón Narvaez, D. Salvador Gallard, 0. Lorenzo Zarate, D. Josef Odriozola, 0. Pe dro Fuenmayor, p. Juan de Dios Gil de Lara., D. Anastasio Navas, Don Manuel Rodríguez, 0. Fernando López, 0. Juan Sénovilla, 0. Santiago Pereira, D. Sabas Marín, D.1 Manuel dét Castillo * 0 Juiuin Benita,' 0. Jñari González deL Castfllo, D. Francisco J…</t>
  </si>
  <si>
    <t>Oftiz, Manuel</t>
  </si>
  <si>
    <t>Manuel Oftiz</t>
  </si>
  <si>
    <t>…onores .de intendentes de egército á los directores generales de Rentas D. Mateo G,il de Sola y D. Josef dé Imaz ¿ á Di Eugenio Domínguez, ministro He Real hacienda ‘de Menorca; á D. Manuel Oftiz, superintendente de la Real cása de moneda de esta corte; á D. Antonio López, ministro de hacienda mi litar de ésta plaza; á D. Francisco dé Iá Roca y Arredondo y D* Juan Jo sef. dé-Lesaca , contadores de la intéryencíon de la ^esorerja general ¿ y i Don Anto…</t>
  </si>
  <si>
    <t>Ogáiido-, Ambrosio Garcíá</t>
  </si>
  <si>
    <t>Ambrosio Garcíá Ogáiido-</t>
  </si>
  <si>
    <t>' f . 6i4 •• . , .. / cimiento de D. Ambrosio Garcíá Ogáiido-¿i Di; Jaeobó Antonio ¡Ferro. :J lía canongía de la colegial dé Junquera de-Anibiaí^n el obispado de'Orense, vacante por muerte dé * D* Baltasar: Totréira á D, Eraneisc© Amonio Sai¿ giieiro. ,uque, cura párroco deaIa vi{I&amp; de ^guita^ étt áqóéilá ' Xa canongíav…</t>
  </si>
  <si>
    <t>OI</t>
  </si>
  <si>
    <t>…illería Nikitin llegaron ayer á esta Ciudad. Séespéra él: 2 dé Jüriió alconde Barclay de Tolly y al teniente ge neral Digbitsáéh, cuártél-ín¥estre general dél égcrcito ruso * y al general OI* - • •' ■■■- — •' .1.</t>
  </si>
  <si>
    <t>Oimedllía, Josef</t>
  </si>
  <si>
    <t>Josef Oimedllía</t>
  </si>
  <si>
    <t>…de tenientes á los. subtenientes D. Luis Carrillo, D. Matías Blasco, 0. Francisco Villalobos *D. Josef Gar cía Malo, D. Sipnon ie Cárlos, 0, RafaelCisneros., 0. Joaquín Antíllon, D. Josef Oimedllía , 0. Luis.Cortey, 0. Manuel Montero., .0. Manuel Pío Moreno, D. Andrés Carbáileiro, B. Manuel de Mutiasy D. Angel Ruá?^Don</t>
  </si>
  <si>
    <t>Oiroya, Francisco</t>
  </si>
  <si>
    <t>Francisco Oiroya</t>
  </si>
  <si>
    <t>…letras. St hallará venal á 4 quartos el exemplar en la librería de Gila, calle de las Carretas.Retrato del Sr. Isidoro Mayquez, primer actor del teatro del Príncipe, pinta do por D. Francisco Oiroya, y grabado por D. Rafael Esteve. Se hallará en la libre ría de Quirós , frente á los Gremios, y en la de Gila, calle de las Carretas, á 4 rr* la estampa: se le ha añadido un nuevo verso. ———|¡ 11, -H II. » "" . lili 1 ' &lt;1 i&gt;M" ji EN LA IMPRENTA REAL.</t>
  </si>
  <si>
    <t>Ojea, Alejandro</t>
  </si>
  <si>
    <t>Alejandro Ojea</t>
  </si>
  <si>
    <t>…interior de esta ciudad, dirigiendo órdenes á las alarmas para que inmediatamente se reuniesen y concurriesen á cuanto se les ordenase, y despachando espresos al Mariscal de Campo D. Alejandro Ojea, Comandante general de la pro vincia de Tuy, para que viniese á encargarse del gobierno de este reino, se gún dije á V. E., y en efecto acaba de llegar, dejando ordenado cuanto conducía á la tranquilidad y defensa de su provincia. ,,Es imposible hacer una rel…</t>
  </si>
  <si>
    <t>Ojea, Martin Rodríguez</t>
  </si>
  <si>
    <t>Martin Rodríguez Ojea</t>
  </si>
  <si>
    <t>…ara la vara de Ubrique á, D. Julián Ruiz Marín: para la de Oiiva á D. Josef Fernandez Villamil: pa- , ra la ce Villafranca del Vierzo á D. Antonio Piernas : para la dé Rivadavia á D. Martin Rodríguez Ojea: para la de la Rambla á D. Antonio Hermida , Bascoas: para la de Belmonte á D. Josef Sánchez Cueto: para la de Saníúcar de Barrameda á D. Jacobo Vázquez García: para la primera de Córdo ba á SD. Josef García Leca: para la de Sigüenza á D. Juan Peynador y Pi n…</t>
  </si>
  <si>
    <t>Ojiva, Juan Campo y</t>
  </si>
  <si>
    <t>Juan Campo y Ojiva</t>
  </si>
  <si>
    <t>…lás Jorge de Arespacochagíi. En Córdoba...... D. Rafael de Mentís. . En Granada....... D, Francisco de Unzaga. En Badajoz........ D. Cáelos Sebastian Malagamba. En Pía senda...... D. Juan Campo y Ojiva. En Valencia.. D. Ramón Miiralles.</t>
  </si>
  <si>
    <t>Ola, Pedro</t>
  </si>
  <si>
    <t>Pedro Ola</t>
  </si>
  <si>
    <t>…por muerte de D. Luis Naryaez:, á P. Pedro Mar tínez Bellido1: para étra'Cahbñgía de la iglesia cólegiáf de Al faro, vacante por 'miuérté- ¿e! Ó. MáhnelpGáfées de - lois Fayos, á D. Pedro Ola no, capellán del régintiertto de! diagóñ^;dé'5Sóriá*: para una ración patrimonial de la igfé-* éatedraldfe T£r£zbfí£ yvácatítépór 'kUebimientode‘D&gt; Jüan^Hevnahdéz^^á</t>
  </si>
  <si>
    <t>Olaeta, Josef</t>
  </si>
  <si>
    <t>Josef Olaeta</t>
  </si>
  <si>
    <t>…n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 D. Francisco Alameda, D.. Tomas Gómez Qui janó, Don Joaquín Vial ,’D. Francisco Sirera, D. Ant…</t>
  </si>
  <si>
    <t>Olaeta, Josef Victoriano de</t>
  </si>
  <si>
    <t>Josef Victoriano de Olaeta</t>
  </si>
  <si>
    <t>…Joan Facón: para la vara de alcalde mayor de Ecija á D. Francisco Anaya y Villazan: para la de alcalde mayor segundo de Córdoba á D. Carlos Guerrero: para el de Miranda de Ebro á D. Josef Victoriano de Olaeta; para la de Antequera á D. Joaquín Tercero Gaseo i y para la de Sepulveda á D. Manuel FrutosPara ef corregimiento político* de la ciudad de Granada ¿ D. Juan de Campos y Molina: para el de Hellin á D. Josef Angulo: para el de Plasencia á D. Francisco»Xaviét V…</t>
  </si>
  <si>
    <t>Olano, Alonso Macías</t>
  </si>
  <si>
    <t>Alonso Macías Olano</t>
  </si>
  <si>
    <t>…surpador del trono. Habiéndose dignado S. M. admitir los donativos que hanhhecho D. Lá zaro Carvajal, asentista de varias brigadas de los Reales exércitos, de 580 reales'vellón, y D. Alonso Macías Olano, capellán de exército retirado, dé Su sueldo por entero, y el rédito desde 23 dé Junio'‘-de 1808 de uti capital de 44® reales vellón pertenecientes á la capellanía que goza, ha mandado que sé les den las gracias en su Reai nombre,y sé publique en la gaceta. E…</t>
  </si>
  <si>
    <t>Olarte, Simón de</t>
  </si>
  <si>
    <t>Simón de Olarte</t>
  </si>
  <si>
    <t>…esis de Tuy. Al mismo tiempo que el Rey nuestro Señor se ha servido admitir el do nativo de 913 fanegas de toda especie de granos, y 4446 rs. vn. en créditos, que ha hecho á S. M. D. Simón de Olarte, dignidad de la iglesia de Cuenca, ha tenido á bien mandar que se le den gracias en su Real nombré, y que se publique en la gaceta este rasgo de patriotismo y de amor á su Real Personal Cumpliendo la Real junta superior gubernativa de la facultad de Farma cia…</t>
  </si>
  <si>
    <t>Olasarra, Josef</t>
  </si>
  <si>
    <t>Josef Olasarra</t>
  </si>
  <si>
    <t>…o, al capitán D. Juan Malveche, á los tenientes D. Ma nuel Maya y D. Antonio Suarez, y al subteniente D. Antonio Rosada, del regimiento de Barbastro, al sargento mayor de milicias D. Josef Olasarra, al comandante accidental de artillería D. Antonio Riozo, al teniente del mismo cuerpo D. Agustín Rodríguez , á un pardo comandante del escuadrón de Gorrín, y al comandante Vargas del batallón de infantería. Todo lo quede-* vo ai superior conocimiento de V. E…</t>
  </si>
  <si>
    <t>Olavanxeta, Francisco López</t>
  </si>
  <si>
    <t>Francisco López Olavanxeta</t>
  </si>
  <si>
    <t>…es , llaman por el pre sente á todos los que tengan derecho á dicho pago para que acudan á mani festar sus documentos en el término de 30 dias fijos, contados desde esta fe cha, á D. Francisco López Olavanxeta, en la casa rinconada junto ai arco de S. Guiescuarto principal.</t>
  </si>
  <si>
    <t>Olave, Andrés de</t>
  </si>
  <si>
    <t>Andrés de Olave</t>
  </si>
  <si>
    <t>…Vicuña. D. Juan Francisco de la Quintana, residente en el valle de Mena, provincia de Búrgos, avisa á D. Manuel Pórtela, que en el año de 1796 tiene noticia resi día en Cádiz, y á D. Andrés de Olave , maestre que fue de plata del navio de S. M* el Argonauta , para que en el término de seis meses desde la publicación de este avi so acudan á él en debida forma para ventilar ciertos encargos interesantes que le dexaron confidencialmente los expresados Pórte…</t>
  </si>
  <si>
    <t>Olazagarre, Pedro Juan de</t>
  </si>
  <si>
    <t>Pedro Juan de Olazagarre</t>
  </si>
  <si>
    <t>…s á D. Gaspar Zurita, D. Ignacio Acha,D. Vicente Alzaybár., D. Josef Vareta y Montero, Barón de Gastellnou de Momech , Don Burges Camac, D. Josef Montenegro , D. Ventura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t>
  </si>
  <si>
    <t>Olgado, Gabriel</t>
  </si>
  <si>
    <t>Gabriel Olgado</t>
  </si>
  <si>
    <t>…. Santiago Otero, D. Andrés Floren, D. Juan Albelda, 0'. Manuel Michel, D. Francisco Arahgo, y D. Estéban López, del Regi miento de Mallorca; á D. Félix Llano, D. Gregorio Martin, D. Gabriel Olgado, D. Josef Mela, D. Felipe San Alberto, D. Pedro García de Várgas ,y D. Agustín Reviila, del de Voluntarios de Avila; á D. Pedro Doz, D. Ignacio Fuerte , D. Josef Gacet, D. Guillermo Dot, y D. José f Villar de Francos, del Provincial de Segovia; á D. Santiago…</t>
  </si>
  <si>
    <t>Olgiati</t>
  </si>
  <si>
    <t>…embaxada de S. M. cerca de la Santa Sede : Hendrik Vankempen, capitán de navio holandés, cónsul en Trípoli: Loeben, austríaco, coronel de huíanos : Wolchinson , caballero ingles: conde Olgiati, teniente coronel del regimiento de Asti. ESPAÑA. Tolosa 16 de Abril. Han llegado á esta ciudad sucesivamente dos correos despachados por Bonaparte con pliegos para el Excmo. Sr. D. Pedro Cevallos, primer secre tario de Estado; pero el Capítan general en cump…</t>
  </si>
  <si>
    <t>Olías, Andrés</t>
  </si>
  <si>
    <t>Andrés Olías</t>
  </si>
  <si>
    <t>…devilla, oficial que (ue del egérci to de Cataluña etTla guerra de 1794 * para comunicarle asuntos que le interesan. Los que lo sepan tendrán la bondad de participarlo en Madrid á D. Andrés Olías, sacristán de la parroquia de S. Martin; y en S. Feiiú de Guixols, en Cataluña, al P. D. Mauro Gras, teniente cura de aquella villa. En la catedral de Avila se hallan vacantes tres plazas de contralto, sochantre y salmista. Los que quieran obtenerlas dirigirá…</t>
  </si>
  <si>
    <t>Olias, Juan García de</t>
  </si>
  <si>
    <t>Juan García de Olias</t>
  </si>
  <si>
    <t>…io Baradat, del de la de Salamanca, y abogado de los Rea les Consejos; el Lie. D. Francisco de Sales Hernández de A riza, abogado, y teniente del Real cuerpo de Zapadores; el Lie. D. Juan García de Olias, abogado de los Reales Consejos, y D. Joaquín del Castillo, obtuvo el per miso de felicitar á S. M. y besar su Real mano; y el primero de dichos se ñores pronuncio el siguiente discurso: „Señor: vuestra Real academia de derecho civil, canónico y patrio, con e…</t>
  </si>
  <si>
    <t>Oliva, Juan Campo y</t>
  </si>
  <si>
    <t>Juan Campo y Oliva</t>
  </si>
  <si>
    <t>…J 1 'i En Córdoba,..!..... t&gt;. Rafáel de Mentís. ' *'/ En Granada,...... D« Francisco dé Unzáea. / ' /' m-é J En Badajoz...... . D. Carlos Sebastian Malagamba. En Plaséncia...... D. Juan Campo y Oliva* En Valencia........ D. Ramón Miralles. En Avila.d...:...... D. Manuel palomares. Én Guqddlajara. D. Joaquín Veladiéfc. Eti TáiedoJ.......... D. Francisco Perez. En Murcia........ D. Josef TJbach. En Oviedo:.lD. Juan Pérez. En Ciudad*Real. D. Mateo Casado y R…</t>
  </si>
  <si>
    <t>…Jorge de Arespacochaga. JEn Córdoba......... D. Rafael de Mentís. Mn Granada..... .. D. Francisco de Unzaca. JEn Badajoz.,»......D. Garlos Sebastian Malagamba» JEn Pldsencia.......D. Juan Campo y Oliva. Mn Valencia..... . D. Ramón Miralies. Mn Avila............. D. Manuel Palomares. JEn Guadalajara. D. Joaquín Veladiez. Mn Toledo D. Francisco Peréz.. ■ Mn Murcia.......... D- Josef Ubach. t Mn Oviedo?........... 3XJuan Pérez. Mn Ciudad-Real. D-. Mateo Casado…</t>
  </si>
  <si>
    <t>Oliva, Manuel</t>
  </si>
  <si>
    <t>Manuel Oliva</t>
  </si>
  <si>
    <t>459 Plasencia, vacante por maerte de D. Manuel Oliva, á D. Benito Rubio de Bocanegra, debiendo de habilitarse con la competente di pensa para su ob tención por el impedimento de bigamia: para una media- ración de la igle sia catedral de Segovia, vacante pór fallecimiento de D** Joan Sánchez,"á D. Policarpo de l…</t>
  </si>
  <si>
    <t>Olivar, Gabriel</t>
  </si>
  <si>
    <t>Gabriel Olivar</t>
  </si>
  <si>
    <t>•Y-: - ■ ' /' - 1 . L 62^ _ • nip de Lema, D. Jijan Vigodet, Dv Josef Ruiz dé Apodápa* D. Francisco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t>
  </si>
  <si>
    <t>Olive, Josef Felipe de</t>
  </si>
  <si>
    <t>Josef Felipe de Olive</t>
  </si>
  <si>
    <t>…8 de Abril últi— mo por el Excmo. Sr. D. Pedro Cevallos, primer secretario de Estado, por la cual, conformándose S. M. con lo informado por la sociedad en orden á una solicitud de D. Josef Felipe de Olive, para, que se trasladase á esta cor te la cátedra de economía política embleíckbt y i desempeñada por éí nmmo en la ciudad de Murcia , se babiadígnadó retolvería erección dedicha cá» ledra, siendo su Real voluntad que desde luego procediese la sociedad á su e…</t>
  </si>
  <si>
    <t>Oliver, Miguel</t>
  </si>
  <si>
    <t>Miguel Oliver</t>
  </si>
  <si>
    <t>…Francisco de Oña, D.. Francisco Antdhio Líbref ; D. Joaquín MuezVD. Juan Ignacio*Cervera, D. Salvador Ce bollino, D. Ventura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 Josef Valcárcel 'yRosique, D…</t>
  </si>
  <si>
    <t>Olleros, Pedro Antonio</t>
  </si>
  <si>
    <t>Pedro Antonio Olleros</t>
  </si>
  <si>
    <t>…uel Anselmo Enderica, á D. Francisco Sainz de Escalona, con dimisión del arcedianato de Medinaceli que obtiene en la de Sigüenza ; y para esta resulta á D. Melchor de Valdivielso. D. Pedro Antonio Olleros, hijo y compañía, fabricantes de paños y ve cinos de la villa de Béjar, provincia de Salamanca, han puesto por vía de donativo á disposición del Rey nuestro Señor un crédito de 92941 rs.; y habiéndose dignado S. M. admitirlo, ha mandado que en su Real nombre…</t>
  </si>
  <si>
    <t>Olmedilla, Francisco Ulloa y</t>
  </si>
  <si>
    <t>Francisco Ulloa y Olmedilla</t>
  </si>
  <si>
    <t>…egún lo estaba ea Véláño de 1808, mandándo que sea él solo director de este ramo. * En'consideración á los buenos y dilatados servicios hechos en la cartera de la magistratura por D. Francisco Ulloa y Olmedilla, oidor de la cliancillería de Valladolid , y á su muy avanzada edad, se ha dignado S. M. con cederle los honores del consejo de Ordenes, cédula de preeminencias, y 6® reales anuales sobre el süeldo que en la actualidad disfruta. N Igualmente , en consideració…</t>
  </si>
  <si>
    <t>Olmedo, Juan</t>
  </si>
  <si>
    <t>Juan Olmedo</t>
  </si>
  <si>
    <t>…ia. La persona'que su piere de él se servirá avisarlo en Madrid á su madre Doña María Caba?, callé de lá Encomienda,.núm. 8, cuarto principal, frente de la imprenta, ó en Málaga á Don Juan Olmedo, boticario de S. M. Se desea saber el paradero de D. Francisco Gofliale?, caplttn de la segundé compañía del primer batallón, infantería ligera de Jos voluntarios de Aragón, qué iiie ascendido á este empleo por el Excmo, Sr. D. Josef Paiafox en iq de Octubre…</t>
  </si>
  <si>
    <t>Olmo, Frandsco</t>
  </si>
  <si>
    <t>Frandsco Olmo</t>
  </si>
  <si>
    <t>…, D. Antonio Acosta, D» Francheo Menduiña, D. Julián Senessens^iD* Josef AraüjoyD. Antonio Rute, D. Manuel Santander, D. Josef Domínguez , D. Josef!Montero y D. Pedro .Trasierra , D. Frandsco Olmo:,* Don Fermí n Meneos^ «Dv VénturaiRiesco ,D. Josef Muñoz § D. Luis Gorrichátegui, B; Joaquín Arbizu, D. Francisco Bravo, D. Josef Ausejo, B. Ramón Espona, D. Fráncisco Victoríno, D. Pedro Lechuga, D. Manuel Aramburu, D. Ramón Vinader, D. Antonio Fons ,D. Lor…</t>
  </si>
  <si>
    <t>Olmo, Manuel Vela y</t>
  </si>
  <si>
    <t>Manuel Vela y Olmo</t>
  </si>
  <si>
    <t>…ipaljfreme:ála casa del'conde de las Tórrés.vir \ Habiéndose \ extraviado unegempfer de laobrajtituladacl aliña al pie del caU vario en dos tomos en 8.°, traducida del francés por D. Manuel Vela y Olmo, y . que llevaba al fin de cada tomo la licencia correspondiente para su reimpresión, el dueño de ella lo advierte á los invprcsores de.esta corte;.y demas del reino para que 10 detengan si llegase á sus manos, avisando .a D. Cesáreo Novillo, del comercio ‘áé…</t>
  </si>
  <si>
    <t>Olmovun, Manuel Vela y</t>
  </si>
  <si>
    <t>Manuel Vela y Olmovun</t>
  </si>
  <si>
    <t>…Es teban Boiitelou robras entrambas nó menos recomendables y útiles que la anterior. ~Móyséi considerado" cómo legislador y moralista , por Mr. de Pastoret: traduc ción postuma de D. Manuel Vela y Olmovun tomo en 4.0 Se hallará en la libre ría de Olleja, calle de las Carretas, frente á la imprenta Real. ~ . • Escuela completa de mútica: sistema fundado en 1a naturaleza, en la experien cia délos mejores:.‘profesores, y en las observaciones de los filosofas mas?…</t>
  </si>
  <si>
    <t>Olorrian, Josef</t>
  </si>
  <si>
    <t>Josef Olorrian</t>
  </si>
  <si>
    <t>…ado 1®. Otro ídem 6®. La Sra. marquesa de Fuerte* Hijar 400. D. Josef Píngallo 600. La testamentaría de D. Francisco Muñoz y Martínez 3®. D. Josef Quintero 150 cucharas de madera. D. Josef Olorrian 150 cazuelas de madera. El dueño de la fonda de Malta 3320 rs.vn. Una ersona que ha ocultado su nombre 718 varas de lienzo para sábanas. La xcma. Sra. condesa deBenavente 6® rs. vn. Un bienhechor 1180 La Excma.S Sra. condesa de Sástagó 1®, y ademas mantiene q…</t>
  </si>
  <si>
    <t>Olsoufieff</t>
  </si>
  <si>
    <t>…. ——. Ciento veinte piezas de cañón; - *-’.r Cuarto cuerpo de exército, general Raessky.— 11.a división de infante ría, mayor general FuilenefF.—. 17.a división .id»., el teniente general Olsoufieff.___3.a división de húsares, teniente general Ezaplitz.»__ Ochenta y quatro cañones.. . i . ■.»; ...• &gt; v; Ouinto cuerno de egército, general Lacketl._ 12.* división de infantería;*■ 1 u ' u general el conde Woronzóff.-i-15 .a división id.,í teniente general M…</t>
  </si>
  <si>
    <t>Ompteda</t>
  </si>
  <si>
    <t>…a qual brigada la manda el general sir, Colín Halkett), de la segunda brigada de la legión alemana dei Rey (for mada del i.° y 2.0 ligero, el.5 0 y 8.^ de línea, á las órdenes del coronel Ompteda), y de una brigada de hanriovériános. 1 Lá! Cuarta cfiylslnj^ lá mandará ■ hasta nueva orden elmayor general sir E. Dehiñnber,‘ de la legión alemana del Rey, y se compondrá dei las brigada! cuarta y sexta (á saber: él tercer batallón del 1 fy.9 áipie, él prim…</t>
  </si>
  <si>
    <t>…de $. A. R. del teniente general S. H. Clinton, del mayor general Adam , del teniente general Carlos, barón Alten, gravemente herido, del mayor general S. Colín Halket, ídem, del coronel Ompteda* del dé la misma graduación Mitchell, comandante de una brigada de la cuarta división, de los mayores generales S. J. Kempt , S. D. Pack , Lambert, lord E. Somersef, S. W. Ponsomby, S. C. Grant, S. H. Vivían, S. U. Vandeleur y conde Dornberg. Es toy muy parti…</t>
  </si>
  <si>
    <t>Omulryam, Ignacio</t>
  </si>
  <si>
    <t>Ignacio Omulryam</t>
  </si>
  <si>
    <t>…tente acción de gracias por los señalados favores que se ha servido dispensar al establecimiento, colmándolos todos con el de su augusta concurrencia. El limo. Sr. vice-presidente D. Ignacio Omulryam, del consejo y cámara de S. M. en el supremo de Indias, que por haberse retirado el Excmo. Sr. presidente por sus urgentes atenciones •cupo su asiento, cerró la sesión nombrando los individuos para la diputa ción sobredicha; y los quales presentados por S. I.…</t>
  </si>
  <si>
    <t>Oña, Francisco de</t>
  </si>
  <si>
    <t>Francisco de Oña</t>
  </si>
  <si>
    <t>…Joaquín Ayestáiran, D. Vicente Ordoño, D. Raymundó de Unzaga, D. Manuel Arangu, d: Vicente Agreda , D. Manuel Jones, D. Joaquin Henriquez, D. Isi dro de Diego, D. Silverio López, D. Francisco de Oña, D.. Francisco Antdhio Líbref ; D. Joaquín MuezVD. Juan Ignacio*Cervera, D. Salvador Ce bollino, D. Ventura Córdoba, D.Í Patricio 5alanueva, D. Pedro de la Torre, D. Miguel Oliver, D. Pascual Menacho, D. Cárlos Teodoro,Gil, D. Claudio Vinuesa, D. Juan Qüirant…</t>
  </si>
  <si>
    <t>Oñate</t>
  </si>
  <si>
    <t>…as buenas costumbres: un tomo t en 8.° á 7 rs. en pasta. Se hallará en la librería de Éáylo, calle dé las Carretas. ! En el almacén de estampas, calle-Mayor , frente á la casa del conde Oñate, se hallan de venta dos estampas nuevas de la Virgen del Carmen y S. Rafael, dibuja das por D. Vicente López, pintor de cámara de S. M., y grabadas por D. Fran- . ciscó’Jordíirtj én cuartilla de marca mayor á 4 rs. cada una: se hallan también otíás “rifiichás…</t>
  </si>
  <si>
    <t>Ondarza, Manuel de</t>
  </si>
  <si>
    <t>Manuel de Ondarza</t>
  </si>
  <si>
    <t>…e Galicia: para la pri mera de las dos plazas del consejo Real, mandadas consultar últimamente, á D. Juan Benito Hermosilla, Regente de la audiencia de Oyiedo, y para la segunda a D. Manuel de Ondarza, Regente de lá de Sevilla: para la Regen cia dé Astúrias á D. Miguel Antonio Blanes, Oidor de la audiencia de Gali cia: parala de Sevilla á D. Torcuato Antonio Collado: para la fiscalía de lo civil de la misma audiencia de Sevilla á D. Francisco Gómez Fernand…</t>
  </si>
  <si>
    <t>Onsetey, Gore</t>
  </si>
  <si>
    <t>Gore Onsetey</t>
  </si>
  <si>
    <t>…ey el .siguiente oficio: . „ En el nombre de Dios, cuya gloria és ¡mas excelsa que todo¿ \ t ií Es ñuéstrá alta voluntad que nuestro; buen amigo el digno y providen* tísiino señor caballero Gore Onsetey , ministro plenipotenciario de S. M. eb rey de la Gran Bretaña, sepa qrie ha merecido toda nuestra alta aceptación el libro del evangelio, el qual, con el estudio y laboriosidad del ya difuntos sabio Enrico Martino', fue traducido en idioma persiano, y que él…</t>
  </si>
  <si>
    <t>Ontiveros, Felipe</t>
  </si>
  <si>
    <t>Felipe Ontiveros</t>
  </si>
  <si>
    <t>…lla .de Pozuelo del Rey se halla de venta la botica única que hay en ella, y de la que se surtía el pueblo: esta tasada en 4500 rs. vn. Los que quieran tratar de ajuste acudirán á D. Felipe Ontiveros, que vive en esta corte calle de Silva, núm. 2. . * Vícente Estelles y Lloren, natural de Gpdella v soldado dé Reales guardia Espa ñolas de Ja cuarta compañía del tercer batallón, fue hecho prisionero en Valencia ■f conducido á Francia. Deseando su familia sa…</t>
  </si>
  <si>
    <t>Óonstans, Juan Pablo</t>
  </si>
  <si>
    <t>Juan Pablo Óonstans</t>
  </si>
  <si>
    <t>…los Carabancheles, én el arzobispado de Toledo. = El arcedianato de Alpuente , en ía Catedral de Segorve, vacante por promoción de D. Ventura Jo-" sef Masmirja al dé Llobregat ; á D. Juan Pablo Óonstans, canónigo de Urgel. =Una de las tres canongías que hay vacantes én la iglesia metropolitana de! Tarragona á D. Josef Cañellas y Prats , deán de la villa de Montblanch y sií partido., en la propia diócesis. = La canongía vacante en la colegiata de Ante quera p…</t>
  </si>
  <si>
    <t>Oqonar, Diego</t>
  </si>
  <si>
    <t>Diego Oqonar</t>
  </si>
  <si>
    <t>…o 5 quienes en virtud de esta comisión , que han aceptado, han se ñalado desde el'dia de Febrero próximo; para principiar las referidas diH&gt; iigencias la casa posada del expresado D. Diego Oqonar, situadaien La Icalle de la Salud, núm. 2, quárto principad, desde las quatro hasta lasaste té de da ítarde. Por tanto, el coronel Í&gt;í Francisco Caballero Sarmiento, ddtóftiana* do por parte de S. M. para activar éstos asuntos, y hacer1 executat1 las Mili» ge…</t>
  </si>
  <si>
    <t>Oquendo, Miguel de</t>
  </si>
  <si>
    <t>Miguel de Oquendo</t>
  </si>
  <si>
    <t>…o, el retrato de nuestro amado Soberano Fernan do vii siendo Príncipe de Asturias, el de Magallanes, los de los heroes de nuestra marina D. Mateo de Laya, Tjuán Sebastian Delcano, D. Miguel de Oquendo, y otro D. Miguel de Oquendo , y en fin todas sus demas obras de grabado, de que Jos primeros profesores y aficionados á Selma formaron y conservan una exquisita colección, manifiestan el aprecio1 que han hecho y hacen de este célebre español. Por el- mismo c…</t>
  </si>
  <si>
    <t>Ordoñcz, Juan Nepomuceno Cascallana y</t>
  </si>
  <si>
    <t>Juan Nepomuceno Cascallana y Ordoñcz</t>
  </si>
  <si>
    <t>…y abad mayor de la insigne iglesia cole-r gial de dicha villa el Dr. D. Luis María Esquivel, y acabada se cantó un so lemne Te Deum. A continuación volvió á tomar el retrato el Dr.D. Juan Nepomuceno Cascallana y Ordoñcz, rector de la universidad, y se dirigió con el claustro y convidados á la sala recroral entre los vivas y aclamaciones de uii inmenso pueblo, que no cesaba de victorear á su Soberano. Alli permaneció el retrato todo este día y noche con sus respectivas guardi…</t>
  </si>
  <si>
    <t>Ordoñez, Manuel</t>
  </si>
  <si>
    <t>Manuel Ordoñez</t>
  </si>
  <si>
    <t>…brigadieres subinspecto res de artillería en los departamentos ae Filipinas, Lima y Caracas á los coroneles de dicha arma D. Josef Ponce, D. Manuel Llano y D. Francisco del Pino. D. Manuel Ordoñez, capitán del regimiento provincial de Toledo, y D. Alejandro Merino, regidor perpetuo de dicha ciudad, alcaldes de su San ta y Real hermandad vieja, y lugar-tenientes del Sermo. Sr. Infante Don Carlos María, han puesto á disposición de S. M. 15® rs. en metáli…</t>
  </si>
  <si>
    <t>Órdoñez, Pedro</t>
  </si>
  <si>
    <t>Pedro Órdoñez</t>
  </si>
  <si>
    <t>…á saber, en Abrjl , Agosto, y Diciembre. Se admiten memoriales“de pretendientes .hasta eí dia ai del. corriente mes. de .Agosto, los que se dirigirán al escribano deayuntair.into. D. Pedro Órdoñez, natural de Burgos, salió de esta ciudad y casa de sus padre* drspues del año de 1810 con objeto de incorporarse á un egército ó partida de guerriUü para defender la patria; y no sabiéndose actualmente su existencia y para dero, se suplica al que le^ sepa lo…</t>
  </si>
  <si>
    <t>Ordoño, Vicente</t>
  </si>
  <si>
    <t>Vicente Ordoño</t>
  </si>
  <si>
    <t>…D. Sisto Fajardo, D. Ma-„ miel Fernandez 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 Oña, D.. Francisco Antdhio Líbref ; D. Joaquín MuezVD. Juan Ignacio*Cervera, D. Salvador Ce bollino, D…</t>
  </si>
  <si>
    <t>Orejas, Juan</t>
  </si>
  <si>
    <t>Juan Orejas</t>
  </si>
  <si>
    <t>…igo, D. Domingo Chaves y D&lt; Fernando Mateos Mettdez : á los de los batalló-»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Eulogio González, D. Manuel Lúeas, D. Cristóbal Martin, D. Joaquín Serrano y D. Amoni…</t>
  </si>
  <si>
    <t>Orejón, Domingo</t>
  </si>
  <si>
    <t>Domingo Orejón</t>
  </si>
  <si>
    <t>…mayores D. Francisco María Fernandez ,B. Garlos LanzaroteyDofli Miguel Sánchez Barriga, D. Antonio G o va otes, D. Antonio Saliquet,Don Joaquín Escamez, D. Josef García Aparicio, D. Domingo Orejón * D. Joa** quin Casasola, D. F rancisco Javier de Cia, D¿ Manuel de' la Cruz;, .Di Cárlos Viü&amp;padierna^ D- Bernabé Arjranz^ D* Juair derMetidie^í.1^. Aatóriioíde Castro y Tovar, D. Josef 01mo,D. Juan de Arcos ,D.Pedro Recaudo!,pon Miguel Rabe, D. Antonio Jose…</t>
  </si>
  <si>
    <t>Orihuela, Josef López</t>
  </si>
  <si>
    <t>Josef López Orihuela</t>
  </si>
  <si>
    <t>…subtenientes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Campuzano, gobernador de las aduanas de Cantabria, ha venido S. M. en conce derle les honores del consejo de Hacienda. El Rey nuestro Señor se ha servido conceder á D. Pedro Andrés Ponrret, ca…</t>
  </si>
  <si>
    <t>Orive, Tomas</t>
  </si>
  <si>
    <t>Tomas Orive</t>
  </si>
  <si>
    <t>…uan Brayo, D. Josef González Merino, D. Joaquín Aguado , Bou Ramón Palacio, D. Josef Meneses , D. Antonio Riosoto , 0. Manuel Monde* toro, D. Manuel Crespa, D. Luis María Sarasti, D. Tomas Orive, 0. Ma« jnuel Cayaleri , D. Agustín del Barco, D. Francisco Andrada, D. Juan Ltí« »ás,D. Joaquín ALvarez Maldbnado, 0. Rodrigo Sánchez Airona, D. RaU* hiel Arango, D. Lean. Grl de Palacio, D. Joaquín Villaba, 0. Antonia ¡Sén quera, 0. Manuel Zacates, D. Pedro…</t>
  </si>
  <si>
    <t>Orloíf</t>
  </si>
  <si>
    <t>…5.a Berlín, 6.a Stettin, 7.a Magdeburgo, 8.a Munster, y.a Colonia, 10.a Dusseldorf. Estas capitales serán la residencia del gobierno. * FRANCIA. ~ Ifanci 8 de Julio. ■ El coronel conde Orloíf ha salido hoy con dos regimientos á recorrer los</t>
  </si>
  <si>
    <t>Orousko</t>
  </si>
  <si>
    <t>…ídem,teniente general Rolh. „ 2.a di visión de coraceros', teniente general fKretoff.-í-i. 3.adivision id. 4 teniente gene ral Dauka.___2.a división de huíanos, teniente general, conde Orousko.——3.a</t>
  </si>
  <si>
    <t>Orozco, Fernando</t>
  </si>
  <si>
    <t>Fernando Orozco</t>
  </si>
  <si>
    <t>…cuerpo de Guardias de su Real Persona. Grados de tenientes coroneles, a los subrtgadieres D.Luls Fernandez Li nares , D.'Miguel Santiago, D. Benito Vallejo, D. Bernardo Cantero', Don Fernando Orozco, D. Julián Cano, D. Alfonso Leiva, D. Manuel Martínez de Velasco y D. Francisco Vaca: á subrigadieres del cuerpo al cadete Don Luis del Panva Cadétés supernumerarios á los guardias DV Ráfaél de Córdo ba y D. Josef Ponce de León i á tenientes vivos y efectivos…</t>
  </si>
  <si>
    <t>Ortega, Casimiro Gómez</t>
  </si>
  <si>
    <t>Casimiro Gómez Ortega</t>
  </si>
  <si>
    <t>…e, ademas de varios remedios adoptados en la práctica de los mas insignes cirujanos, todas las principales recetas de los hospitales dé Inglaterra: traducida del ingles por el Dr. D. Casimiro Gómez Ortega , boticario mayor honorario de S. M., y médico honorario de su Real Cá mara: un tomo,en 8.° en pasta áii rs. n Compendio del tratado del célebre Duhamíl dii Monceau sobre siembras y plantíos de árboles, y de su cultivo, p medios de multiplicar y criar áiboles…</t>
  </si>
  <si>
    <t>Ortega, Casimiro Gómez de</t>
  </si>
  <si>
    <t>Casimiro Gómez de Ortega</t>
  </si>
  <si>
    <t>…, ademas de varios remedios adoptados en la practica de Jos mas insignes cirujanos, todas las principales receta* de los hospitales de Inglaterra: traducida del ingles por el t&gt;r. D. Casimiro Gómez de Ortega: segunda edición * corregida.. y .enmendada: en 8.°. pasta en la librería dp eja , ca le deb ías Carretas. La rapidez con que se han despachado los muchos .egemp ares de la primera edición, y el anhelo con que se piden después de consu•n!¡ . P°r nucv°s 1compr…</t>
  </si>
  <si>
    <t>Ortega, Felipe Díaz de</t>
  </si>
  <si>
    <t>Felipe Díaz de Ortega</t>
  </si>
  <si>
    <t>…ipal, y en Búrgos á D. Joaquín Quintano, quienes informarán de sus cualidades y precio. Cualquiera persona que tenga algún crédito activo ó pasivo con la testamentaría del difunto D. Felipe Díaz de Ortega, regidor que fue de la ciudad de Búrgos, teniente coronel de su regimiento de milicias, caballero pensionado de la Real y distinguida orden de Carlos in, é intendente de la provincia de Valladolid de Mechoacan, criel reino de Mégicó, en donde falleció el año…</t>
  </si>
  <si>
    <t>Ortega, Francisco de</t>
  </si>
  <si>
    <t>Francisco de Ortega</t>
  </si>
  <si>
    <t>…les tierra cal ma de riego con olivos, pago de Vicuña, Máracena. ALMERIA. Capellanía de Dóqa Bernarda García Dueñas. Tercera párr te un molino harinero en,lá Vega. , Capellanía de D. Francisco de Ortega. Una hacienda de riego en Benádüx. Capellanía de D. Rodrigo Marín de la Ala. Dos bancales de tierra en id., Vega, Viator, Capellanía de D. Miguel Mendez y Doña Catalina Bascas. Cinco casas pequeñas frente del hospital , Almería'. Séptima s parte de los bienes…</t>
  </si>
  <si>
    <t>Ortega, Gerónimo</t>
  </si>
  <si>
    <t>Gerónimo Ortega</t>
  </si>
  <si>
    <t>…&lt; V: Vi' &gt; y. ~ La estraccion se egecbtará en la ciudad :de Zaragoza el día 12 de Noviem bre del presente año ; y se hallarán, las cédulas de venta en esta corte en la librería de D. Gerónimo Ortega, calle de las Carretas, frente á la botillería. Para que los pueblos y. particulares de este reino que se crean acreedores contra el gobierno británico por seministros ó daños resultantes del tránsito y permanencia de las tropas inglesas en el territorio espa…</t>
  </si>
  <si>
    <t>Ortega, Josef Gutierez</t>
  </si>
  <si>
    <t>Josef Gutierez Ortega</t>
  </si>
  <si>
    <t>…an Manuel Bedoya: para la dignidad de chantre de la iglesia cate dral de Patencia, que resultará vacante por promoción de D. Gregorio Ceruelo de la Fuente al obispado de Oviedo, á D. Josef Gutierez Ortega, cu ra de la parroquia de S. Nicolás de la ciudad de Valladolid: para otra dig nidad titulada del Salvador eri la propia catedral de Patencia, que resultará vacante por promoción dé D. F.amon Valdés y Llanos á la maestrescolía de la de Oviedo, á D. Antonio Vi…</t>
  </si>
  <si>
    <t>Ortega, Josef Julián de</t>
  </si>
  <si>
    <t>Josef Julián de Ortega</t>
  </si>
  <si>
    <t>…á D. Joaquín Bernad y Vargas: para el de Ecija á D. Agustín Guaxardo y Faxardo; y para el de Murcia á D. Manuel Deñamayor y Echavarri. Para el corregimiento de letras de Linares á D. Josef Julián de Ortega: para el de Anduxar á D. Juan Bautista Aiberola: para el de Olmedo á Don Gil de S. Juan Benito: para la vara de alcalde mayor de Málaga á D. Vicen te de Tormo y Pont: para la de la Isla de León , de tercera ó superior clase, á D. Ignacio Yañez Rivadeneyra; y…</t>
  </si>
  <si>
    <t>Ortega, Juan Manuel de</t>
  </si>
  <si>
    <t>Juan Manuel de Ortega</t>
  </si>
  <si>
    <t>…ero provincial de Lo groño, que fue hecho prisionero en Cataluña. La persona que supiere de su falleci miento ó existencia se servirá comunicarlo en Viguera, partido de Logroño, á Don Juan Manuel de Ortega. Se desea saber de D, Prudencio de Egea, natural de la villa de Arceniega, pro vincia de Alara, que saliótde Madrid en el año de 1808 para la ciudad de Avila, de donde se ausentó, y no se ha sabido mas de él. Qualesquiera persona que tenga noticia de su parad…</t>
  </si>
  <si>
    <t>Ortega, Juana</t>
  </si>
  <si>
    <t>Juana Ortega</t>
  </si>
  <si>
    <t>…á v! de orden de S. M. para su inteligencia, circulación y cumplimiento. Dios guarde á V* muchos años. Madrid 30 de Noviembre de 1815. 2.a Con motivo del expediente promovido por Doña Juana Ortega, viu da en segundas5 nupcias del Brigadier D. Ambrosio Villava , • Comandante que fue del Batallón ligero de Cazadores de Teruel y Áibarracin, y murió en clase de prisionero de guerra en Francia, en solicitud de pensión en el Monte pió militar; se ha servido…</t>
  </si>
  <si>
    <t>Ortega, Pedro Casillas y</t>
  </si>
  <si>
    <t>Pedro Casillas y Ortega</t>
  </si>
  <si>
    <t>…esta satisfacción, -pues cuando llegó S. M. se había retirado y ay ¡ : . . . ' • ARTICULO DE OFICIO. ... Para la vara^ de alcalde mayor, de lá ciudad de Ronda lla nombrado S.M^ á D. Pedro Casillas y Ortega , relator de la sala del crimen de la áudiencis| de Sevilla: para la de Almansa á. D. Abdon Baena y Ramos: para la de Za mora á D. Mariano Milla Fernandez : para la.de Valderas á Di Ramón An gel de las Cuevas: para la de Huesear de Baza á D. Cristóbal Benitez…</t>
  </si>
  <si>
    <t>Ortega, Ramón</t>
  </si>
  <si>
    <t>Ramón Ortega</t>
  </si>
  <si>
    <t>…de disgustos y trabajos se entregase á estos regocijos, olvi dándose de lo pasado». En efecto, á las dos de latarcfedel mismo dia 13 eo la antigua torre de santa María los señores D. Ramón Ortega,, intenden te corregidor; D. Josef Iñigo de Angulo; D. Francisco Fernandez de Castro, marques de Barrio Lucio, y coronel de caballería de los Reales exérciro:; D. Juan Amonio Barona y D. Josef León de Madrazb , montero de cámara de S. M.; regidores perpetuos…</t>
  </si>
  <si>
    <t>Ortega, Ramón Alonso</t>
  </si>
  <si>
    <t>Ramón Alonso Ortega</t>
  </si>
  <si>
    <t>…por muer te de D. Josef Antonio Balaguer á D. Pedro Espinosa , canónigo ¡ de' la der Huesca. = La canongía vacante en la catedral de Huesea por fallecimiento de D. Pascual López á D. Ramón Alonso Ortega, cura de lá parroquial de Val depeñas de la Sierra, arzobispado de Toledo.=La canongía que ha resultado* V/S í'O IA. traslación de IX Tosef Antonio Díaz vtttdiu^cu &lt;a wuiwgiaia de lria Flavis por i _ Pallaras á canongía de Mondoñedo á D’. Pedro Cárdenas y Mor…</t>
  </si>
  <si>
    <t>Ortiz, Josef</t>
  </si>
  <si>
    <t>Josef Ortiz</t>
  </si>
  <si>
    <t>…en 4.0 marqu.tlla con el re trato del Santo. Se hallará á 20 rs. en rústica y 28 en pasta en la librería y alma cén de papel de Opmez, calle de. las Carretas. ‘ Respuesta del Dr. D. Josef Ortiz, deán de la insigne iglesia colegial de la ciu dad de Xátiva, £ la carta que le dirigió el Dr. Henríque Palos y Navarro, eb I« cual le nota algunos errores en su descripción del teatro sagunt¡no: un cuaderno en 4.0 Se hajUará en la librería de Hurtado, calle…</t>
  </si>
  <si>
    <t>Ortiz, JoseF Alonso</t>
  </si>
  <si>
    <t>JoseF Alonso Ortiz</t>
  </si>
  <si>
    <t>…guarde k V.! muchos anos. Madrid iS.de Abril de tSi f. . ¿ . *, . ■1 1 * • r * *. ’ í í I ; •' 3 .'' • V , ■ ‘ ■ En ‘atención á íos distinguidos- méritos y señalados servicios de D. JoseF Alonso Ortiz , cónsuí general de España en Londres, se ha servido S. M„ con cederle honores de intendente de egércíto* S. M.. se ha dignado concederconsulta del consejo Rear lícencfe y fa cultad á la ciudad dé Medina de Riqsecp.para que pqeda restablecer las . dos ferias-…</t>
  </si>
  <si>
    <t>Orto</t>
  </si>
  <si>
    <t>…» Se les preparan alojamientos en el fuerte, donde estarán detenidos como prer sós;de;Estado , y custodiados por dos compañías del 10.: regimiento de in fantería , mandadas por el general Orto, gobernador del puerto. Algunos dé los presos han estado, muy tristes durante el viage. FRANCIA. París 1.° de Noviembre.. Los ministros de las potencias extrangeras que deben firmar de aquí á algunos dias el tratado definitivo ajustado con la Francia, saldrán…</t>
  </si>
  <si>
    <t>Ortuzar, Josef</t>
  </si>
  <si>
    <t>Josef Ortuzar</t>
  </si>
  <si>
    <t>…y Va lencia , con dimisión de la capellanía de honor que en la actualidad obtiene., .. La canongía vacante en la catedral de Málaga por fallecimiento de Don -Salvador Casamayor á D. Josef Ortuzar., racionero de la misma iglesia; la / .que ha vacado en la propia catedral por muerte de D. tíionisio Muñoz a Jpí Henrique Emparan. y la ración que debe resultar vacante por.promocioti del referido D, Josef Ortuzar á D. Matías Calva, racionero de la iglesia p…</t>
  </si>
  <si>
    <t>Oruña, Diego Bernardo</t>
  </si>
  <si>
    <t>Diego Bernardo Oruña</t>
  </si>
  <si>
    <t>…neficio servidero de la parroquial de la villa de Viuuesa, vacante por fallecimiento de D. Francisco Gil de Sugadi, el préstamo menor del lugar de Abion, que jo está por muerte de D. Diego Bernardo Oruña, y el beneficio simple de Castrilio de lá Vega, que se halla también vacante, y todos tres en el obis pado de Osma, á D. Blas Rubio, presbítero, en premio de sus servicios en la última guerra contra el usurpador del trono. Habiéndose dignado S. M. admitir los…</t>
  </si>
  <si>
    <t>Orus, Josef</t>
  </si>
  <si>
    <t>Josef Orus</t>
  </si>
  <si>
    <t>…y D. Josef Cólmelo, del mismo Regimiento Provincial de Santiago; D. Ramón Taboada, del Provincial de Betanzos; O. Antonio García, del de Lugo; D. Francisco García, del de Orense; D. Josef Orus, D. Basilio Rubio, D Antonio Cermeño , D. Alon so Puebla y D. Antonio Alonso Isla, del de Voluntarios de León; D. Ma riano Alonso y D. Francisco Osorio, del Depósito general de Infantería; P. Alexandro Benisia, de la escuela militar de Santiago; D. Francisco…</t>
  </si>
  <si>
    <t>Oscalar, Clemente.Pedro de</t>
  </si>
  <si>
    <t>Clemente.Pedro de Oscalar</t>
  </si>
  <si>
    <t>…y Molina, corregidor de Granada, 5122 rs. y 4 mrs. por sus mesadas de Ma** yo y Junio.__D. Juan Josef Lesaca , contador de data de la Tesorería ge neral, 12$ rs. vn., y S© su hijo D. Clemente.Pedro de Oscalar 1© reales anuales. D. Fernando Selma, grabador de cámara que fue de S. M., bien conoci do en toda Europa por sus obras de dibujo y grabado, falleció en esta córte el día 8 de Enero de 1810, según ei Real cuerpo de Marina lo anunció al publico; en la gaceta nú…</t>
  </si>
  <si>
    <t>Oscoz, Josef Antonio de</t>
  </si>
  <si>
    <t>Josef Antonio de Oscoz</t>
  </si>
  <si>
    <t>Asimismo, y jfor las respectivas renuncias dé D. Ramón Rodríguez de Velase*», D. Léon González del Camino, D. Juan Antonio Morejon, Don Josef Antonio de Oscoz y D. Antonio Fernando Briz, se ha dignado S. M. nombrar, á consulta de dicho tribunal, para las varas de S. Vicente á Don Santiago Amatrtain: de Pedro Muñoz á D. Antonio Rodríguez fsscovar : de ViHaest/usa de Haro á D. Gínes Muiría Serrano: de Ceclavin á D. Andrés Torrente de Vilí…</t>
  </si>
  <si>
    <t>Osma, Manuel de</t>
  </si>
  <si>
    <t>Manuel de Osma</t>
  </si>
  <si>
    <t>…á EX Bruno Joaquín Espadero-, director espiritual del seminario dé Cáeéres.=: El arcíprestazgo de la villa» de Alburquerquey vacante por muerte- de D. Pedro; Caballero Huertos r á D. Manuel de Osma? y Huertos, con intención- del be—■ neficio servidero que obtiene en la misma villa. = La canongía vacante eh lacolegiata de Mora, diócesis de Teruel, por fallecimiento de í). Josef Izquier do, á IX Juan Btesa , capellán de altar en la Real iglesia de S» Isid…</t>
  </si>
  <si>
    <t>OsonV, Manuel Miguel</t>
  </si>
  <si>
    <t>Manuel Miguel OsonV</t>
  </si>
  <si>
    <t>…or efe esta heroica villa , refrendada de D. Clau dio Sanz, escribano del numero, su fecha’ 1 2 del corriente, se hace saber á todos los acreedores de la testamentaría del Exorno. Sr. D. Manuel Miguel OsonV, 'mar ques que fue de Alcañices, que no han acudido todavía, á liquidar los créditos que</t>
  </si>
  <si>
    <t>Osorio, Antonio Vicente Piñeyro y</t>
  </si>
  <si>
    <t>Antonio Vicente Piñeyro y Osorio</t>
  </si>
  <si>
    <t>…s herederos para que acudan á recogerla, acredi tando antes debidamente que lo son. En la acción de Alba de Torines del 28 de Noviembre de 1809 se dió por pri sionero de guerra al capitán D. Antonio Vicente Piñeyro y Osorio, teniente de la quarta compañía del primer batallón de la quarta división de granaderos provin ciales de Galicia, y exército que fue ó tuvo nombre de la izquierda, natural y vecino de la parroquia de S. Lorenzo de Doso, obispado de Mondoñedo, reyno de Galicia…</t>
  </si>
  <si>
    <t>Osorio, Diego</t>
  </si>
  <si>
    <t>Diego Osorio</t>
  </si>
  <si>
    <t>…l de Lu go; D. Pedro Tineo, D. Juan Puente, D. Josef Antunio Rodríguez, Don Simón Fernandez, D. Teodoro Arce, D. Juan Guasa, D. Juan Malagon, E&gt;. Cosme Arias, D. Francisco Sierra, D. Diego Osorio y D. Gregorio Diez, del de Voluntarios de León; D. Josef Yanguas, D. Josef Osorio, D. Francisco Sillero, D. Juan Sánchez, D. Alexandro Saez, D. Estéban Rubio y D. Gabriel Yanguas, del de Cazadores de León ; D. Ramón Mo reno, de la escuela militar de Santiago; D. Manuel Moreno y…</t>
  </si>
  <si>
    <t>Osorio, Francisco</t>
  </si>
  <si>
    <t>Francisco Osorio</t>
  </si>
  <si>
    <t>…Francisco García, del de Orense; D. Josef Orus, D. Basilio Rubio, D Antonio Cermeño , D. Alon so Puebla y D. Antonio Alonso Isla, del de Voluntarios de León; D. Ma riano Alonso y D. Francisco Osorio, del Depósito general de Infantería; P. Alexandro Benisia, de la escuela militar de Santiago; D. Francisco Julia, de Cazadores Extrangeros, y D. Pablo Puente, del Real Cuerpo de Artillería: grado de Capitán á D. Antonio Salazar, D. Antonio Toxo, Don Xavier Pi…</t>
  </si>
  <si>
    <t>Osorio, Josef</t>
  </si>
  <si>
    <t>Josef Osorio</t>
  </si>
  <si>
    <t>…te al ayudante mayor de dicho cuerpo D. Bartolomé Lizon: ¿ capitanes segundos á los tenientes D. Josef López y D; Luis Ginetir á ayu dante mayor del 2° batallón al capitán segundo D. Josef Osorio: á tenien te de granaderos al de la misma clase graduado de capitán D. Salvador Valdeyuli: á tenientes de fusileros á los subtenientes D. Cárlos Ñoñez, Don Juan Nuñez y D. Josef Freyre: á subtenientes de granaderos ¿ los de fusi leros D.^ Miguel Román, D. Fra…</t>
  </si>
  <si>
    <t>…Fernandez, D. Teodoro Arce, D. Juan Guasa, D. Juan Malagon, E&gt;. Cosme Arias, D. Francisco Sierra, D. Diego Osorio y D. Gregorio Diez, del de Voluntarios de León; D. Josef Yanguas, D. Josef Osorio, D. Francisco Sillero, D. Juan Sánchez, D. Alexandro Saez, D. Estéban Rubio y D. Gabriel Yanguas, del de Cazadores de León ; D. Ramón Mo reno, de la escuela militar de Santiago; D. Manuel Moreno y D. Andrés Pierola, del Cuerpo de Artillería; D. Antonio Freyre…</t>
  </si>
  <si>
    <t>…con;sui demostración hes de alegría la gran parte que han tomado en una noticia tan satisfactoria. El ayuntamiento y vecinos de la villa de Iniesta por medio de. sus dipu-i tados D. Josef Osorio de los Ríos, brigadier de los Reales égércitos, caba llero de la Real orden de Garlos m, y gentilhombre de cámara de S. M., y D. Francisco del Castillo Valero, corregidor de la expresada villa, al mis mo tiempo que han felicitado al Rey nuestro Señor con igua…</t>
  </si>
  <si>
    <t>Ossultoo</t>
  </si>
  <si>
    <t>…canciller Mr. Preston; presidente del consejo el conde de Stanhope; guar da del sello privado B. Gordon; primer lord del almirantazgo lord Cocbrane; los tYes-secretarios dé estado lord Ossultoo, sir Cárlós Monck y Mr. Pe* ters Monroe. • f El Príncipe Regente ha hecho publicar un cartel, en que ofrece roo libras esterlinas y el perdón del Rey á los que revelen los autores ó fautores de los últimos alborotos. Se asegura que se deben entregar al Prínci…</t>
  </si>
  <si>
    <t>Ostoiaza, Blas de</t>
  </si>
  <si>
    <t>Blas de Ostoiaza</t>
  </si>
  <si>
    <t>…ia .antigüedad que les corresponda éntrelos demás: ministros, segdn los años que cuenten en ia carrera de la toga. Habiéndose dignado, S. M. admitir de su capellán de honor el Dr, Don Blas de Ostoiaza, deán dé la santa iglesia dé Cartagena, la cesión que con</t>
  </si>
  <si>
    <t>Ostolaza, Blas</t>
  </si>
  <si>
    <t>Blas Ostolaza</t>
  </si>
  <si>
    <t>…ísimo Sacramento y i la Virgen , traducidas del francés ai caste llano de las que escribió en italiano el señor Liquorio, obispo de Sta. Agueda, en el reyno de Ñapóles: por el Dr. D. Blas Ostolaza, para uso de S. M. y del Señor Infante D. Carlos, quienes diariamente las hacían en Valenqay por esta obra en compañía de dicho doctor su capellán y confesor , quien las da £ luz. Véndese i 8 rs. en pasta en eí despacho &lt;fe la imprenta Rea!, ir En la librería…</t>
  </si>
  <si>
    <t>…na á D.Tadeo Segundo Gómez, ministro del conseja de Castilla, y presidente de la junta de Hacienda de Indias: D. Diego de lá Vega, oficial de la secretaría del despacho de Marina: D. Blas Ostolaza, deán de la sarita iglesia de Cartagena: D. Antonio Remon del Valle , secre tario de la junta/milítar de Indias: D. Diego Fernandez Peredo, prior del consulado dé México; D. Tomas Ramón de Ibarrola^ D. Manuel de Urquiága y el conde de la Cortina, cónsules del…</t>
  </si>
  <si>
    <t>…Abril. El dia 10 de Noviembre último fueron admitidos á felicitar á S. M. por el arciprestazgo del Campo, en la provincia de Soria, y por el pueblo de Cuellar de la misma,' el Dr. D. Blas Ostolaza,confesor honorario de S. M., deán de la santa iglesia de Cartagena,é individuo de la condecoración de la Lealtad de Valencjay; D. Fermín del Rio, teniente de arcipreste del Cam po y cura de Ventosa, y D. Juan Josef Alvarez, vecino de dicho pueblo de Cuellar;…</t>
  </si>
  <si>
    <t>Ostolaza, Martín Josef</t>
  </si>
  <si>
    <t>Martín Josef Ostolaza</t>
  </si>
  <si>
    <t>…cía Rivas; para una subtenencia de lás mismas al soldado distinguido D. Angel González del Riego: para dos ayu^&gt; dantías en el regimiento de caballería de Truxsilo á los tenientes D. Martín Josef Ostolaza y D. Josef Cíemente Merino; para otra en el de infantería de Caxámarca ai teniente D. Juan Francisco de Arana i para tres tenencias en el propio regimiento á los subtenientes D. Josef Isidro Bonifaz, D. Fernán* do Loredo y D. Pedro Ürteaga: para una subtenéncia en el mismo cuerp…</t>
  </si>
  <si>
    <t>Otañez, Ramón Ortiz</t>
  </si>
  <si>
    <t>Ramón Ortiz Otañez</t>
  </si>
  <si>
    <t>…apitanes de navio áTos de fragata D. Francisco Man¡on, Don Faustino Gnimii,: D. Rafael• Lobo, D. Pedro Acevedo, D. Juan de Vargas Lana, D. Jacinto Rotnarate,: ¡ DJ Eduardo Briant, D. Ramón Ortiz Otañez, Dv Miguel Palacios Ruiz, D^ Ramón Aguí lar, D. • Josef del:Camino y Cami no, D. Felipe Perez Acevedo, D. Ramón de la Sierra , D. Alejo Gutiérrez de Rübalcava, D. Luís Moreno ,D. Ignacio Acedo , D. Antonio Miranda , Don Manuel Lobo , D. Joaquín Delgado , D. B…</t>
  </si>
  <si>
    <t>Otermin, Manuel</t>
  </si>
  <si>
    <t>Manuel Otermin</t>
  </si>
  <si>
    <t>…mez de Soanorostrp y á D. ‘Alejandró "Vicente de Ezpeieta, comisarios de ‘artillería honorarios ae giiérra. J , v ; En el Real cuerpo de Ingenieros. 1 Grado de coronel al teniente coronel D. Manuel Otermin: grados de te nientes coroneles á Jos. sargentos mayores de.byigada D. Domingo de la igle sia , .1).J. Ánfohip'jí]¿árróÍác?'.pC' 'Án&amp;r ,é$ Rodríguez , D. Tomas Spl&lt;Sevilla y Don Féliy Arbizu; y .á los yapítanes prlmeros iS. josef Giraldo,D. Juan Carmqna, p. J…</t>
  </si>
  <si>
    <t>Otero, Salvador de</t>
  </si>
  <si>
    <t>Salvador de Otero</t>
  </si>
  <si>
    <t>…arios de guerra á los oficiales primeros D. Juan Antonio* González, D. Juan Francisco Fernandez, Di Josef Manuel de Casas, Don* Miguel Perez de la Quintana , D. Nicolás Hernández, D. Salvador de Otero, D. Francisco Fernandez NavarreteD. Juan Manuel Maurat y D. Benignode Rodenas. .. Grado de comisario de guerra al oficial primero D. Juan del Pico. • „Jiscenso X oficiales primeros á los segundos D. Juan de Sierra, D. Estéban Sánchez Martin, D. Agustín Perez…</t>
  </si>
  <si>
    <t>Otero, Santiago</t>
  </si>
  <si>
    <t>Santiago Otero</t>
  </si>
  <si>
    <t>…a denominación, y á Don Francisco Huerta, Ayudante de la Plaza de Ciudad Rodrigo: al grado de Capitán á los Tenientes D. Pablo Baza, del Real Cuerpo de Artillería, 0. Tomas Yarto, D. Santiago Otero, D. Andrés Floren, D. Juan Albelda, 0'. Manuel Michel, D. Francisco Arahgo, y D. Estéban López, del Regi miento de Mallorca; á D. Félix Llano, D. Gregorio Martin, D. Gabriel Olgado, D. Josef Mela, D. Felipe San Alberto, D. Pedro García de Várgas ,y D. Agustín…</t>
  </si>
  <si>
    <t>Oteyzá, Francisco</t>
  </si>
  <si>
    <t>Francisco Oteyzá</t>
  </si>
  <si>
    <t>…* Madrid 20 de Julio . 'Air.. ¡ de 1815.*' ... .br;¿ '’&gt; / 1... ■'A r En atención á los méritos y dilatados servicios del intendente, qué fue del egército y principado de Cataluña D. Francisco Oteyzá , ha tenido á bien él Reí nuestro Señor concederle!su jubilacionvépn el sueldo de 4o$ rs. y Iqs nonores de ministro del consejo de Hacienda. V Habiéndose servido el REYc.nuestro Señor admitir al mariscal de campo D. Juan Poutoux¡y Moxicá la dimisión que hizo…</t>
  </si>
  <si>
    <t>OTnzarti, Antonio Mendizabaí</t>
  </si>
  <si>
    <t>Antonio Mendizabaí OTnzarti</t>
  </si>
  <si>
    <t>…Consta la favorable acogida Ique esta^ tropas háii-te nido en todos los puntos.delIstm,o por donde han transitado, la actividad y zelo con que el gobernador interino dé Portobelo.coronel D. Antonio Mendizabaí OTnzarti ; el apuntamiento de Panamá y las autoridades de Chagre y Cruces han auxiliado con todo lo posible á las tropas de S. M.: la nóbíe emulación del comercio y personas de todas clases en facilitar cuantos recur sos estaban én sus facultades, y obsequiar debidame…</t>
  </si>
  <si>
    <t>Oudinot</t>
  </si>
  <si>
    <t>…. La fragata que salió de Tolon, se apoderó del bergantín y de los buques de transporte que conduxeron á Bonaparte y á su comitiva. Se sabe por un parte telegráfico de Metz que el mariscal Oudinot, du que de Reggio, juntó 13® hombres á la primera noticia que tuvo del des embarco de Bonaparte, y les dixo que jamas les había engañado desde que combatían juntos, y que con su franqueza ordinaria les declaraba que esta ba pronto á dar pasaportes á todos qna…</t>
  </si>
  <si>
    <t>…un viage proyectado por Monsieur á ios departamentos del E. Hoy han pasado revista á las cuatro primeras legiones de la guardia na cional S. A. R. Monsieur, coronel general, y el mariscal Oudinot, coman dante en gefe de la misma: el Rey se presentó á medio dia en el balcón del palacio de las Talleríás 'acompañado de Madama la Duquesa de Angulema. El gentío inmenso que había concurrido á presenciar la revista, prorumpió al ver á S. M. en las mas vivas…</t>
  </si>
  <si>
    <t>Ouschakow</t>
  </si>
  <si>
    <t>…ndrán para la custodia una guardia,de,artillería. 3.0 Los almacenes de víveres y forrages que se hallan en la plaza, se en tregarán cómo están en el dia al t ficial que designe el general Ouschakow. 4.0 „ Se formará un destacamento de los oficiales, sargentos y soldados de la guarnición que quieran ir á reunirse con el egórciio deí Loira. Este desta-</t>
  </si>
  <si>
    <t>Ousehakow</t>
  </si>
  <si>
    <t>io4* cimento,que saldrá cotí sos armas y bagages,será acompañado hasta Orleanf por un oficial ruso que nombrará el general Ousehakow. Se suministrará á es tas tropas en el camino los medios de transporte que necesiten,y deberán se guir el itinerario que les señalen los generales infrascritos. 5.0 Los militares de la guarnición que deseen volver á sus casas,recibirán pasaportes limitados, l…</t>
  </si>
  <si>
    <t>Outon, Francisco Javier de</t>
  </si>
  <si>
    <t>Francisco Javier de Outon</t>
  </si>
  <si>
    <t>…, á D. Francisco! Castañedo, canónigo de Jaén. = La canongía vacante en la catedrád de Jaén por trasla ción de D. Francisco Castañedo al arcedianato de Borriol en la de Tortosa, á D. Francisco Javier de Outon, médio-racionero de la iglesia de Sevilla: otra* canongía vacante en la misma catedral de Jaén por traslación de D. Segun do Cayetano García á otra canongía de Oviedo á D. Juan Antonio Fuero,: arcediano de la iglesia* de Chiapa , en la provincia de Goatemala;…</t>
  </si>
  <si>
    <t>Ova-, Matías</t>
  </si>
  <si>
    <t>Matías Ova-</t>
  </si>
  <si>
    <t>…les quartos ¿ los quintos D. Josef de Torres Gal vez/ D. Clemente Román y Lobo, D. Antonio de Entrena y Mosquera, D. Jo sef Rodríguez, P. Clemente Losada, D. Josef María Pantoga ,‘D. Matías Ova-, lie, D. Juan Martínez Pozuelo y D. Fulgencio Albacete. Ascenso ¿ oficiales quintos i los meritorios D. Josef Velez Cabo, Doñ Antonio de Casas, D., Josef Valero i D_ Anastasio Ruperto Fernandez, Don, Antonio Josef Alayedré y D. Josef Francisco Montero.(óV con…</t>
  </si>
  <si>
    <t>Ovalle, León</t>
  </si>
  <si>
    <t>León Ovalle</t>
  </si>
  <si>
    <t>…l de Cazadores de León ; D. Ramón Mo reno, de la escuela militar de Santiago; D. Manuel Moreno y D. Andrés Pierola, del Cuerpo de Artillería; D. Antonio Freyre, del de Zaragoza, y D. León Ovalle, del de Cazadores del Rey; y grado y sueldo de Subte niente á Manuel Lamela: de Sargento primero y segundo á Juan Fandiño y Juan de Torres: dos escudos de ventaja á los Soldados Ramón Trillo, Josef Vázquez y Juan Vieyro, los seis del Regimiento Provincial de…</t>
  </si>
  <si>
    <t>Ovan, Manuel</t>
  </si>
  <si>
    <t>Manuel Ovan</t>
  </si>
  <si>
    <t>…uera , D. Antonio García, D. Pedro Pineda , D. Josef Co nejo, D^Ramon Agón', D. Manuel -Gá'stambide , D. Juan Palomero , D. Ra^ mon Oleína, D. Fernando Belarde,;D. Miguel Almagro, D. Manuel Ovan do , Ds. Bartolomé González , D. Antonio María; Mvuñoz , , Dr Miguel María Muñoz V D. Josef Sancliez, D. Mánüel Áranda ^A?tóiiiqfCpuxYlU^»inl^l</t>
  </si>
  <si>
    <t>Ovejero, Bernarda de Prado y</t>
  </si>
  <si>
    <t>Bernarda de Prado y Ovejero</t>
  </si>
  <si>
    <t>…Ia canongía y dignidad de ajr«cediano.de \fillavicipsa, en la catedral de Oviedo , vacantes por promoción d$ D. Pedro AJyarez Caballero á la canongía y arcedianato de* Cea enla á D. Bernarda de Prado y Ovejero, fiscal ¿gl C^nsejq de la jg^npraL Inquisición, con dimisión de la sacristía mayor de Guana^ato qqe ob^ae obispado de^VaUadólid de Nueva-*Eípañh,</t>
  </si>
  <si>
    <t>Oy-dercOnse, O. Joaquín Almazan y Gimen</t>
  </si>
  <si>
    <t>O. Joaquín Almazan y Gimen Oy-dercOnse</t>
  </si>
  <si>
    <t>…emostraciones de patriotismo y de amor á su Real Persona j y ha mandado se publiqúen en la g&amp;cetá- para satisfacción dedos interesados. • ••-•mi aj •. En.virtud de providencia del Sr. O. Joaquín Almazan y Gimen Oy-dercOnse jo de S. M., teniente corregidor de esta villa,' se ha mandado citar y emplazar á todas y cualesquier personas qué Se conceptúen con derecho á los bienes que ha dejado Don Félix Josef Avecilla, que falleció ábintestato en 25 de,Julio del añó pasado de 812, pa…</t>
  </si>
  <si>
    <t>Ozalia, Sejcundino Alonso de</t>
  </si>
  <si>
    <t>Sejcundino Alonso de Ozalia</t>
  </si>
  <si>
    <t>…icha iglesia por promoción de Don , Casimiro Mendez al beneficio simple servidero de S. Patrjqio de Loica, y al de la parroquial de S. Mateo, ambos en el obispado de Cartagena , á,D. Sejcundino Alonso de Ozalia, cura párroco de la villa de Treviana. La canongía vacante en la catedral de Palencia por fallecimiento de Don Domingo Alonso Víctores á D. Julián Nicanor Recuero, capellán párroco del cuarto escuadrón de artillería ligera; la ración de la misma iglesia que h…</t>
  </si>
  <si>
    <t>O’Mahony</t>
  </si>
  <si>
    <t>…legios en Francia. Esta junta se compone de los señores mariscal duque de Tarentd, del duque de Fitz-James , del conde de Lally Tollendal, par de Fránciay ministro de Es tado; d i conde O’Mahony , teniente general de los Reales egércitos, coman dante de la orden de S. Luis y de otros 10 individuos. S. A. R. el Duque de Angulema salió d¿ Grenoble el 24 de Noviembre muy lleno de satisfacción de la buena conducta de aquellos naturales con res pecto á lo…</t>
  </si>
  <si>
    <t>P, David</t>
  </si>
  <si>
    <t>David P</t>
  </si>
  <si>
    <t>…eblosT del Reyeo de las casas ‘de. lqs comer ciantes contra los que se siguen los referidos pleytos, particular píente cle^o? principales demandados D. Roberto y^D, Joan Oliver, y D. David P.arish,/ á fin de que puedan asistir al eximen legal de testigos y documentos. Lo que se hace saber por medio de los papeles públicos para lo&amp; efectos con venientes. ■ ~; * día jrcTdé teniente de granaderos del regimiento de infantería de Veléz-Málagá; y no hab…</t>
  </si>
  <si>
    <t>P, Ramón López</t>
  </si>
  <si>
    <t>Ramón López P</t>
  </si>
  <si>
    <t>…gnacio de Ayestarán, Secretario del Rey nuestro Señor, la hice escri bir por su mandado.=rEl Duque del Infantado. = D. Tadeo Gómez. = Don Francisco Marín. =±D. Manuel de Torres. = D. Ramón López P¿legrin. = Re gistradas Aquilino Escudero.—Teniente de Canciller mayor, Aquilino Es cudero. En virtud de providencia del Sr. D. León de la Cámara Cano, dei consejo de S. "M., teniente primero de corregidor efe esta heroica villa , refrendada de D. Clau dio San…</t>
  </si>
  <si>
    <t>Pa</t>
  </si>
  <si>
    <t>…nsejo de S. M. , tenien te corregidor de esta villa de Madrid, y por la escribanía del número que egerce¡ D. Josef- Antonio Canosa, están pendientes los autos de quiebra hecha por D. Pa tricio de Ribera, del comercio de esta corte, en los que por providencia de 1 i del corriente se ha mandado convocar á juntan todos sus acreedores, y señalado -para ella él domingo 8 de Octubre próximo, alas 8 de su mañana en la posada.de dicho Señor, y qüe s…</t>
  </si>
  <si>
    <t>Pa, Lorenzo de</t>
  </si>
  <si>
    <t>Lorenzo de Pa</t>
  </si>
  <si>
    <t>…caiedraldeValbdolid póV haber muerto sin tomar po&gt; sésion D. Josef García Nieto *í.á .Francisco Antonio Fernandez * dignidad de chantre de la propia ¡iglesia: para esta dignidad á D. Lorenzo de Pa lacio NancbreY y Cevallos vcura propia de la: parroquial de S. Miguel y San Julián de la expresada'CÍüdád deiValladolid^paraunacanongía qneresuita ▼acanteen da iglesia i metí ópoli tan a' de ■ Zárago ¿a porp ¿ó mo cion de D. Beni to Fernandez Navarreteal Sean…</t>
  </si>
  <si>
    <t>Pa, Salvador</t>
  </si>
  <si>
    <t>Salvador Pa</t>
  </si>
  <si>
    <t>…da, Di. Manuel Ortega, D. Rafael, Cor réa, D. -P ed ro Ortega:, Di Josef Vázquez, D. Josef Estrada; D. Ramo» Romero, D. Joaquini Edhevarría; Dv Casimiro Cañedo, D. Josef Cebrian ,;D. Salvador Pa nlagua, D. Josef Saenz dé Viniegra, p. Narciso Gómez.Quintana, D. Ca yetano Pimente! ,:yá los ‘artilleros distinguidos D. Manuel Rodríguez Sote* lo, D. Tomas Saenz y D.í ¡ Josef Riera. V !* ! ^ ' - ■ . ; i -/cS ■' ■ &gt; . • : r.:u v.,* : S. M. ha nombrado oidor…</t>
  </si>
  <si>
    <t>Pablo</t>
  </si>
  <si>
    <t>…pítanes prlmeros iS. josef Giraldo,D. Juan Carmqna, p. Josef Montes y Flores,;!). Pedro Bringas, D^ Bartolomé Amat, Don Mariano Albo, J). Salvador Mamullares , D. Antonio Lasauca, D. Pablo ipacdgalupi , D. Domingo Ranee! y D. Manuel Toro: grados de capitanes á los tenientes D. Josef Fernandez de Apero, D. Vicente Herrera y D. Lufs Garcíay. grados de tenientes; á los subtenientes D. Pedro* Pirez &gt; D.-Manuel Angusaao y D/ Francisco Luqub (- ** (S…</t>
  </si>
  <si>
    <t>…„ 1 * P6r providencia del consulado de lá'ciudad de Cádiz de 9 de Diciembre del año próximo pasado se ha mandado ¿itar &lt;y emplazar á los herederos ó represen &lt; cualquieratantes de D. Pablo, Aivárez, D¿: O-Dpyer y* D. Amgel Izquierdo , y . í otros qué se consideren: interesados ó con algún derecho á los fondos realizados pop resultas de la yenta en Lima del.navio S. Pablo y otros efectos de su cspedicion, para que en el perentorio término de dos…</t>
  </si>
  <si>
    <t>Pacca</t>
  </si>
  <si>
    <t>…de soldados, y seguido de una procesión con la cruz, en que iba el clero vestido de cere monia , y al que seguían á pie el Gmo. arzobispo y otros muchos personages, entre ellos el cardenal Pacca, camarlengo de la santa iglesia y pro-secreta rio de Estado; monseñor Giorgio D’Oria, maestro de cámara, del arzobispo de Edessa , monseñor Bertazoli, limosnero santísimo, y monseñor Testa, se cretario de breves: tras esto iba un destacamento de la guardia de…</t>
  </si>
  <si>
    <t>…noveses y su adhesión á la Santa Sede, que en esta ocasión han manifesta do con el mayor entusiasmo. . Desde Roma á Génova han acompañado constantemente á S. B., ade mas del Etno. cardenal Pacca y los demas prelados de sn corte, el ministro de S. M. el marques del Saturnino, que ha procurado que en todos los trán sitos tuviese S. S. las comodidades posibles. S. M. sensible al honor de poseer en sus estados al Sumo Pontífice, ha nombrado á uno de los…</t>
  </si>
  <si>
    <t>…l inundo, para el orden y la civiTizaqionvpo* tpiRey y por nuestra patria.. Viena 7. de abril de 181 $ f =Federicp Guilfentic^*' c&lt;} Alejandría de la Palla 25 de abril. . El señor cardenal Pacca , pro-secreta rio ,de Estado, de1 Hego á esta cíndad anteayer á felicitar en nombre del Papa á nuestro augusto Monarca-, A su llegada fue recibido par una guardia de honor, y conducido con tód» ostentación.al palacio de S. M. , Hoy han entrado en esta ciudad…</t>
  </si>
  <si>
    <t>Pacheco, Josef Victoriano Gallardo y</t>
  </si>
  <si>
    <t>Josef Victoriano Gallardo y Pacheco</t>
  </si>
  <si>
    <t>…Elorrio , diócesis de Calahorra, vacante por haber contrair do matrimonio D. Martin de Elguezabal, á; Ds Juan* Josef de Bartrenecheá. &gt; En atención á los servicios patrióticos Me D. Josef Victoriano Gallardo y Pacheco ha venido S. M. en concederle la gracia de cruz supernumeraria de \sl Real y distinguida Orden española de Carlos ih. : s: ; El Rey nuestro Señor se ha servido conceder á* D;' Manuel Gaiiárdo Pa* checósubteniente retiradó;, y oficial en ejercicio de’ lá cóhta…</t>
  </si>
  <si>
    <t>Pacheco, Manuel</t>
  </si>
  <si>
    <t>Manuel Pacheco</t>
  </si>
  <si>
    <t>…r la lápida constitucional que estaba colocada en la fachada de las cacas consistoriales del ayuntamiento. El alcalde D. Basilio María Argaiz, y eí actual subdecano de este cuerpo D. Manuel Pacheco fueron las primeras manos que se emplearon en la proyección de ese orgulloso geroglífico , que se grangeó el odio público desde que este se enteró de la felonía de los que se llamaban representantes de la nación. ¡ Qué espectáculo tan portentoso» amados yucat…</t>
  </si>
  <si>
    <t>…las personas que pretendan tener derecho a la sucesión de un vínculo fundado en aquella ciudad por Pedro Martínez Zorrilla y María Zorrilla, su muger, que poseyó últimamente el P. D. Manuel Pacheco, del</t>
  </si>
  <si>
    <t>Pack</t>
  </si>
  <si>
    <t>…general S. Colín Halket, ídem, del coronel Ompteda* del dé la misma graduación Mitchell, comandante de una brigada de la cuarta división, de los mayores generales S. J. Kempt , S. D. Pack , Lambert, lord E. Somersef, S. W. Ponsomby, S. C. Grant, S. H. Vivían, S. U. Vandeleur y conde Dornberg. Es toy muy particularmente obligado al general lord Hill por su asistencia y conducta, tanto en esta como en las demas ocasiones. „ Las clases de artille…</t>
  </si>
  <si>
    <t>Pack, S. James Kempt y S. Dionisio</t>
  </si>
  <si>
    <t>S. James Kempt y S. Dionisio Pack</t>
  </si>
  <si>
    <t>…eron rechazadas del modo mas firme. En este encuentro se distinguieron sumamente S. A. R. el prípeipe de Orange ,, el duque de. Brunswick, el. teniente general S. Tomas ricton, el general S. James Kempt y S. Dionisio Pack, que se empeñaron eri la acción desde el principio del ataque del enemigo-, Como también el teniente general Carlos barón Alten, el mayor general S. C. Halket, el teniente ge neral Cooke y los mayores generales Maitland y Byng, que fueron sucesiva mente llega…</t>
  </si>
  <si>
    <t>Padilla, Juan</t>
  </si>
  <si>
    <t>Juan Padilla</t>
  </si>
  <si>
    <t>…,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'Aquiíinb Otolá ,(D&gt;í Josef Sálas-, ©. Antonio Bolu* fer, D. Cipriano Castro ; D. Josef Tovar y D. Josef González , Di Josef de : los Reyes y D. J…</t>
  </si>
  <si>
    <t>…ro: para la de OI vera á D. Antonio Manuel de Gamez y Lechuga: para la de Lezuza á D. Alfonso Josef de Soto: para la de Carvajales á D. Juan Villa y Trigueros: para la de Tiedra á D. Juan Padilla: para la de Gausin á D. Manuel Medi na y Giménez; yapara la primera de Granada á D. Manuel Alonso Her nández. - ■ ' &lt; ■ • •</t>
  </si>
  <si>
    <t>Paek</t>
  </si>
  <si>
    <t>…les despreciaron su solicitación , y resis tieron su ataque con denuedo sin egemplo, á pesar de la gran inferioridad de su número, especialmente antes que fuesen socorridos por el general Paek. Tampoco tienen egemplo el valor y denuedo que desplegaron las valientes tropas inglesas y el digno gefe que las manda. Los regimientos 42.° y 44.* viéndose cargados por los coraceros franceses, que las escedian mucho en número, se arrojaron á ellós, y con su…</t>
  </si>
  <si>
    <t>Paez, Sebastian</t>
  </si>
  <si>
    <t>Sebastian Paez</t>
  </si>
  <si>
    <t>…o Labandeyra, Doh Andrés Fernandez Caballero y D. Diego Prieto. - ; Ascenso á capitanes de fragata á los tenientes de navio D. Ramón de Eulate , D. Tomas Cortés, D. Pedro Bucheli, D. Sebastian Paez de la Cadena, D. Francisco Lafita » D. Joaquín Gil de Bernabé, D. Gregorio Roldan , Don Redro de Nava, iD; Miguel Araoz, D.: Juan Echenique, *6/ Vicente Varela, D. Agustín Blondo, D. Agustwt Wautersy D. Ramón Allendey-D» BenitoOirtiz, D/ Manuel Soli$y D. Nieb…</t>
  </si>
  <si>
    <t>Pahlen</t>
  </si>
  <si>
    <t>…tenientes genérales, e¿ gefe del estado mayor del egército barón Diewitch, y el gefe de la arti llería príncipe Yaschville; á los comandantes de los cuerpos Sawanoíí, Yer-Oíock y conde Pahlen; á todos los generales de división, de briga da , y á los comandantes agregados á las divisiones, igualmente que á los co mandantes de ios regimientos y de las compañías ; en fin á todos los coman dantes superiores y subalternos, como también á los soldados.…</t>
  </si>
  <si>
    <t>Paiafox, Josef</t>
  </si>
  <si>
    <t>Josef Paiafox</t>
  </si>
  <si>
    <t>…adero de D. Francisco Gofliale?, caplttn de la segundé compañía del primer batallón, infantería ligera de Jos voluntarios de Aragón, qué iiie ascendido á este empleo por el Excmo, Sr. D. Josef Paiafox en iq de Octubre de 1808 en la ciudad de Zaragoza, y que en 18 del mismo salió á incorporarse á su batallón que se hallaba en Longuera. Se suplica al que tenga noticia de él lo avi se á sus primos D. Silvestre y D. Pelayo Diez Muñiz, que viven calle de Jesús…</t>
  </si>
  <si>
    <t>Paíao, Gines Muñoz</t>
  </si>
  <si>
    <t>Gines Muñoz Paíao</t>
  </si>
  <si>
    <t>…y Valle: para la de Garrobillas á D. Dionisio Marcelino Angulo: para la de Cuevas de Vera á D. Josef Vicente de Castro: para la de Benvipre á Don Josef Ruvial: para la de Orgiva á D. Gines Muñoz Paíao: para la de Revi lla á Juan Bautista Loperraez: para la de Ardales á D. Miguel Plácido Cañete: para la de Cañete á D. Manuel Díaz del Castillo: para la de Montoro á D. Josef Vaceda y Gómez: para la de Tolox y Monda á D. Juan Tomas Encina: para la de la Puebla…</t>
  </si>
  <si>
    <t>Paino, Vicente</t>
  </si>
  <si>
    <t>Vicente Paino</t>
  </si>
  <si>
    <t>…d* Cisnecos, capellán de? honor, de $yíM*'-kJhpfra; clrpr&amp;tefnp.de la.iglésia par roquial de Albacete,i yaoan^e pp$ rae* dio préstamo de la de Molina, que lo está por renuncia de D. Vicente Paino, los dos en el obispado deÓartajpnalT a D'^Mariano Roxas y Rodríguez. . •; :iíl cu ?jf¡ f ¿ •: El Rey nuestro Señor en .atención á los méritos y distinguidas circuns tancias qué concurreti en el Dr. D. Mariano Ruiz de Navámuel, canónigo de la iglesia catedral…</t>
  </si>
  <si>
    <t>Pajoí</t>
  </si>
  <si>
    <t>…caballería [de la guardia estaba en Soíssons y Los cuerpos del general Excelmañs se habían apostádo en Crairne, y se estendian hácia el Ange-Gardien. 1 El cuerpo de caballería del general Pajoí estaba detras de Couci. El primer cuerpo á las órdenes del general Erlon estaba en camino para Cómpiegne, punto a que se dirigía el enemigo. : - iaíinfantería del ala'jderecha principiará á llegar mañana. El enemigo ocupaba á Avesnes, Guisa , S. Quintin y Noy…</t>
  </si>
  <si>
    <t>Pajol</t>
  </si>
  <si>
    <t>…general Girard se empeñó con el cuarto cuerpo en el lugar de Ligny , del que por distintas veces se apoderó y fue arrojado. El mariscal Grouchy á la estremidad de la derecha, y el general Pajol combatieron el lugar de Sombré defendido por 8o á 90© hombres y un nú mero considerable cié cañones. A ’líts tiete^éramos ya1 dueños de todos los lugares situados á la orilla de la rambla que cubria la posición del enemigo; pero este ocupaba todavía Coft toda…</t>
  </si>
  <si>
    <t>Pakenham</t>
  </si>
  <si>
    <t>…s del Mississipi íde los enemigos q'ue se, oponían al desembarco de las tro pas, habían conseguido desembarcarlas, y se hallaban el 24 de Diciembre delante de la Nueva-Orleans. El general Pakenham con su división se ha bía reunido al almirante Cochrane. Idem % o. Las 6artas recibidas ayer de Jamayca dicen que á fin de Diciembre se había construido una batería de 30 cañones á una legua de la Nueva-Or— teans,- y quelél enemigo tenia 12© hombres mandados…</t>
  </si>
  <si>
    <t>Palacio, Joaquiii</t>
  </si>
  <si>
    <t>Joaquiii Palacio</t>
  </si>
  <si>
    <t>…énnombre de los ca bildos eclesiástico• y. secular de la ciudad de Barbastro el Dr. D. Juan de - Lera y Cano, cura de S, Salvador de Madrid , • y obispo electo de aquel obispada; D. Joaquiii Palacio, ministro dé la Rota* y D. Pedro de Loscer-, tales , cabatlero del estado noble , y secretario del ayontamieoto de aquella ciudad; de los&gt;quáles el primero díxó á S^ MMp siguiente t „Señor: los cabildos secular y eclesiástico de la ciudad é iglesia de Bar ba;…</t>
  </si>
  <si>
    <t>Palacios, Antonio Llata</t>
  </si>
  <si>
    <t>Antonio Llata Palacios</t>
  </si>
  <si>
    <t>…e Valladoh^J á D. Fermín Fernandez de la Cuesta: para la de Aguilar de Campoo i D. Juan Pedro Talasac: para la de Muía á D. Ignacio Fran-; cisco A yuso: para la de Baños dé Jaén á D. Antonio Llata Palacios; y pará la de Puente D. Gonzalo á D. Bérnardino de Peralta. &gt; ' , También se ha dignado S. M. nombrar para juez civil de la ciudad de , Cádiz á D. Teotiímo Escuderó, oidor de la audiencia de Sevilla. . ^ Asimismo en atención á los méritos ,y servicios con que…</t>
  </si>
  <si>
    <t>Palacios, Joaquín María</t>
  </si>
  <si>
    <t>Joaquín María Palacios</t>
  </si>
  <si>
    <t>…o. , Instituciones de derecho civil español que escribieron los Dres. D. Ignacio Jor dán de Asso y D. Miguel de Manuel, adicionadas y mejoradas con notas en gran número por el Dr. D. Joaquín María Palacios, catedrático de prima de leyes pa trias que fue en la universidad de Huesca, y mandados estudiar en las universidades del reino, según el último plan que rige en esta materia: dos tomos en 4.% que se venden en Madrid en la librería de Campo, calle de Alcalá,…</t>
  </si>
  <si>
    <t>Palácios, Josef Benito</t>
  </si>
  <si>
    <t>Josef Benito Palácios</t>
  </si>
  <si>
    <t>…lesia metropo litana* á D. Manuel Cano y Tené, racionero de ella; otra canongía vacan te en la iglesia colegiata del Salvador de la referida ciudad de Granada por fallecimiento de D. Josef Benito Palácios á D. Pedro Moreno, presbítero. Eldeanato de la catedral de Calahorra, vacante por ■promoción de Don Antonio Carrillo y Mayoral á la iglesia y obispado de Plasencia, á D. Pe dro Prado , canónigo de la colegiata de S. Isidro de esta corté , y lá canon gía de lá…</t>
  </si>
  <si>
    <t>Palacios, Josef Miguel</t>
  </si>
  <si>
    <t>Josef Miguel Palacios</t>
  </si>
  <si>
    <t>…e aquel cuerpo como á qualquicra que tenga noticia de su paradero, lo avise en esta corte á D. Cesáreo Josef Novillo, calle de la Concepción Gerónima, Ó en la ciudad de Palencia á D. Josef Miguel Palacios, del comercio.</t>
  </si>
  <si>
    <t>Palareá, Juan de</t>
  </si>
  <si>
    <t>Juan de Palareá</t>
  </si>
  <si>
    <t>…su Real nom* brey y que srinserté én la gaceta del Gobierno. -- ■ * • •- ‘ ’-J-'. f ,á rj. i,.\ - •• _ ’ El dia 20 del cérirleneé tuvieron ía honra el Excmo. Sr. conde deClavijo, D. Juan de Palareá, brigadier de los Reales egércitos, y D. Mariano de Lagasca, profesor y director del Real jardín botánico de esta corte, de presen tarse á S. M., y besar su Real mano en nombre de la academia médica da Murcia , y el primero de ellos arengó á S. M. en los térm…</t>
  </si>
  <si>
    <t>Palenzuele, Juan Josef Goriiez</t>
  </si>
  <si>
    <t>Juan Josef Goriiez Palenzuele</t>
  </si>
  <si>
    <t>…e de la de Galizuela, en la de Alcántara, con los herederos de D. Josef Veladiez, sobre rescisión del con trato de dicha encomienda; y siendovpartes én los referidos autos el Lie. D. Juan Josef Goriiez Palenzuele , D. Pedro Manuel Folgueras, Doña Juana Rodríguez , viu da de D. Pedro Tegeiro, D. Gaspar Eugeni, D. Juan Ruiz Morales, D. Josef, D. Joaquín y D. Bernabé VcladieZ, como herederos del difunto D. Josef Veladiezj</t>
  </si>
  <si>
    <t>Pallarás, Josef Antonio Díaz</t>
  </si>
  <si>
    <t>Josef Antonio Díaz Pallarás</t>
  </si>
  <si>
    <t>…de D. Silvestre Ro dríguez, á D. Juan de Ceñal, cura de la parroquial de Sta. María de Pinera, diócesis de Oviedo; y la que obtuvo D. Manuel de la Fuente en la propia cate dral á D. Josef Antonio Díaz Pallarás, canónigo de la colegiata de Iría Flavia. = La canongía vacante en la iglesia catedral de Gerona por muerte de D. Jo sef Viñas á D. Pedro Toroneíl, capellán párroco del fuerte del Condestable en dicha ciudad: otra canongía de la misma iglesia , vacante por mu…</t>
  </si>
  <si>
    <t>Palma, Blas Joaquín Aívarez de</t>
  </si>
  <si>
    <t>Blas Joaquín Aívarez de Palma</t>
  </si>
  <si>
    <t>…lá&gt; misína con fecha 4r de Marzo. Presidióla su director primero d ¿scelemísiroó Sr. conde de Montijo , cipitan general de este reino y costa Ifcc,, y asistie ron á ella el limo. Sr. D. Blas Joaquín Aívarez de Palma, arzobispo1 de es-, ta diócesi, su individuo de número, y un lucidísimo concurso de ¿odas las autoridadeseclesiásticas, civiles y militares , títulos y demas sugétós de distin ción y literatura convidados ai intento. Abrió la sesión el Escmo. Sr.5primer direc…</t>
  </si>
  <si>
    <t>Palma, Josef María</t>
  </si>
  <si>
    <t>Josef María Palma</t>
  </si>
  <si>
    <t>…Jácome, D. Josef.Escovar;D.:Santos Leccea£ D. Bernardo Latorre, D. Joaquín de la Cámara, D; Josef HidalgoDon Tpmás Gutiérrez, D. Francisco de Paula Castro, D. Jorge Valderrábano, D. Josef María Palma, D. Marcos de Zeberio y D. Josef Antonio de S. Juan. ( Se continuará.) ' Circular del ministerio dt Guerra. Convencido el Real ánimo del Rey nuestro Señor de que para llevar á - debido efecto él plan' adoptado para la infantería der lí nea y ligera según el r…</t>
  </si>
  <si>
    <t>Palma, Juan S. Martin y</t>
  </si>
  <si>
    <t>Juan S. Martin y Palma</t>
  </si>
  <si>
    <t>…haza de 30 marjales al camino de Santa Fe, en Belicena. Capellanía de D. Bartolomé Rodríguez Gaiso. Un molino harinero y dos pedazos de tierra unidos á él, en Nivar. Capellanía de D. Juan S. Martin y Palma. Ochenta marjales en una ha za, lindando con el camino real de Jaén, Arbolete. Capellanía de D. Alonso Salido. Una haza, cinco marjales de tierra, pa go de S. Antón el Viejo , Granada. Capellanía de Doña Eugenia Matute. Una huerta ó cármen, titulado los Caños…</t>
  </si>
  <si>
    <t>Palmerstone</t>
  </si>
  <si>
    <t>…rio. Se dice que Mr. Canning vendrá de PortugaL para te* ner parte en la administración; que el lord Castlereagh será primer lord de la tesorería y canciller del echiquier; que ek lord Palmerstone dexará la se cretaría de Guerra, y será creado par; que Huskisson entrará también en la administración; en fin, que el marques de Wellesley volverá á tomar la dirección de los negocios: extrangeros, y que algunos de sus hermanos ocuparán empleos muy élevados*…</t>
  </si>
  <si>
    <t>Palomares, Ignacio Josef</t>
  </si>
  <si>
    <t>Ignacio Josef Palomares</t>
  </si>
  <si>
    <t>…D. Antonio de Entrecanales, D. Antonio Mediano y Sartolo y D. Antonio Rodríguez de Es cavar; y nom brar para las de Los-Sántos á Di Josef Antonio Martin Palomino ; de Cille ros á D. Ignacio Josef Palomares; de Lleréna á D. Fráricisco Delgado y Ayala; de Benicarló á D. Ignacio Lazcano y Guzman; del Corral efe Almaguer, vacante por promócion de D.Manuel Sotillos Montejo á la¡de Rueda, áDon Francisco dé Rivas; de Cehegin á D. Angel Pérez del Busto ;.y para el cor…</t>
  </si>
  <si>
    <t>Palomares, Manuel</t>
  </si>
  <si>
    <t>Manuel Palomares</t>
  </si>
  <si>
    <t>…. D. Francisco de Unzaca. JEn Badajoz.,»......D. Garlos Sebastian Malagamba» JEn Pldsencia.......D. Juan Campo y Oliva. Mn Valencia..... . D. Ramón Miralies. Mn Avila............. D. Manuel Palomares. JEn Guadalajara. D. Joaquín Veladiez. Mn Toledo D. Francisco Peréz.. ■ Mn Murcia.......... D- Josef Ubach. t Mn Oviedo?........... 3XJuan Pérez. Mn Ciudad-Real. D-. Mateo Casado y Romero. Mn Jaén.............. D„ Francisco López Zavala. Mn Segovia...Señores…</t>
  </si>
  <si>
    <t>Palomares, Miguel</t>
  </si>
  <si>
    <t>Miguel Palomares</t>
  </si>
  <si>
    <t>…adelantamientos en leer, escribir, catecismo, aritmética y ortografía castellana, fueron premiados con medallas de oro y plata como los mas sobresalientes los alumnos siguientes: D. Miguel Palomares, D. Mi guel de Arévalo, D. Esteban Santaló, D. Josef Coello y D. Antonio Martí nez ; y como se presentaron algunos alumnos que se acercaban en conocimien tos á los premiados, dispuso la junta de censura darles una distinción que les sirviese de recompensa á s…</t>
  </si>
  <si>
    <t>Palomero, Juan</t>
  </si>
  <si>
    <t>Juan Palomero</t>
  </si>
  <si>
    <t>…sar Gonzajes* *&gt;¿X;FVancisep de Torres, D. Andrés Casainayer, D. Francisco Reguera , D. Antonio García, D. Pedro Pineda , D. Josef Co nejo, D^Ramon Agón', D. Manuel -Gá'stambide , D. Juan Palomero , D. Ra^ mon Oleína, D. Fernando Belarde,;D. Miguel Almagro, D. Manuel Ovan do , Ds. Bartolomé González , D. Antonio María; Mvuñoz , , Dr Miguel María Muñoz V D. Josef Sancliez, D. Mánüel Áranda ^A?tóiiiqfCpuxYlU^»inl^l</t>
  </si>
  <si>
    <t>Palomino, Josef Antonio Martin</t>
  </si>
  <si>
    <t>Josef Antonio Martin Palomino</t>
  </si>
  <si>
    <t>…uevas poblaciones de Sierra Morena, á D. Joaquín Gonzalo Ramírez de Arellano: para la de fa ciudad de Alcañiz á D. Fabian Dórente; y para la de los Santos, vacante pór renuncia de D. Josef Antonio Martin Palomino, á D. Francisco Javier Ló pez Duque* El juez de Imprentas y Librerías del reino hace saber á todos los librejos , impresores, autores y editores de obras y papeles entreguen antes de su publicación y venta en la secretaría de la comisión los siete egemplares…</t>
  </si>
  <si>
    <t>Palomo, Antonio María</t>
  </si>
  <si>
    <t>Antonio María Palomo</t>
  </si>
  <si>
    <t>…D. Juan Manuel Piedra, y subtenientes de fusileros á D. Juan de la Rosa, D. Julián Conde , D. Josef García, D. Antonio García, D. Francisco Gu tiérrez Miera , D. Josef Gutiérrez, D. Antonio María Palomo, D. Josef López Orihuela y D. Aquilino Infantes. ~ En atención á los méritos y dilatados servicios de D. Francisco Campuzano, gobernador de las aduanas de Cantabria, ha venido S. M. en conce derle les honores del consejo de Hacienda. El Rey nuestro Señor se h…</t>
  </si>
  <si>
    <t>Palos, Josef Salelles y</t>
  </si>
  <si>
    <t>Josef Salelles y Palos</t>
  </si>
  <si>
    <t>…Navarra: para esta plaza se ha servido S. M. nombrar á D. Manuel Lexaide, alcalde mayor del crimen de la audiencia de Galicia con su antigüedad; y para esta resulta ha nom brado á D. Josef Salelles y Palos: para la primera plaza de oidor de las dos vacantes en la audiencia de Extremadura á D. Evaristo de la Dehesa, y para la segunda á D. Esteban de Asta: á D. Manuel Saiz de Villegas , oi dor.déla audiencia de Canarias» para una plaza de ignal clase de la audien…</t>
  </si>
  <si>
    <t>Paméto, Antonio Despuig y</t>
  </si>
  <si>
    <t>Antonio Despuig y Paméto</t>
  </si>
  <si>
    <t>…las virtudes públicas y privadas. - i ARTICULO DB OFICIO. El Rey se ha servido nombrar para el arcedianato titular de la iglesia snetrppolitana de Valencia, vacante por muerte de D. Antonio Despuig y Paméto, cardenal de la santa iglesia romana, á D. Francisco Rovira, con dimisión de la dignidad de capiscol que obtiene en la catedral de Vich, en premio dé la constancia heroyca y servicios gloriosos con que ha defendido la causa santa de la religión, los derechos…</t>
  </si>
  <si>
    <t>Pan, Joscf Salvador López del</t>
  </si>
  <si>
    <t>Joscf Salvador López del Pan</t>
  </si>
  <si>
    <t>I 94&lt;$ fin virtud de providencia dada en 8 del corriente poc e! Sr. D. Joscf Salvador López del Pan, del consejo de S. M,, su alcalde de casa y corte, refrendada de D. Luis López de Castro, escribano de provincia y comisiones, i instancia de los, señores Marqueses de Sta. Coloma se cita, llama y emplaza á D. Baltasar de la Igle sia , Joaquín Martinez, Doña…</t>
  </si>
  <si>
    <t>Pan, Josef Salvador López del</t>
  </si>
  <si>
    <t>Josef Salvador López del Pan</t>
  </si>
  <si>
    <t>…ente. Quien , quisiere hacer postura acuda ante dicho señor y citada, escribanía dentro -dei térmi-. no referido , que se admitirán siendo arregladas. En virtud de.providencia del Sr. D. Josef Salvador López del Pan, &lt;d[el conse-■*. jo de S. M. / su alcalde dé dása y cor Je, de 14' dél córnerte y año , refrendada de D. Luis López de Castro , escribano de provincia y comisiones, se cita y emph*a&gt;á todos ios acreedores del Sr. D. Ramón Antón Síerraivecino dé ésta córte, ca…</t>
  </si>
  <si>
    <t>…entas presentadas por el alcaide; lo que se les hace saber para que llegue á su noticia, parándoles el perjuicio que haya lugar de la no concurrencia. En virtud de providencia del Sr. D. Josef Salvador López del Pan, del consejo de S. iyI., alcalde de su Real casa y corte, por la cscribuiiíii de provine i si de Don Luis López de Castro, se está subastando una casa sita en la calle de Mesón de Pa redes, señalada con el núm. r.° de la manzana 61, que tiene de sitio 1803^ p…</t>
  </si>
  <si>
    <t>…e en el término preciso de 30 días, sin perjuicio del nombramiento de defen sor, se presenten por sí ó por medio de apoderado á deducir su derecho. \¡r En virtud de providencíadel Sr. D. Josef Salvador López del Pan, del consejo de S. M., su alcalde de casa y corte , dada en 10 del corriente ¿ instancia del Sr. Don Ramón Antonio Sierra por la escribaníarde&lt; provincia de £&gt;. Luis López de Castro,, se ha mandado convocar i junta á todos sqs, acreedores, señalando para.ella…</t>
  </si>
  <si>
    <t>Pan, Josef Salvador- López del</t>
  </si>
  <si>
    <t>Josef Salvador- López del Pan</t>
  </si>
  <si>
    <t>…ar, una feria en los dias 7, 8 y 9 del mes de Agosto de cada año. Eri virtud de providancia dada en 17 del corriente á instancia de Belfrn Charo les , vecino ds esta corte, por el Sr. D. Josef Salvador- López del Pan, del consejo de S. M., su alcalde dé* casa y corte, refrendada dé 0. Luis López de Castro, es cribano de provincia y comisiones; se cita, llama y emplaza á Josef Alfonso Fer nandez, Julián de la Peña, Juan Vara., Joaquín Azopardo, Grhtóbal Buitrago, Rafael Ig…</t>
  </si>
  <si>
    <t>Pan, JosePSalvador López del</t>
  </si>
  <si>
    <t>JosePSalvador López del Pan</t>
  </si>
  <si>
    <t>…despacho de la imprenta Real. Se subscribe ene dicho* despacho, y en las. provincias en todas lasadminoraciones principales y agregadas» dé correos. ■ En virtud dé providencia dél Sr. D. JosePSalvador López del Pan, del consejó de S. M. ^ su alcaldé de casá y corté^ dáciá en a^aelcorríente, refrendada de Don Luis López de Castro » csclibaitf» de provincia y comtrionés de la Real cas» y cor-</t>
  </si>
  <si>
    <t>Pandin, Domingo Juan</t>
  </si>
  <si>
    <t>Domingo Juan Pandin</t>
  </si>
  <si>
    <t>…árroco de S. Martin de Pazo : para el de S. Salvador de Parada de Ribera , en la citada diócesis , vacante por ascen so de D. Juan Leandro López al de Sta. María de Villardabos, á D. Domingo Juan Pandin, presbítero y patrimonista de la parroquia de S. Pedro de Cornazo en el arzobispado de Santiago: para el de Sta. María de Castromao,eri la propia diócesis, vacante por ascenso de D. Diego. Villar y Tenreiro al curato deS. Andrés de Villamil , á D. Cipriano Ma…</t>
  </si>
  <si>
    <t>Pantoga, Josef María</t>
  </si>
  <si>
    <t>Josef María Pantoga</t>
  </si>
  <si>
    <t>….: . 1 / Ascenso á oficiales quartos ¿ los quintos D. Josef de Torres Gal vez/ D. Clemente Román y Lobo, D. Antonio de Entrena y Mosquera, D. Jo sef Rodríguez, P. Clemente Losada, D. Josef María Pantoga ,‘D. Matías Ova-, lie, D. Juan Martínez Pozuelo y D. Fulgencio Albacete. Ascenso ¿ oficiales quintos i los meritorios D. Josef Velez Cabo, Doñ Antonio de Casas, D., Josef Valero i D_ Anastasio Ruperto Fernandez, Don, Antonio Josef Alayedré y D. Josef Francisc…</t>
  </si>
  <si>
    <t>Pantoja, Antonio</t>
  </si>
  <si>
    <t>Antonio Pantoja</t>
  </si>
  <si>
    <t>…Parra, cura párroco de la vi lla de Maderuelo en el obispado de Segovia. = El benefició servidero de la vi lla de Alburquerque, vacante por muerte de D. Pedro Caballero Huertos, á D. Antonio Pantoja, cura párroco de la villa de S. Vicente en la orden de Alcántara.rrLa canongía vacante en la catedral de Salamanca por fallecimien to de D. Antonio Roldan á D.Henrique Felipe Pottier,con retención del arcedianato de Monleon que obtiene en la misma iglesia: la…</t>
  </si>
  <si>
    <t>Pantoja, Josef Alfonso'</t>
  </si>
  <si>
    <t>Josef Alfonso' Pantoja</t>
  </si>
  <si>
    <t>…an del Pico. • „Jiscenso X oficiales primeros á los segundos D. Juan de Sierra, D. Estéban Sánchez Martin, D. Agustín Perez de Lérma, D. Gregorio La Bustay p, Gabriel Azpilcueta , D. Josef Alfonso' Pantoja, D, Félix Ramo, D. Alejo Bada y D. Manuel Gómez. Bo res., r . ' ’ . . Ascenso ,á oficiales segundos á los terceros D. Prudencio María Piohai*do,' Po Joaquín Navarro, &gt; i).«Juan /Francisco, Vivanco, D.'Eugenio Hetnaez,* D.Ignacio dePazo^, D. Felipe Heriiahdefc…</t>
  </si>
  <si>
    <t>Páramo, Juan Gutiérrez de</t>
  </si>
  <si>
    <t>Juan Gutiérrez de Páramo</t>
  </si>
  <si>
    <t>…la vacante la pla za de cirujano latino: tiene de renta anual 600 ducados. Los sugetos que quieran hacer pretensión á ella dirigirán sus memoriales a! ayuntamiento por medio de su secretario D. Juan Gutiérrez de Páramo dentro de&gt; término de 20 dias desde su publicación. Tratado sobre el cólico de Madrid, inserto en las memorias de la Real acade mia médica, y publicado separadamente de orden de la misma en beneficio común, por el Dr. D. Ignacio María Ruiz de Luzuriaga, socio…</t>
  </si>
  <si>
    <t>Parayuelo, Eustasio Saez de</t>
  </si>
  <si>
    <t>Eustasio Saez de Parayuelo</t>
  </si>
  <si>
    <t>…sentaron*' ai ’píopio egércido Josef Joaquín Ribero, cadete- súpernu— inerario del: Real cuerpo de Zapadores y Minadores, Di Agustín Mesonero Romanos y Di A ndrés Pérez Sa lomón , D. Eustasio Saez de Parayuelo y Don Francisco Hombre Bravodiscípulos de ia misma Real academia y todos los ■Cuales dieron' Uña prueba de su gran aplicación , respondiendo cuantas.,preguntan les hicieron las personas que concurriereAáestOs actosVqoepíésidid el Sr. Dv Joaquín .Alinazao, del consejo de S, Mv, y te…</t>
  </si>
  <si>
    <t>Pardo, Francisco Caamaño y</t>
  </si>
  <si>
    <t>Francisco Caamaño y Pardo</t>
  </si>
  <si>
    <t>…cuando vistan el uni forme que por la misma les.está conoedicíd. ¿ J : _,X ;• ; Asimismo en .atención i los distinguidos méritos y servicios del brigadier de sus Reales exércitos D. Francisco Caamaño y Pardo se ha servido S. M. nombrarle gobernador del castillo de Figueras en Cataluña. " habiendo el Emb: Sr. cárdertal de Scala, arzóbispo de Toledo , ofrecido srl1 R Ey nuestro Señor -para las urgencias actuales el dónaiivo dé 2óc© rs. vn. eln metálico, con mas 238…</t>
  </si>
  <si>
    <t>Pardo, Jacobo</t>
  </si>
  <si>
    <t>Jacobo Pardo</t>
  </si>
  <si>
    <t>…D. Gerónimo Alvarez , del de Húsares extinguidos de León: de Teniente á D. Felipe Castro, D. Ramón Cespon, D. Jacinto Arteaga y D. Bernardo de Castro, del Provincial de Santiago; D. Jacobo Pardo y D. Josef Boltorna, del de Tuy; D. Lorenzo Valcarcel y D. Josef Sansiz, del de Lugo; D. Baltasar Valcárcel, del segundo de Asturias; Don Josef Martínez, del de Cazadores del Rey; D. Rainon Maurin, del de Zaragoza; D. Gregorio Flores, D. Juan Miguel Rodríguez, D. Eusebio Rodrígu…</t>
  </si>
  <si>
    <t>Pardo, Juan</t>
  </si>
  <si>
    <t>Juan Pardo</t>
  </si>
  <si>
    <t>…ral manó había protegido sacándolos de la indigencia. Los agraciados son los siguientes: Del cuartel de Maravíllate, A Francisco Blraló , maestro de coches; Carlos Blanco, pintor; D. Juan Pardo, maestro de coches | Simón Rivas, maestro carpintero; Manuel Arias, maestro de coches, y Felipe Corral, maestro carpintero. / Dd cuartel de S. Gerónimo. A Francisco Prieto, maestro marmolista; Gabriel Peluiche, maestro es partero; Estéban Perotei maestro carp…</t>
  </si>
  <si>
    <t>Pardo, Máximo</t>
  </si>
  <si>
    <t>Máximo Pardo</t>
  </si>
  <si>
    <t>…éla colegiaba «de ílá villa de Roda, en el reino de Aragón , de la que iS.&gt;-M.-le Eizojgracia ; y, pdr'no haber tenido noticia el referido Iglesias de •Ja-existencia y paradero de D. Máximo Pardo , se avisa á los herederas, los *jue presentando1 documento que acredite su legitimó derecho, se des en • ■ tregarán.'- - A instancia del curador ad Iitem de los hijos menores que han quedado por fa llecimiento de D. Rafael Barceló , y en virtud de providenci…</t>
  </si>
  <si>
    <t>Pardo’, Manuel</t>
  </si>
  <si>
    <t>Manuel Pardo’</t>
  </si>
  <si>
    <t>…/' - 1 . L 62^ _ • nip de Lema, D. Jijan Vigodet, Dv Josef Ruiz dé Apodápa* D. Francisco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t>
  </si>
  <si>
    <t>Paredes, Julián García de</t>
  </si>
  <si>
    <t>Julián García de Paredes</t>
  </si>
  <si>
    <t>…do del santo tribunal de Córdoba, en consideración á sus mé ritos y dilatados servicios: para una ración, que se halla también vacante en dicha iglesia metropolitana por muerte de D. Julián García de Paredes, á D. Francisco Calvo Ruiperez; y para una media ración de esta propia igle sia , vacante por muerte de D. Rafael del Mármol, á D. Josef Larena. El Rey nuestro Señor se ha dignado conceder grado de coronel de exército al teniente coronel D. Msteo Ballesteros,…</t>
  </si>
  <si>
    <t>Paredes, Ramón Ignacio Pérez</t>
  </si>
  <si>
    <t>Ramón Ignacio Pérez Paredes</t>
  </si>
  <si>
    <t>…vo hasta.el domingo 8 de Octubre próximo venidero: su. dotación es def 60o ducados cobrados y pagados por la justicia. Los que presenten memoriales lo. harán por. la escribanía de D. Ramón Ignacio Pérez Paredes, escribano de ayuntamiento de dicha,villa.^* Reflexiones sobre la naturaleza, escritas en aleman para todos los dias del año por el célebre Mr. C. C. Sturm: dadas á luz metódicamente en francés con el título de lecciones de la naturaleza por. Mr. Luis Cousin…</t>
  </si>
  <si>
    <t>Pares, José</t>
  </si>
  <si>
    <t>José Pares</t>
  </si>
  <si>
    <t>…debió presentarse en Diciembre de 1806: otro de/150, pesos núrarig 1418 á favor oé D. Rambn Nuñez, y endosado á favor de A ventin, ídem: otro de 150 pesos núm.' 254396 á favor de D. José Pares,.y endo sado á,favor de, dicha Aventin. idem; y ademas otros papeles interesantes f dirigi dos i DV^ábfíérZava^ interesados á quienes pertenezcan acudirán á la di lección géáéra! dé correo!*', en dónde les serán eut regidos legitimando 6us personas» f - "Se h…</t>
  </si>
  <si>
    <t>Parken</t>
  </si>
  <si>
    <t>Num. 133. [ 5 cuartos. ] 12 i f mmmtsasasK GACETA DE MADRID DEL MARTES 24 DE OCTUBRE DE 1814. ESTADOS-UNIDOS DE AMERICA. Boston 2 de Setiembre* EH capitán Parken, comandante de la goleta la Thetis&lt;Iq Sto. Tomas, r acaba de comunicar la noticia de haber tomado los ingleses la isla de Gua- . dalupe; y al mismo tiempo avisa que habiéndose resistido una fragata ame ricana á la tentativa que hizo otra inglesa para reconoce…</t>
  </si>
  <si>
    <t>Parra, Juan Martin</t>
  </si>
  <si>
    <t>Juan Martin Parra</t>
  </si>
  <si>
    <t>…á D. Lucas Cotilla y Sánchez, cura párroco de Nava-Gallega en aquella diócesis.=La ración vacante en la catedral de Avila por fallecimiento de D. Mi guel Celestino de la Madrid á D. Juan Martin Parra, cura párroco de la vi lla de Maderuelo en el obispado de Segovia. = El benefició servidero de la vi lla de Alburquerque, vacante por muerte de D. Pedro Caballero Huertos, á D. Antonio Pantoja, cura párroco de la villa de S. Vicente en la orden de Alcántara.r…</t>
  </si>
  <si>
    <t>Parracia, Josef</t>
  </si>
  <si>
    <t>Josef Parracia</t>
  </si>
  <si>
    <t>…e D. Lorenzo Nueveiglesias á D. Diego Carlon , canónigo magistral de la misma, y la dignidad de tesorero vacante Sn la propia catedral pojr v muerte de í). Julián Perez González á D. Josef Parracia , racionero de la misma. , ... La dignidad de prior vacante en la catedral de Coria' por fellecimjeotó de D. Ignacio Osorio y Mesía á D. Josef Hayela y.Caballero, canónigo .de la de Lérida, y el arcedianato titular de ja misma catedral, que ha vacado por muer…</t>
  </si>
  <si>
    <t>Párraga, Miguel</t>
  </si>
  <si>
    <t>Miguel Párraga</t>
  </si>
  <si>
    <t>…r Perez, D. Francisco Laborda, D. Antonio Echavarri, I). Josef Valcárcel 'yRosique, D. Josef Gómez Arteche , D. Joséf Gutiérrez, D. Josef B en i tez Cafrípou ,D. Segundo Ulibarri, D. Miguel Párraga, D- Juan Amonio Pereyra, D. Pablo Ortiga Samaniego, D. Joséf Valcárcel y Arias, D. Francisco Dugi y D. Manuel Fontiyerbs. " Es crecido el número de los capitanes, tenientes, subtenientes, sargentos primeros y cadetes'que 'por el mismo motivo resultan graduado…</t>
  </si>
  <si>
    <t>Párroco, Miguel BíazquezCapellán</t>
  </si>
  <si>
    <t>Miguel BíazquezCapellán Párroco</t>
  </si>
  <si>
    <t>…lares. • ARTICULO I&gt;E OFICIO. Circular del Ministerio de Guerra. He dado:CTiértta al Rey dé la instancia apoyada por su augusto Herma* no. el Sermo. Sf. Infante p. Carlos,, en que D. Miguel BíazquezCapellán Párroco de la Real Brigada de Carabineros ,; ha solicitado seleaumeBte.sw</t>
  </si>
  <si>
    <t>Parte, Josef Alonso</t>
  </si>
  <si>
    <t>Josef Alonso Parte</t>
  </si>
  <si>
    <t>476 truso, natural de Sobradiel, en Aragón, vecino de esta corte, confinado í la plaza de Ciudad- Rodrigo, de donde no saldrá sin expresa orden de S. M. D. Josef Alonso Parte, abogado intruso en esta corte, natural del con cejo de Langredo, principado de Asturias, vecino de ella, confinado al cas tillo de Peñíscola con la misma prevención que el anterior; y todos aperci bidos que si en lo sucesivo vuelven á incurrir en los horroro…</t>
  </si>
  <si>
    <t>Pártouneaux</t>
  </si>
  <si>
    <t>…ete que le ofreció en su casa, convidando-á los principales joficialesingle^es y austríacos que se hallaban á la sazón en la ciudad ¿ al.maire.,marquesqde Montgrand , y al general conde Pártouneaux , comandante.deia.división. ísta mañana ha salido de Marsella acompañado de ^to ultimai*. A. I., y áia vuelto á tomar el camino de Ex y dcÁviñon. ^ :■&lt; &lt;•. &lt;:.r ' : í&gt;fc Parts ^Oíde Octubre, -■ Las tropas prusianas están haciendo un movimiento, general en Pic…</t>
  </si>
  <si>
    <t>Pas</t>
  </si>
  <si>
    <t>…afael Pizarro , Capitanes del Regimiento de Mallorca; á D. Ildefonso Prieta, D. Angel Castellanos, D. Manuel de Ro— xas, y D. Segundo García, Capitanes de Voluntarios de Avila ; á D. Pas cual Coca , D. Cenon López, 0. Bernabé Porián, y D. Josef Diaz, del primer Batallón de Ciudad-Rodrigo; á D. Antonio Echenique, D. Domin go García , D. Hénrique Arias, D. Vicente Xerez , y D. Juan Ferrero, Sargento mayor y Capitanes del segundo Batallón de Ciu…</t>
  </si>
  <si>
    <t>…poema en varias odas ó himnos para instrucción de la juventud: escrito con la mayor brevedad, claridad y sencillez posibles para que !o aprendan los niños y sepan la religión: por D. Pas cual Vicente, cura párroco de la villa de Valacloche, diócesis de Teruel. Se hallará en la librería de Calleja, calle de las Carretas, frente á la imprenta Real, y en Va lencia en la de Cabrerizo: un tomo en 8.° á 5 rs. en rústica. Compendio histórico del ori…</t>
  </si>
  <si>
    <t>…ignora el paradero del digno Santa Ma ría. Dios guarde á V. S. muchos años. A bordo de la fragata Efigenía en la isla de Coche a 2 5 de Abril de 1815 .=Francisco Javier Salazar. =Sr. D. Pas cual Enrile. Pascual Enrile. ' 3.0 Después de las tres de la tárde del dia de ayer 24 de Abril se advirtió en el navio o. Pedro de Alcántara, á cuya dotación pertenecía yo, un fuego, del que la primera voz que percibí en mi alojamiento fue de ser en santabárb…</t>
  </si>
  <si>
    <t>Paschewitsch</t>
  </si>
  <si>
    <t>…aciones para congratularle. Los Soberanos se hallaban en lá noche del::3o en Mutzig, entre Haguenau y JStrasjburgO. r ' Or.d La cuarta columna de granaderos rusos, mandados por el general Paschewitsch , llegó el 2 5 del pasado á Leipsick con 24 piezas de artillería., Escriben de Basilea con fecha,de 21 de Junio que desde la fortaleza de Huninga han arrojado algunas bombas á Basilea; pero que por fortuna no han reventado, y el daño has sidp de corta conside…</t>
  </si>
  <si>
    <t>Pascual</t>
  </si>
  <si>
    <t>…rancisco Rico., D. Ramón de Tuertólas *D. Antonio Gállarza^ -D. Luis Campos, D. Josef Serón., I}. Isidoro Lacrbix,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t>
  </si>
  <si>
    <t>…D. Josef Góózalez^B. Manuel Aguí rre , B. Josef Muñoz ,D* Juan Paredes y D. Andrés Leqnor. Grado Je capitanes ádos tenientes D. Josef Marín, D. Josef Alcázar, Dr Josef de Castro, D. Pascual,Atiza , Dv Víctor Conegero, D. Cristóbal Dávtk:, D. Ladislao Luco , D. Juan Enébuisen, D. Juan Piich, D. Mariano Al-* dama, D. Pablo Estogui, D. Policarpo Aldama, D. Josef Guerrero , D. Jo^.ef Torrubiai, Di Gabriel del Rio, D. Juan Gutiérrez, D. Tornas de Cod…</t>
  </si>
  <si>
    <t>…....... . 1000 ídem....... En Ciudad-Real. iópo idem....,...... En Madrid. 47°7--«r*“ ! ARTICULO SE OFICIO. r EL comandanta general de la escuadra espedícionaria de la costa firme D. Pascual En rile , con fecha de 19 de Mayo último desde Caracas dice al Sr. Secretaria de Estado y del despacho universal de Indias ló siguiente: Escmo. Sr.Los oficios adjuntos enterarán áV. E. del desgraciado fin del navio Si Pedro de Alcántara, al mando del capitán de…</t>
  </si>
  <si>
    <t>1141</t>
  </si>
  <si>
    <t>…re chos , y conseguir su pronto1 reintegro con solo él corto estipendio de un y por 100 sobre el producto de lo que se cobre, por medio del Cónsul general de S. M. en dicha ciudad D. Pascual 'íenorio y Moscosó, remitiéndole para el espresado efecto un poder en. forma ; y respecto á que dicho Tenorio cede el pro ducto de la referida deducción á favor del egército, al paso que los interesa dlos .pueden lograr con facilidad, y seguridad su reintegro…</t>
  </si>
  <si>
    <t>Pascual, Agustín</t>
  </si>
  <si>
    <t>Agustín Pascual</t>
  </si>
  <si>
    <t>…halla sirviendo á S. M. en clase-de sargento én -uno de los regimientos que se hallan en la raya de Cataluña ó. Valencia. Se suplica á la persona que lo.pueda saf •ber ló avise á D. Agustín Pascual en la Real escuela de veterinaria de esta corte.. Los subscriptores á la obta intitulada Tertulias literarias de invierno en Chin chón &amp;c., por D. Antonio Valladares de Sotomayor, acudirán á recibir el 2.0 cua derno del tómo i.° á las librerías en que hayan s…</t>
  </si>
  <si>
    <t>Pascual, Juan Basco y</t>
  </si>
  <si>
    <t>Juan Basco y Pascual</t>
  </si>
  <si>
    <t>…a de Buenos-Ayres; D. . Juan Bautista Gual, gobernador de León de Nicaragua; D.: Francisco Maximiliano de San Maxent, teniente coronel , del regimiento infantería de la. Luisiana; D. Juan Basco y Pascual, gobernador de .Guayaquil, y D, Mariano. Osorio , coman dante ae artillería en Lima , y comandante general del egército Real de Chile. Grados de coroneles á los tenientes coroneles D. Juan Nepomucerio de ©árdenas, gobernador político y militar del presidio de…</t>
  </si>
  <si>
    <t>Pasquier</t>
  </si>
  <si>
    <t>…Quedan nombrados individuos de nuestro consejo privado los ministros de Estado siguientes: el príncipe de Talleirand, el mariscal conde GouvionSaínt-Cir , el conde de Jaucourt, el barón Pasquier y el barón Luis. Dado en París á 5 de Octubre de 1815 , el 22 de nuestro reinado. = £««. =: Por mandado de S. M., el ministro de estado de los Negocios excrangeros, presi dente del consejo de los ministros, Rickelieu. 3. a Luis &amp;c. A todos los que las present…</t>
  </si>
  <si>
    <t>Pastor, Josef Ventura</t>
  </si>
  <si>
    <t>Josef Ventura Pastor</t>
  </si>
  <si>
    <t>…años, que ha dirigido el autor curando unas veces solo y otras acompañado de los médicos mas peritos de esta corte, como lo justifican di chas observaciones prácticas. La escribió D. Josef Ventura Pastor, cirujano que fue; en esta corte y del hospital general de la Pasión: son 2 tomos en 4.0, que se hallaíán en la librería de la viuda de Quiroga, calle de las Carretas, á 54 rs. en pasta, y i la rústica á 47: segunda edición corregida y enmendada. Retrato á ca…</t>
  </si>
  <si>
    <t>…a por diferentes señores cardenales, arzobispos y obispos á todas las personas por ca da vez que recen cualquiera de Jos oficios que se hallan en este dovocionarió, com puesto por D. Josef Ventura Pastor. Se hallará en la librería de la vjuda de Quiroga, calle de las Carretas. Memoria sobre las ecuaciones superiores, por D. Miguel de Álbear. Se vende en Madrid en el despacho de obras de Ja dirección de hidrografía, cálle de Alcalá, y en Cádiz en el depósito d…</t>
  </si>
  <si>
    <t>Pastor, Josef Vilella y</t>
  </si>
  <si>
    <t>Josef Vilella y Pastor</t>
  </si>
  <si>
    <t>…el de Iniesta y VUlanuevade la Xará á D. Francisco del Castillo Valero: para el de Huete á I). Rafael Abreu:para el de Palencia á D josef Ramírez Cid: ' para la vara de.Qropesa á D. Josef Vilella y Pastor:para la déla Puebla de Sanabria á D Manuel Ibiza y Heredero: para la de Benavente á D. Josef García Timarte: para la de Hinójosa del Duque á D. Eugenio JavaIquinto; para la de Calahorra en Granada á D. Miguel de Lerin Braca monte: para el corregimiento de Rey…</t>
  </si>
  <si>
    <t>…. Ladeo Rico Bononat y D. Antonio Martínez Arroy°para la de- Biar ár D. Anastasio Pinos y Plá: para la de Castellón de la Plana á D. Pantaleon Míreos Montesinos: para la de Axpe á D. Josef Vilella y Pastor: para la de Carlet a D. Francisco Ortiz de Cantonat: para la de Gorga y su Valle de Ceta á D. Gregorio Moran y Cavanes: para la de Xerica á D. Josef Cabezas; y á D. Miguel Sanz Aparicio para la de Villalonga, partido de Deriia. , Donativos hechos d S. M. D. F…</t>
  </si>
  <si>
    <t>Patriar-</t>
  </si>
  <si>
    <t>…. Sr. Patriarca de las Indias, y otras mu chas personas de distinción que habian acudido á participar de la honra.de. afcompañar á S. M. : ei Rex tomó el agua bendita de manos del Sr. Patriar-</t>
  </si>
  <si>
    <t>Patriarca</t>
  </si>
  <si>
    <t>…semana ,‘gentileshombres de bo ca y de la Real casa, con la de mas servidumbre de éstjlo, y se dirigió á su Real capilla ; y tomando el agua bendita á la puerta de mano del Excmo. Sr. Patriarca de las Indias, pasó á ocupar su dosel, los SS. Infantes sus sillas, y la demás comitiva sus 'respectivos dugares ,: estando al frente todo el cuerpo de capellanes de honor y predicadores de S. M. en la forma acostumbrada* Celebró la misa de pontifical el Excm…</t>
  </si>
  <si>
    <t>…cibido con el ceremonial correspondiente por la junta de gobierno y di rección de los Reales hospitales y archicofradía, que se hallaban en el atrio, como igualmente por ei Excmo. Sr. Patriarca de las Indias, y otras mu chas personas de distinción que habian acudido á participar de la honra.de. afcompañar á S. M. : ei Rex tomó el agua bendita de manos del Sr. Patriar-</t>
  </si>
  <si>
    <t>…as muy interesantes y muy poco conocidas*, por el presbítero. D. Luis Fris Ducos, rector y administrador de la Real iglesia-hos pital de S. Luis Rey de Francia: dedicada al Excmo. Sr. Patriarca de las Indias. En esta obra la exactitud en referir los hechos, lo selecto de los documentos sobre que sé apoyan, la crítica, la imparcialidad y el decoro con que está escrita, la harán siempre recomendable á los que quieran informarse de esta memorable jépoc…</t>
  </si>
  <si>
    <t>Pau</t>
  </si>
  <si>
    <t>…95, 385556, 385547, 385546, 385545 y 385544, que mor*r debió dexar D. Epifánio Ignacio de Ruiz, comisario de guerra de los Reales exércitos en la ciudad de Cádiz, pertenecientes á Doña Pau la de la Cruz y Mendoza, viuda del mariscal de campo D. Joaquin de Mendoza, gobernador político y militar que fue de la plaza de Gerona, se servirá presentar los al Sr. D. Domingo Requejo, que vive en Madrid, calle de S. Juan, núm. 4, quartó principal, en don…</t>
  </si>
  <si>
    <t>Paula</t>
  </si>
  <si>
    <t>…tios, ,ifd«: una, haza-de.7 fanegas de los Zarzales, id.:' otra de una fanega , 7 celemines en Chórruélo, id.: otra de 2 fanegas, 8 celemines,, casas de Cabrera, id. Capellanía de Doña Paula y D. Juan Albertos. Una casa cálle la Era en Armjlla: otra en id: una haza, 6 marjales tierra, pago de la Presa mala, id. Capellanía "de D. Cristóbal López Morón. Un cortijo llamado de Cortes de 120 fanegas de tierra, Montefrio. J Capellanía de D, Alonso de ios Ríos, Uná casa n…</t>
  </si>
  <si>
    <t>Paules, Eduardo</t>
  </si>
  <si>
    <t>Eduardo Paules</t>
  </si>
  <si>
    <t>…arrasco , Don josef Rae^a f ,D. Miguel Sánchez,,¡ D. Litis Vidarte, D. Tiburcio Martínez, IX Rufino; Andinql IX Antonio la Rosa i D. Pedro Albo, D. Nicolás Giezar, DvJuanVicente , D. Eduardo Paules , ,D. Francisco Sánchez, D. Josef de Castro, D. Venancio, Garnez , D. Nicolás Laborda, D. Manuel 1 aborda*, D. Nicolao Ribera, D. Gregorio Dalmao ; D. Francisco Navas., D. Filiberto Malus, D.;/Josef •¡Blanco*L). Mariano Córdoba * P. Josef Ferrer, D. Ca yetano…</t>
  </si>
  <si>
    <t>Payan, Elias Izquierdo y</t>
  </si>
  <si>
    <t>Elias Izquierdo y Payan</t>
  </si>
  <si>
    <t>…claro y obscuro están diestramente distribuidos; el dibuxo parece de Rafael, y el colorido del Ticiano. Se vende en la librería de Dáviia, calle de las Carretas, frente al correo. D. Elias Izquierdo y Payan, escribano honorario de cámara de S. M., mayor teniente del Real tribunal del consulado de comercio de la plaza de Cádiz, y capi tán de milicias de ella &amp;c., certifico : que por providencia de dicho tribunal dic tada ante mí en 25 del corriente en los autos n…</t>
  </si>
  <si>
    <t>…stablecido en el año1807, ó el que se es tablezca de nuevo para lo sucesivo. .., En los autos que penden en el tribunal del consulado de la ciudad de Cádiz, y por la escribanía de D. Elias Izquierdo y Payan, promovidos á instancia de D. An tonio Lasqueti, director de la compañía de seguros, establecida baxo la protección de nuestra Señora de las Angustias y S. Antonio de Padua, en razón de.proporcio nar el anulamionto y cancelación de la misma sociedad, habiendo…</t>
  </si>
  <si>
    <t>…derecho en la quiebra de la casa-comercio dé los señores Bóhí, hermanos y cómpañíá de aquella plaza en el término dé seis meses, acudiendo con poder bastante pór la escribanía de D. Elias Izquierdo y Payan , es cribano de dicho consulado,1 en donde está radicado este concurso. Se desea saber el paradero del capitán del regimiento de Hibernia D. Joaquín •Pardo'Cela ; que fue hecho prisionero en la retirada de Durangó á fines del año de I1808, y conducido á Burgo…</t>
  </si>
  <si>
    <t>…so de 30 días; apercibidos que pasados sin haberlo hecho, sin mas aviso, ¡se procederá á la substanciación y determinación de los autos, parándoles ¡el perjuicio que haya lugar. , D. Elias Izquierdo y Payan, escribano honorario de cámara del Rby nuestro Señor, mayor teniente del Real tribunal del consulado dé la plaza dev Cádiz, sobte juicio universal de concurso de acreedores á la compañía de comcrcio que ha titula-</t>
  </si>
  <si>
    <t>Paz, Francisco Cándido de</t>
  </si>
  <si>
    <t>Francisco Cándido de Paz</t>
  </si>
  <si>
    <t>…procederá á la subs tanciación y determinación de los respectivos espedientes, parándoles el perjuicio qué haya lugar sin otro aviso. .....PoF providencia de 21 del corriente del Sr. D. Francisco Cándido de Paz, dél conáéjó de S. Mi, y alcalde de su-Real casa y corte, se ha mandado sacar á públi ca subasta por término de 30 diaé una huerta con su casa dentro de ella, situa da en el sitio que llaman de las Pcñúelas, en los confines del portillo de Valencia de esta mi…</t>
  </si>
  <si>
    <t>Paz, Francisco Javier Godinez de</t>
  </si>
  <si>
    <t>Francisco Javier Godinez de Paz</t>
  </si>
  <si>
    <t>…abrera, que empie-. zan desde el año de 1489: lo que se avisa para que los parientes ó interesados en dichos documentos pasen á recogerlos. ; La persona que supiere el paradero de D. Francisco Javier Godinez de Paz, re-** sidente.en la ciudad de Sevilla en el año de 91, ó de sus hijos ó descendientes, se servirá manifestárselo á D. Vicente Petisco,vecino de la villa de Ledesma, pro?, vincía de Salamanca, ó en Madrid i D. Manuel de Paz, que vive calle de Relator* res, nú…</t>
  </si>
  <si>
    <t>Paz, Manuel de</t>
  </si>
  <si>
    <t>Manuel de Paz</t>
  </si>
  <si>
    <t>…de Sevilla en el año de 91, ó de sus hijos ó descendientes, se servirá manifestárselo á D. Vicente Petisco,vecino de la villa de Ledesma, pro?, vincía de Salamanca, ó en Madrid i D. Manuel de Paz, que vive calle de Relator* res, núm. 21. . . Manuel Perales, natural de Cantavieja, reino de Aragón, partido de Aleaniz, hijo de Simón Perales y de Bárbara Cterich, fue soldado granadero en el regimien to de infantería segundo.de la Princesa en 1810, y cayó…</t>
  </si>
  <si>
    <t>Pcrez, Ignacio</t>
  </si>
  <si>
    <t>Ignacio Pcrez</t>
  </si>
  <si>
    <t>, '924 ................... ....á.D. Ignacio Pcrez. Paca la vara de Ciudad-Rodrigo a ■'©PF'fa'ilcistó'Jayié» García Zamora: para la de Sorbas á D. Eugenio María Alvaréz: para la de Serón á D. Josef a Ganancias : - para 4a :de Grdtavá á l&gt;. Ma^tih ’Varop Oiiváí para la de Puebla de; Santa María de Guadalupe £…</t>
  </si>
  <si>
    <t>Pe</t>
  </si>
  <si>
    <t>…D. Santiago Key y Muñoz, canónigo deetoral de la iglesia colegial de S. Salvador de Sevilla: parí otra canongía de Ja iglesia metropolitana de Búrgos, vacante por fallecimiento de D. Pe dro Vicente Berrio, y por no haber tenido efecto el nombramiento que S. M . se sirvió hacer de esta canongía en D.’ Saturnino Santa María, á Don Pedro Velarde, doctor en ambos derechos y y cbmándante del régimientó de' tiradores de Cantabriapara uña ración, v…</t>
  </si>
  <si>
    <t>El Rey tioestro Señor, en atención á los méritos y servicios de D. Pe dro Antonio Sicilia, administrador principal de correos de Zaragoza, ha tenido á bien confirmarle la gracia de honores de comisario ordenador de los Reales exércitos que le concedió el capitán general de Aragón en 1808. Se halla vacante la plaza de médico de…</t>
  </si>
  <si>
    <t>…ito Palácios á D. Pedro Moreno, presbítero. Eldeanato de la catedral de Calahorra, vacante por ■promoción de Don Antonio Carrillo y Mayoral á la iglesia y obispado de Plasencia, á D. Pe dro Prado , canónigo de la colegiata de S. Isidro de esta corté , y lá canon gía de lá misma catedral, que ha Resultado vacante por la espresada promo ción, á D¿ Josef Eleutetio Barona, racionero de la colegiata de Briviesca. El priorato de Roncesvalles, que…</t>
  </si>
  <si>
    <t>…zalbe, D. Ventura Correjes, D. Agustín Gar cía , D. Pedro Menor, D. Rafael Santiago; D. Ramón Franc, D. Juan de la Cruz de Tena, D. Vicente Torres* D. Gaspar .Fernandez Bobadilla, D. Pe dro Ramos , D. Pedro del Castillo, 0. Anafes García, D. Manuel Govantes, D. Juan Esdovar, D. Cayetano Salcedo, Dw Andrés Nieto.-, B; Manuel Nifo, D. Juan Ltiis&gt; Astraudi yB* Martin dé lbs¡filenos ,D¿ Gabriel: fescolar, D; Ma teo Fernandez, &lt;Dí Adrián Jaco me,…</t>
  </si>
  <si>
    <t>…Gáliano, D. Manuel Ayolo, D. Ignacio Cambil, D. Vicente. Dolz , D. Manuel Fernandez , D. Rafael Montemayor, D. Ga briel Villoría, D, Diego Latorre, D. Pedro Vidal, D. Antonio Rey, D. Pe dro Áhnabai, D. Manuel Lomar, D. Pablo Chamorro , :D, Josef Ckuñer. DvJosefGucrra, D. Juan Sevillano , H. Josef Fonseca, D. Sancho Estrada, ¡BJosefSoler , D. Diego Delgado* D* Rafael Vargas, D. Josef Llanzo, Don Josfef Astraudi ,.D. Juan de Sotomáy or, D. Cay…</t>
  </si>
  <si>
    <t>…a vida bienaventura* da, de la tranquilidad del ánimo, de la constancia del sabio,de la brevedad déla vida, de la consolación y de la pobreza ¿¿traducida al castellano por el Lie. D. Pe dro Fernandez Ñavarrete: un tomo en 8. marquilla, en pasta’á 10 rs. y á la rústica áB. Se hallará en el despacho de libros de la Borda, calle Mayor, portal dé Man guiteros. ' Biblioteca df buena educación, ó el amante de la niñez y de la juventud, saca da de;…</t>
  </si>
  <si>
    <t>Pe, Francisco Antonio</t>
  </si>
  <si>
    <t>Francisco Antonio Pe</t>
  </si>
  <si>
    <t>…e Zaragoza; D. Gregorio Flores, D. Juan Miguel Rodríguez, D. Eusebio Rodríguez, D. Francisco Masías, D. Pedro Rodríguez, D. Manuel Diez, D. Miguel María Robles, D. Pedro Maratino, D. Francisco Antonio Pe rez y D. Manuel Martínez, del de Voluntarios de León; D. Raymundo Provedo, D. Cipriano Alvarez, D. Mariano López y D. Andrés Garrido, del de Voluntarios del Ribero: de Subteniente á D. Pedro Losada, D. Jo sef Novales, D. Josef Ulloa, D. Nicolás Quiñones, D. A…</t>
  </si>
  <si>
    <t>Pe-</t>
  </si>
  <si>
    <t>…uerto el navio Abukir de S. M. Británi-*ca, mandado por el capitán Thompson, procedente de las aguas de Mahon. a * * ¡i isi a * aquí una escuaclra* también inglesa, mandada por el almirante Pe-4 lew, compuesta de los navios de línea el Bayona y el Inconquistable de p8 cañones-yel Malta .y el Pómpeyo de 8o ; el Ájax 3 el Berwtck 3 el Levia^ than y él Montagu de 74; dél bergantín Piloto, y de una escuna.' ‘ 1 . V ■; ^ ■: .■ i'- -ir " • . . r ESPAÑA. '…</t>
  </si>
  <si>
    <t>Pecero, Fabian López</t>
  </si>
  <si>
    <t>Fabian López Pecero</t>
  </si>
  <si>
    <t>…e Cañete ai te niente D. Rafael Rodríguez: para el mismo en el de dragones de Atidahuaylas ai teniente D. Juan Beingoolea : para la compañía de granaderos dél propio regimiento al capitán D. Fabian López Pecero: para el empleo de ayudante en las compañías sueltas de caballería de Santa al teniente D. Ma riano Mateus: para tenencias en las mismas compañías á los alféreces Don Joaquín Gasteaburu y D. Pablo García Rivas; para una subtenencia de lás mismas al soldado di…</t>
  </si>
  <si>
    <t>PedooJoSefiGeiir-</t>
  </si>
  <si>
    <t>…erte de D. Francisco Rodríguez: Gampomanes * á DoirAiitonio Alloe , capellán de ?, honor^enlaiReáfc capilla &gt;y y pafca el beneficio^ jkésramoMe Mezqukil^vaeanfepor ftlletítmentode D. PedooJoSefiGeiir-/ fote í y ét beneficio'dé Horbaéhuélos yqué ’h^ -yac^tib por ladé Di Apoli-* ifar Máríáf Crespo^ khd''yq'ótioSe^ltob»^ádd dé'Coirdoba» á í)? Jd^cf'Ñá*^ vkrro yÁíbá, . ' : ***; •’ 5 ;; '" * 5; vo*,l .U'i -ti El Rey ha servio cpnj^r la-aYiibd^!!? ¡^c‘P|Wtofícto…</t>
  </si>
  <si>
    <t>Pedrajas, Joaquin Calero y</t>
  </si>
  <si>
    <t>Joaquin Calero y Pedrajas</t>
  </si>
  <si>
    <t>…rbara de Ecija: en la expresada iglesia colegiata de S. Hipólito una canongía,vacante por muerte de D. Antonio de la Iglesia, á D. Juan Rósete: otra canongía vacante por muerte de D. Joaquin Calero y Pedrajas á Don Manuel de la Fuente y Dávila. = Hn la catedral de Barcelona la dignidad de sacristán mayor, vacante por muerte de D. Esteban Pinos,á D. Félix Torres Amat, canónigo de la iglesia colegial de S. Ildefonso; y la dignidad de arce diano de Llobregat, vacante…</t>
  </si>
  <si>
    <t>Pedro</t>
  </si>
  <si>
    <t>…or su restitución al trono, y besar su Real mano y la de SS, ÁA. Jos Sres. In* fantés D. Cárlps y ,D. Antonio , en nombre de la viila de Villamartin, reyno de Andalucía, él Excmo. Sr. D. Pedro^Águstin Girón, tenientefgeiteral de los Reales exércitos , y D, Bernardo de los Rios, yeqinp.^déiella^ eí primero de los qialesarengó á S. M. en los,«términos siguientes.; ^ : ¡i1* . „ Señor : el ay untamiento de la villa de Villamartin rinde- i L. P. de V. M…</t>
  </si>
  <si>
    <t>…V.- rir*. 7 ’ - ¿ Dios guarde á V. S. muchos años. Madrid 13 deEnero de 1815, . ■. Us Articulo comunicado por la primera secretaría de Estado. Por las íójrdenesodel Rey que qn 4$ Sr. D. Pedro iCevallos j jptimer-sécretario de Estado y-del despachó,, al conde de Castañeda de Jos Lámos,, juez protector y conseryador del canal tilla, y por la» instrucciones qué al tiempo .fie destinarle ádichoestjíblecir miento se le dieron, se le recomendó eficazmen…</t>
  </si>
  <si>
    <t>…tares ó patriotas que hubieren muerto en defensa de la justa causa de la nación, ha cabido en suerte del primer extracto de la de este dia á Doña María del Carmen Gamberg, hija de D. Pedro, capitán del batallón de la Victoria , muerto en el campo del honor. La extracción siguiente se exécutará el 19 de Junio próximo. ARTICULÓ DE OFICIO. Circular del ministerio universal de Indias, El Rey nuestro Señor se ha servido expedir el Real decreto sigui…</t>
  </si>
  <si>
    <t>…Amo*, fidelidad y respe to á V. M. no son, Señor, voces vanas pronunciadas por aquel púébld fiel, siempre pronto á sacrificarse por sus Soberanos legítimos: si aun el mis mo cruel D. Pedro, tan odiado y tan combatido, halló mi apoyo en lo¿ lugueses, ¿cual se hallaría V. M. siendo el Rey querido, el amado, el idolatrado de la nación entera? Lo que ellos han hecho por vuestra corona es mas bien asunto de una historia que de una arenga. Invadido e…</t>
  </si>
  <si>
    <t>…ti al arzobispo dé Tarragona, obispo de San-' tander, marques de Sta. Cruz , duque de Medinaceli , conde de Torrejón, du que de Alagon, D». Francisco Saavedra, conde de Ezpeleta , D. Pedro^Gó mez Labrador y D. Antonio Vargas y Laguna. 1 De número, pequeña á D. Francisco Ortiz de Taranco. &gt; Supernumerarias á D. Gaspar Zurita, D. Ignacio Acha,D. Vicente Alzaybár., D. Josef Vareta y Montero, Barón de Gastellnou de Momech , Don Burges Camac, D. Jos…</t>
  </si>
  <si>
    <t>…muerte de D. Josef Subirán I D. Juan Manuel Rengifí), cy 15apropio de ja villa de Casa-Vieja:en la diócesis de Avila. T La canongía vacante en la catedral de Oviedo por muerte de D. Pedro .Nava á D; Josef Sánchez de Caso , actualmente canónigo de la de CiudadRodrigo que ha yacido, en la misma iglesia! de Qyiedp: por fes» JleGimiento de l). Carlos Robles á. tí. Juan, Gerónimo Coudery rector del colegio de S, Gregorio de dicha ciudad, y la canon…</t>
  </si>
  <si>
    <t>…n de Campos'y Molina , corregidor de Granada: 12® r$. vn. que ha dado D¿ Josef Lesaca, contador de dáta de lá tesorería Íeneral: 8® que ha dado su hijo D. eleménte: 1® que há dado D. Pedro dé Iscftlár/t 40® rsi en dinerp ¿vales y1 ; que han: dado D, JdséF Marió Méfeáréio^ marques déxCá* a-madrid ygétmlhbmbreclef Cáñiára , y D. Amontó 4|árraiV sil ^hérhSóo*,\c«J^ófielrgfaddádd Jlí Real cücroó ¿fe artillería, y 5 ® rs^ádó"toldan' Antón,'cu«|‘.del…</t>
  </si>
  <si>
    <t>…ento-de D. Andrés Perez Venturo á EX Bruno Joaquín Espadero-, director espiritual del seminario dé Cáeéres.=: El arcíprestazgo de la villa» de Alburquerquey vacante por muerte- de D. Pedro; Caballero Huertos r á D. Manuel de Osma? y Huertos, con intención- del be—■ neficio servidero que obtiene en la misma villa. = La canongía vacante eh lacolegiata de Mora, diócesis de Teruel, por fallecimiento de í). Josef Izquier do, á IX Juan Btesa , capell…</t>
  </si>
  <si>
    <t>…Juan Ltí« »ás,D. Joaquín ALvarez Maldbnado, 0. Rodrigo Sánchez Airona, D. RaU* hiel Arango, D. Lean. Grl de Palacio, D. Joaquín Villaba, 0. Antonia ¡Sén quera, 0. Manuel Zacates, D. Pedro de la Llave, 0. Josef Mariano dél Puk ar, D. Josef Arias Saavedra, 0. Antonio Hoscoso , Salvador Moreno* Vicente Vázquez, D. Tomas Dolagaray, D. Silvestre Blanco , D.&lt; Pedrof Valera, D. Santiago Piñeiro, D. Juan de Mata Marina, 0. Fernando Ruiz&gt; 0, Fulgencio…</t>
  </si>
  <si>
    <t>…D. Domingo Ranee! y D. Manuel Toro: grados de capitanes á los tenientes D. Josef Fernandez de Apero, D. Vicente Herrera y D. Lufs Garcíay. grados de tenientes; á los subtenientes D. Pedro* Pirez &gt; D.-Manuel Angusaao y D/ Francisco Luqub (- ** (Se continuara.) &gt; ■■ s t. i ■' i. O '*■ ■ *V i i * •- &gt;• r’*■ •. - 1 : k ; -* El Rey nuestro Señor ha’tenido, á bien resolver que no concederá en ade lante ninguna cruz: por acción perdida; pero sin .que…</t>
  </si>
  <si>
    <t>…no habiéndose sabido desdé en tonces su paradero, se.suplica á quien.sepa de él se¡sirva comunicarlo en esta corté á D. F rancisco Antonio Cerragería, dél comercio; en la Coruña á D. Pedro de los -Ríos , y en Mondoñedo á D. Josef Luaces y Fresno.' " En principios del año pasado dé 1808 residía en la ciudad.de Valladolid Don Manuel Cabrera, capitán reformado entonces del{regimiento provincial de Toro, de cuyo sugetó no se ha vuelto á saber despú…</t>
  </si>
  <si>
    <t>…on, Dt' Josef Palillos, D. Antonio Acosta, D» Francheo Menduiña, D. Julián Senessens^iD* Josef AraüjoyD. Antonio Rute, D. Manuel Santander, D. Josef Domínguez , D. Josef!Montero y D. Pedro .Trasierra , D. Frandsco Olmo:,* Don Fermí n Meneos^ «Dv VénturaiRiesco ,D. Josef Muñoz § D. Luis Gorrichátegui, B; Joaquín Arbizu, D. Francisco Bravo, D. Josef Ausejo, B. Ramón Espona, D. Fráncisco Victoríno, D. Pedro Lechuga, D. Manuel Aramburu, D. Ramón Vi…</t>
  </si>
  <si>
    <t>…de la Cámara Cano , del consejo de S. M., te niente primero de corregidor de esta villa, y por la escribanía numeraria de D. To mas de Sancha y Prado , penden autos promovidos por D. Pedro#Man.uel Rojo so bre aprobación de la cuenta que ha presentado como administrador judicial de una ¿ásá sita en la calle ancha del Avapies, número ra de la manzana 47; y no habien do podido comunicarse cierta providencia á Ü. Rafael P©veo, D. Manuel Flores jr</t>
  </si>
  <si>
    <t>…Cartagena en el año de 1808, desde donde escribió la última vez en 27 de Enero de 1810. Quien supiese de ella se servirá avisarlo á su marido D. Diego Guitart en Madrid, calle de D. Pedro, rulen. 2. Entre los papeles derrocados de la escribanía de ayuntamiento de-Ja villa de Torrecillas:, provincia de E$tre madura, partido de Trugillo, del cargo de. D. An tonio García Márquez, ha parecido por una de aquellas casualidades ó desgracias ocurridas…</t>
  </si>
  <si>
    <t>…D. Silverio López, D. Francisco de Oña, D.. Francisco Antdhio Líbref ; D. Joaquín MuezVD. Juan Ignacio*Cervera, D. Salvador Ce bollino, D. Ventura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t>
  </si>
  <si>
    <t>…inza de ministro togado del supremo consejo de Hacienda, vacante por salida de D. Tadeo Segundo Gómez al de Castilla. Eí Rey nuestro Señor en atención á los méritos y servicios de D. Pedro: Alcántara Aceituno, caballero de la Real distinguida orden española de Car los ni, regidor decano de Talavera de la Reina, ha venido en concederle cruz pensionada en la misma orden. En virtud de Real cédula de S. JM. y.señores.-del Real y ¡supremo consejo de…</t>
  </si>
  <si>
    <t>Pedro'-Góíñéz-</t>
  </si>
  <si>
    <t>7Í° ... , : , Josef¿Perez de. Castro, D.: Jósef LliriaS ,D. Francisco' Castañeda, D. Juan Liebres, D. Pedro'-Góíñéz-, Di. Fráñcls^o de Paula Rámlréz¿ DI Cecilio Mó¿ lina, D. Josef Martínez Coronado, D.. Gerdriimo Gallardo, D. Francisco Calero, D. Patricio González y D. Juan Josef Constantini (*). ,0 i 1 i ? ví 0..r-C . T A . , En el Real cuerpo de Guardias de su Real Person…</t>
  </si>
  <si>
    <t>Pedro, Juan Luxigo y</t>
  </si>
  <si>
    <t>Juan Luxigo y Pedro</t>
  </si>
  <si>
    <t>…y Pi no: para ia de Iguña á D. Isidoro de Josué y Barreda: para la de Leinus á D. Francisco de Paula Villareal: para la de Mónterey á D. Carlos Angulo: para la de Colmenar Viejo á D. Juan Luxigo y Pedro?a: para la de Baylen á D. Manuel Antonio Caballero: para la de Águilar del Rio Alama á D. Antonio Ramos Calderón; y para la de Leganes á D. Félix Benitez. Para el corregimieno de Alcaraz á D. Andrés Josef Amat: para el de $. Clemen te á D. Josef Matías Eguiza…</t>
  </si>
  <si>
    <t>Pedro, Manuel de</t>
  </si>
  <si>
    <t>Manuel de Pedro</t>
  </si>
  <si>
    <t>…rano. . ^ ¡1 En el regimiento Real de Zapado resMinadores«?1 ¡ 1 ‘ Grados también de subtenientes á los sargentos primeros D. Juan Pedro Boullu, D. Miguel Campillo, D. Juan López, D. Manuel de Pedro, Don Pedro Perez y D. Domingo Anguiano. ] Circulares ael ministerio de Guerra, El Rey nuestro Señor, que. procura estender sus paternales desvelos á to das las rolases del estado, y desea que los oficiales que por sus heridas y ’añbs de servicios se han separ…</t>
  </si>
  <si>
    <t>Pedro, Manuel de Xeon Santos de S.</t>
  </si>
  <si>
    <t>Manuel de Xeon Santos de S. Pedro</t>
  </si>
  <si>
    <t>…a una pla za del Consejo de la Cámara de Castilla/’ Asimismo se ha servido S. M. nombrar para la plaza del consejo Real, vacante por muerte de D. Antonio Ignacio de Cortabarría, i D. Manuel de Xeon Santos de S. Pedro, Regente de la audiencia de Galicia: para la pri mera de las dos plazas del consejo Real, mandadas consultar últimamente, á D. Juan Benito Hermosilla, Regente de la audiencia de Oyiedo, y para la segunda a D. Manuel de Ondarza, Regente de lá de Sevilla: para…</t>
  </si>
  <si>
    <t>Pedro, Pablo Nicolás de San</t>
  </si>
  <si>
    <t>Pablo Nicolás de San Pedro</t>
  </si>
  <si>
    <t>…o de D. Matías de Hita ¿ D. Juan de Sevilla, beneficia-» do de la parroquia de S. Juan de Málaga.= La canongía de ia iglesia primalda de Toledo, que ha vacado por fallecimiento de D. Pablo Nicolás de San Pedro , á D. Agustín de Rivarola, prelado doméstico de S. S.; y la capella-1 nía de coro de ia misma iglesia, vacante por muerte de D. Josef Monedero»i D. Ignacio Fernandez Fuentes. = La abadía que ha vacado en la iglesia colé-' gial dé Jerez de la Frontera por mue…</t>
  </si>
  <si>
    <t>Pedro.Gasteiú</t>
  </si>
  <si>
    <t>…000 ídem............ En ídem. 3000 idem........... En Cádiz. 2000 ídem........... En Madrid. 1000 ídem........... Idem. 21893 1000 ídem........... En Bilbao. ARTIQÜLO DB OFICIO. ; D. Pedro.Gasteiú , brigadier y coronel del regimiento infantería de Castropol; I). Felipe Montes, brigadier, ayudante general de estado mayor, y JÓ» Pedro Aguado, coronel y ségundo ayudante general del mismo, con el debida respeto hacen presente á V. M., á su nombre y al de l…</t>
  </si>
  <si>
    <t>Pedtet, Manuel</t>
  </si>
  <si>
    <t>Manuel Pedtet</t>
  </si>
  <si>
    <t>…Gar cía ,JX Juan" Sánchez Illescas-, D. Antonio González.* 0.' ManueL de las Ríos, D. Juan López , 0. Luis Rodríguez , 0« Manuel Ravanera., D. Antonio Ar de rius, D. Juan Molina, D. Manuel Pedtet: de tenientes á los. subtenientes D. Luis Carrillo, D. Matías Blasco, 0. Francisco Villalobos *D. Josef Gar cía Malo, D. Sipnon ie Cárlos, 0, RafaelCisneros., 0. Joaquín Antíllon, D. Josef Oimedllía , 0. Luis.Cortey, 0. Manuel Montero., .0. Manuel Pío Moreno,…</t>
  </si>
  <si>
    <t>PedtoAivarez</t>
  </si>
  <si>
    <t>…ánchez de Castro, presbítero y capellán de las. religio sas capuchinas de la Coruña: para el de Sta. María de Furnaces » .ea:el prot pió obispado de Orense, vacante por ascenso de D. PedtoAivarez alcurato de Sta. Tomé de Moreiras ,.á D. Antonio Rodríguez Suarez ^presbítero,; resi-r dente en S. Salvador deAlmariz: para el de Santiago,de Copas, en el ihbmo obispado, vacante por ascenso de. D. Josef Peña al curaío; *de S. Payé de Araujo , á D. Josef Pedr…</t>
  </si>
  <si>
    <t>PefeZ, Tomas</t>
  </si>
  <si>
    <t>Tomas PefeZ</t>
  </si>
  <si>
    <t>…D. Gerónimo Rodrigo, D. Domingo Chaves y D&lt; Fernando Mateos Mettdez : á los de los batalló-»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Eulogio González, D. Manuel Lúeas, D. Cristóbal Martin, D. Joaquín Se…</t>
  </si>
  <si>
    <t>Pegot</t>
  </si>
  <si>
    <t>…auchetAAry:d p'.S -: Asimismo ha publicado la siguiente órden del dia. .. El general en gefe manda lo siguiente: „E1 departamento del Gironda se ha puesto en estado de sitio. „ El general Pegot volverá á tomar el mando del departamento. Los dis tritos del subprefecto tendrán comandantes particulares á las órdenes de un comandante superior del departamento; ^ „E1 distrito de Lesparre, que tenia el comandante Blayé , queda en eíl dia confiado al gener…</t>
  </si>
  <si>
    <t>Pelegrin, Ramón López</t>
  </si>
  <si>
    <t>Ramón López Pelegrin</t>
  </si>
  <si>
    <t>8f2 promoción de D. Ramón López Pelegrin á plaza dél mismo tribtinal; y pa ra la fiscalía de ia sala de alcaldes á D,. Diego JoseíSalazar: para la. fiscalía db| crimen, de¿ la chancillería ¿de.! Granada A-¿ D. Lucas iGstieapara uqa plíiza de alcalde deí crimen do la chancÍHería;dc^V’aU«d&lt;di(l;á!^ Ví…</t>
  </si>
  <si>
    <t>Pellicer, Casiano</t>
  </si>
  <si>
    <t>Casiano Pellicer</t>
  </si>
  <si>
    <t>…teológicas, Reales resoluciones y providencias del consejo supremo sobré comedias, y con la noticia dé algunos célebres comediantes y comedíantas, asi antiguos como modernos, por D. Casiano Pellicer, oficial dé la Real biblioteca de S. M.: un tomo en 8.° Esta obra sobre poderse considerar co mo única en su clase, pues no hay otra en que se trate tan de propósito de nuestros teatros, .tiene la ventaja de comprender una gran porción,’de noticias inéditas q…</t>
  </si>
  <si>
    <t>Pellón, Tomas de Aja y</t>
  </si>
  <si>
    <t>Tomas de Aja y Pellón</t>
  </si>
  <si>
    <t>…y D. Agustín de Samanoj Contador de Rentas generales D. Higinio García de Burunda; Gefe del De partamento del Fomento y Balanza.D. León Gil Muñoz; Contador de Rentas Provinciales D. Tomas de Aja y Pellón; Contador de la Renta del Taba? co D. Gabriel López; Contador de la Renta de Salinas D. Francisco Escar-. íariy Contádor. Ael, ÍÑoveno y E^cu^ado D. Rafael Florín , y Contador de Salitres D. Joaquín Ciudad Sánchez; y previniendo que por él quedan supri midas…</t>
  </si>
  <si>
    <t>Pelu</t>
  </si>
  <si>
    <t>…Xebzefcero &gt; enriado- estraordinario y ministro; plenipotencia rio del Emperador de Austria , marchó ayer de vuelta á Ñapóles. En su áuT séncja queda encargado de los negocios el Señor Pelu^l , secretario de la lega-1 clon.* Monseñor Ódéscálchi, auditor de Rot'á- del ‘Austria,'"que1 últimamente.* hacia las reces del enviado, se halla en Florencia por algunos diasí. ' ’ Ayer por la mañana recibió por estraordinario el caballero de Lebzeltern ías…</t>
  </si>
  <si>
    <t>Peña, Josef</t>
  </si>
  <si>
    <t>Josef Peña</t>
  </si>
  <si>
    <t>…; dióce sis de Qrerisej.á ft. Jnáu {Leandro López, abad de S. Salvqdpi; de Paradadq Ribera, ;en ,eí prQpio obispado yvestpdp de * pá tófí&gt;l,ae¡ Santa,„'Már ría de Vil larda bos: £ D. Josef Peña, abad de Sapriagp de ^pbas, en el mi^ mo estado y en dicha diócesipara el de S, Payo de Áraujp : á Ó Benito Perez Ta^boada, abad jdq-jS. Vicente de; la Ulloa , en el obispado de Lugo, referido estado de cMont£rey , pa ra ,el de Santa María de Feces : á D. Ben…</t>
  </si>
  <si>
    <t>…. Tomé de Moreiras ,.á D. Antonio Rodríguez Suarez ^presbítero,; resi-r dente en S. Salvador deAlmariz: para el de Santiago,de Copas, en el ihbmo obispado, vacante por ascenso de. D. Josef Peña al curaío; *de S. Payé de Araujo , á D. Josef Pedro Parada y Martínez, cura párroco déSta. María dé</t>
  </si>
  <si>
    <t>Peña, Pedro Ruiz</t>
  </si>
  <si>
    <t>Pedro Ruiz Peña</t>
  </si>
  <si>
    <t>…ín López Varela, D. Antonio Guerrero, D. Josef Guerrero, D. Juan de Castro, D. Juan López, Don Pedro Santistéban y D. Josef Novoa, del de Lugo; D. Luis Blanco, Don Pedro Iglesias, D. Pedro Ruiz Peña, D. Pedro Rodríguez, D. Isidro del Rio, D. Antonio Arias, D. Manuel Quiñones, D. Carlos Mota, D. Auto-</t>
  </si>
  <si>
    <t>Peñafíel, Josef</t>
  </si>
  <si>
    <t>Josef Peñafíel</t>
  </si>
  <si>
    <t>D. Josef Peñafíel, que aparecen interésadosén dicha casa, por nó Jhaberse p© dido averiguar su paradero, se anuncia al públicoá fin de que llegue á su noticia* y pa-* ra que en el término preciso de 30 días, sin perjuicio del nombramiento de defen sor, se presenten por sí ó po…</t>
  </si>
  <si>
    <t>Peñaredonda, Josef de Posadiilo' y</t>
  </si>
  <si>
    <t>Josef de Posadiilo' y Peñaredonda</t>
  </si>
  <si>
    <t>286 El Rey nuestro Señor se ha servido expedir el Re Al decreto siguiente: „ En atención á los conocimientos; particálares servicios y demás cir cunstancias que concurren en D. Josef de Posadiilo' y Peñaredonda, he ve nido en nombrarlo mi Tesorero general del Reyno, y es mi Real voluntad entre inmediatamente en exercicio en lugar de D. Víctor Soret, á quien he tenido por convenienteexónerar de este encargo. Tendreislo entendido , y lo comunicareis á quién ^correspón…</t>
  </si>
  <si>
    <t>Penche, Manuel</t>
  </si>
  <si>
    <t>Manuel Penche</t>
  </si>
  <si>
    <t>…te podrá dirigir el aviso con las propuestas á D. Cesáreo Josef Novillo, del comercio de li bros én esta corte, calle de la Concepción Gerónima. Se desea saber de la existencia de D. Manuel Penche ó sus herederos, que va rios años antes de la invasión de los enemigos en España vivía en la ciudad de Cá diz, para comunicarles cierta parte de herencia que les pertenece por fallecimiento de Doña Josefa de los Hoyos y Villota y del Lie. D. Domingo de los Ho…</t>
  </si>
  <si>
    <t>Peñuelas, Luis Perez</t>
  </si>
  <si>
    <t>Luis Perez Peñuelas</t>
  </si>
  <si>
    <t>…y naturaleza, y les parará el perjuicio que haya lugar. Por el presente se cita, llama y emplaza á las personas que tuviesen derecho á los bienes que quedaron por fallecimiento de D. Luis Perez Peñuelas, vecino que fue de esta corte, para que por sí ó por medio de procurador se presenten en el término de 15 dias precisos, contados desde este de la fecha ante el Sr. D. León de la Cámara Cano, deí consejo de S. M., y teniente de corregidor de esta villa, por l…</t>
  </si>
  <si>
    <t>Peñuelas, Sebastian</t>
  </si>
  <si>
    <t>Sebastian Peñuelas</t>
  </si>
  <si>
    <t>…y del Lie. D. Domingo de los Hoyos y Viilota, su hijo, de cuyos bienes pende testamentaría en uno de los juzgados de la villa de Madrid, y escribanía de número de ella que egerció D. Sebastian Peñuelas. Maximiliani Stoll: Aforismi de cognoscendis et curandis febribus. Esta obrita, que seguramente no habrá médico que no conozca y aprecie, que apenas se hallaba hoy en parte alguna, que se deseaba con ansia, y que la Real junta superior guber nativa de la facu…</t>
  </si>
  <si>
    <t>Peón, Benito Aznar y</t>
  </si>
  <si>
    <t>Benito Aznar y Peón</t>
  </si>
  <si>
    <t>…tiempo en Palencia, ó-el de su hijo el coronel D. Manuel Mazo, á los nietos de aquella*señora,'suplican estos á la persona que lo supiese se sirva avi sar ó remitir esta noticia á D. Benito Aznar y Peón, calle de Jacometrezo, entre los números 8 y 9, quarto principa!. . Se desea saber qué persona en el año de 1810 giró una letra de 169 rs. vn. i favor de D. Pedro González, que fue muerto en el camino de Pamplicga á Bur gos , y si está pagada, y á quién. Se s…</t>
  </si>
  <si>
    <t>Per, Francisco de Paula</t>
  </si>
  <si>
    <t>Francisco de Paula Per</t>
  </si>
  <si>
    <t>…de Azuaga, va cante por prohiocion de D. Antonio Mediano Sartolo á la de Aímonacid de Zorita: paira la?dePedro Muñoz , por salida de D. Antonio Rodríguez Escóvar á la de, láetorá D. Francisco de Paula Per eirá: para la de Torregimeno en propiedad á jD. Juan Antonio de la Plaza, que la servia interina mente; y para la de :S. debrian de Castrotorafé, vacante por promoción de D. Antonio Entrecanales A la de Villatobas, á D. Ju-an Josef Moro de Elejaveitiá. En con…</t>
  </si>
  <si>
    <t>Peral, Josef del</t>
  </si>
  <si>
    <t>Josef del Peral</t>
  </si>
  <si>
    <t>…ala en celebridad del cümpleañosdel Sermó. Sr. Infante D. Antonio. ■ El día 11 de Setiembre tuvo la honra de felicitar á S. M. y besar su Real mano, ¿ nombre de la ciudad de Vera, D. Josef del Peral, caballerizo de campo honorario*deM., condecorado con la orden de la Lealtad en Valencey , y dirigirle el discurso siguiente: 4 f v -i ,, Señor: laciudad de Vera , si mpre fieFá V. M. ;, me ha confiado la agra dable y; honorífica comisión dé ofrecerme éh nomb…</t>
  </si>
  <si>
    <t>Peral, Nicolás</t>
  </si>
  <si>
    <t>Nicolás Peral</t>
  </si>
  <si>
    <t>…en la de Candánedpen Pamplona en, la de Longas; en Cervera de Ca taluña en la de Olivares; en Lérida en la de Escuder; en Soria en la botica de VaJderrama, y en Logroño en casa de D. Nicolás Peral. Introducción metódica á la teórica y práctica de lá medicina: obra escrita en in gles por el. Dr. David Magbride.: traducida al castellano: segunda edición: ,2 tomq$ en 8.° marquilla. -1. Nuevos elementos de fisiojogia, por Anttlmo .Richerand, pro fesor de a…</t>
  </si>
  <si>
    <t>Peralta, Bérnardino de</t>
  </si>
  <si>
    <t>Bérnardino de Peralta</t>
  </si>
  <si>
    <t>…Aguilar de Campoo i D. Juan Pedro Talasac: para la de Muía á D. Ignacio Fran-; cisco A yuso: para la de Baños dé Jaén á D. Antonio Llata Palacios; y pará la de Puente D. Gonzalo á D. Bérnardino de Peralta. &gt; ' , También se ha dignado S. M. nombrar para juez civil de la ciudad de , Cádiz á D. Teotiímo Escuderó, oidor de la audiencia de Sevilla. . ^ Asimismo en atención á los méritos ,y servicios con que ha acreditad^ -mil</t>
  </si>
  <si>
    <t>Peralta, Juan Manuel Moscoso y</t>
  </si>
  <si>
    <t>Juan Manuel Moscoso y Peralta</t>
  </si>
  <si>
    <t>…démífs^se rha continuado la; serie de los llmos. Sres.;:presidentes y arzobispos de; esta ciudacPhosta este presente año , y¡ un resumen histórico de la yida del Excmo. é limo. Sr.D. Juan Manuel Moscoso y Peralta, cuyos acontecimientos acaecidos en la América, como juntamente los sucedidos en esta^ciudad durante el gobierno francés, son dignos de saberse y acreedores^ mayor aprecio. Esta obra consta de 2 tomos én '4.° ¿e buen papel y mejor impresión. Se vende en Madri…</t>
  </si>
  <si>
    <t>Peralta, Manuel María</t>
  </si>
  <si>
    <t>Manuel María Peralta</t>
  </si>
  <si>
    <t>…sexós, que fueron testigos, y quedaron ediñcados con tan ilustre exemplo de piedad. El dia 17 de Noviembre último tuvieron la honra de presentarse á S. M. y Sermos. Sres. Infantes D. Manuel María Peralta y D. Sancho Andrés Ren tero, diputados de la villa de Baylen; el primero de los quales arengó i $. M. en los términos siguientes: ,,Señor: la villa de Baylen, que tuvo el honor de que en su suelo fue sen abatidas por primera vez las destructoras huestes del mas impío de los tir…</t>
  </si>
  <si>
    <t>Peralta, Manuel María de</t>
  </si>
  <si>
    <t>Manuel María de Peralta</t>
  </si>
  <si>
    <t>…asaux: para la de Fuentidueña á D. Mariano Vergara Perez: para la de Almázan á D. Agus tín Medina y Lavalle: para la de Zafra á D. Juan Crisóstomo de la Peña: para la de Cazorla á D. Manuel María de Peralta: para la de Benamegí á D. Cristóbal María Auton: para la de Cervera del Rio-Pisuergá á D. Roque Naranjo: para la de Astudillo á D. Eustaquio Manuel de Irala y Zavala: para la de Lora del Rio á D. Manuel Josef Rodríguez: para la de Colmenar de Oreja á D. Pedro…</t>
  </si>
  <si>
    <t>Peralta, Santiago Martínez de</t>
  </si>
  <si>
    <t>Santiago Martínez de Peralta</t>
  </si>
  <si>
    <t>…presidente, de la diputación provincial y.demai autoridades , fue conducido baxo de palio con ios honores militares ála sarita iglesia catedral, en donde el señor deán electo Dr. D. Santiago Martínez de Peralta cantó un Solemne Te Dntm en acción de gracias al Todopoderoso, pasando en seguida el R. P ex-definidor Fr. Josef Lanuza á leer en el púlpito el soberano decreto, que exciró de nuevo el regocijo del inmenso Con curso, que no pudo contener las efusiones de su c…</t>
  </si>
  <si>
    <t>Peralta, Vicente</t>
  </si>
  <si>
    <t>Vicente Peralta</t>
  </si>
  <si>
    <t>…para que sirva de estímulo á las escuelas de enseñanza pública. Estado militar de la Realarmada paradaño de 1815. Véndese ca el despa cho de la imprenta Real. Por providencia del Sr. Vicente Peralta, alcalde ordinario de Ja villa de Torrejon de Velaseo, se. manda llamar á quantos puedan tener derecho á tos bienes, que quedaron por fallecimiento de D. Antonio Venero de Valera, vecino que fue ¿i ella, y a todos sus acreedores, para que dentro de 30 dias, s…</t>
  </si>
  <si>
    <t>Perdiguero, Joaquín</t>
  </si>
  <si>
    <t>Joaquín Perdiguero</t>
  </si>
  <si>
    <t>…la plaza de Cartagena, como asimismo todo lo que este devengue de sus sueldos; se ha servido S. M. mandar que en su Real nombre se le den las gracias, y se publique en la gaceta. D. Joaquín Perdiguero se hallaba estudiando medicina en la universidad de Va lencia el año de 1808 , y se agregó al exército en el regimiento de voluntarios de Valencia en la compañía primera del tercer batallón al mando del Sr. D. Josef Ca ro. Con fecha de 24 de Setiembre escribi…</t>
  </si>
  <si>
    <t>Perdiguero, Pédro</t>
  </si>
  <si>
    <t>Pédro Perdiguero</t>
  </si>
  <si>
    <t>…o de Don Domingo Alonso Víctores á D. Julián Nicanor Recuero, capellán párroco del cuarto escuadrón de artillería ligera; la ración de la misma iglesia que ha vacado por muerte de D. Pédro Perdiguero á D. Bernardo María dé Ho mar; la canongía vacante en dicha catedral por promoción de D. Antonio Vidaurreta al aeanato de Almería á D. Severo Alonso Carrasial, cura pár-r» roco de Sta. María del Templo de la villa de Villalpando, en el obispado de . León , y…</t>
  </si>
  <si>
    <t>Peredo, Diego Fernandez</t>
  </si>
  <si>
    <t>Diego Fernandez Peredo</t>
  </si>
  <si>
    <t>…oficial de la secretaría del despacho de Marina: D. Blas Ostolaza, deán de la sarita iglesia de Cartagena: D. Antonio Remon del Valle , secre tario de la junta/milítar de Indias: D. Diego Fernandez Peredo, prior del consulado dé México; D. Tomas Ramón de Ibarrola^ D. Manuel de Urquiága y el conde de la Cortina, cónsules del expresado consulado.</t>
  </si>
  <si>
    <t>Pereyra, Juan Manuel</t>
  </si>
  <si>
    <t>Juan Manuel Pereyra</t>
  </si>
  <si>
    <t>…a provincia. Brigadieres á los coroneles D. Melchor Alvarez, coronel del regimiento in fantería de Saboya, esistente en Nueva-Españi^D. Antonio Cano, del de in fantería de León ;, D. Juan Manuel Pereyra, teniente coronel del de! húsares de Fernando Vir, uno y otro pertenecientes á la espedicion del mando del</t>
  </si>
  <si>
    <t>Perez, Agustín</t>
  </si>
  <si>
    <t>Agustín Perez</t>
  </si>
  <si>
    <t>…Francisco Solís á D. Antonio Cabal, cura párroco de S.Juan el, Real de dicha ciudad. = La media-raciomvacante en la catedral de Córdoba por muerte de D. Manuel Rodríguez Nodales á Don Agustín Perez, capellán de dragones de Almansa: la dignidad de prior de la colegiata deS. Hipólito de la ciudad de Córdoba, vacante por no haber toma do posesión de ella D. Celestino Sánchez, nombrado posteriormente para una canongía de la catedral de Sevilla, á D. Francis…</t>
  </si>
  <si>
    <t>Pérez, Alfonso</t>
  </si>
  <si>
    <t>Alfonso Pérez</t>
  </si>
  <si>
    <t>…del regimiento de Sevilla, natural del lugar de Grixó, parro quia de Sta. María de Trias de Eyras, en la diócesis de Orense. El que lo supiero se servirá avisarlo en esta corte á D. Alfonso Pérez, librero en la misma en la ca lle de las Carretas. Se desea saber si existe D. Francisco Blas de Llamas, capellán que fue de Rea les Guardias de Corps; y en el caso de que hubiese muerto, de su legítimo here dero, para comunicarle asuntos de intereses , sobre…</t>
  </si>
  <si>
    <t>Perez, Antonio</t>
  </si>
  <si>
    <t>Antonio Perez</t>
  </si>
  <si>
    <t>…fijáVon él curso de los vales á 68 pór 100: á virtud de este convenio se han satisfecho de sus respectivos créditos lá mayor parte de los acreedores, faltando únicamente que pagar D. Antonio Perez, D. Pedro Delgado, D. Antonio1 Blascuaga, D. Vicente Domínguez , Denvórat hermanos, D. Antonio Bringas,D. Sebastian de Aldama, Di Domingo Nava, Don Manuel Gerónimo dé Bringas con los cinCo gremios mayores, Enrior y Corrier, Bretón, Landay Viguri, y D. Bartolo…</t>
  </si>
  <si>
    <t>Peréz, Antonio Joaquín</t>
  </si>
  <si>
    <t>Antonio Joaquín Peréz</t>
  </si>
  <si>
    <t>…artibus dé Marcópolis, auxiliar y coadministradór de Quito. Flie consagrante él lima. Sr. D. Blas -Jacobo Beltrán i obispo de Ibizaj y electo de Coria: asistentes los limos. Sres. D. Antonio Joaquín Peréz, ‘ obispo- de la Puebla de los An geles; y D. Manuel Benito y Tabernero, obispo de Solsoná ;:y padrinos los Escmes. Sres. condes de Ofiate y de Villariézo. La solemnidad' cón que sé celebró esta santa y üugilsta Céremonia, y el'lucido y numeroso concurso que…</t>
  </si>
  <si>
    <t>Perez, Bernardo Andrés</t>
  </si>
  <si>
    <t>Bernardo Andrés Perez</t>
  </si>
  <si>
    <t>te de D. Benito Abad; y para el de Qaintanallabon, que lo está por la de D. Josef-Esterliz, ambos en el arzobispado de Burgos, á D. Bernardo Andrés Perez, racionero mas antiguo de la iglesia catedral de Osma: para otro benególo simple de Sta. María de las Reliquias del castillo de la plaza de Alburquerque, obispado de Badajoz» vacante por muerte de D. Francisco Herme negildo Corchado, á D. Francisco Martin Esc…</t>
  </si>
  <si>
    <t>Perez, Félix</t>
  </si>
  <si>
    <t>Félix Perez</t>
  </si>
  <si>
    <t>nioXímenez : la pensión correspondiente á viuda de Coronel efectivo á Do ña Angela Yarto, por haber muerto de balazo so marido D. Félix Perez» Teniente Coronel del Regimiento de Voluntarios de León: su ascenso in mediato al Escribiente del ramo de Cuenta y Razón de Artillería D. Juan Lafuente, y al Cirujano de Voluntarios de León D. Angel Vicente: hono res de Médico consultor á D. Enoch Herrero; y…</t>
  </si>
  <si>
    <t>Perez, Francisco</t>
  </si>
  <si>
    <t>Francisco Perez</t>
  </si>
  <si>
    <t>…Plaséncia...... D. Juan Campo y Oliva* En Valencia........ D. Ramón Miralles. En Avila.d...:...... D. Manuel palomares. Én Guqddlajara. D. Joaquín Veladiéfc. Eti TáiedoJ.......... D. Francisco Perez. En Murcia........ D. Josef TJbach. En Oviedo:.lD. Juan Pérez. En Ciudad*Real. D. Mateo Casado y Romero. En Jaén..... ......... D. Francisco López Zavala. En Ségüvia......^.: Señores viuda de Ramiro y Mesa. En6Cühicá.l.i ..líil 'D. Josef Escolar yNóriega. D-…</t>
  </si>
  <si>
    <t>Peréz, Francisco</t>
  </si>
  <si>
    <t>Francisco Peréz</t>
  </si>
  <si>
    <t>…agamba» JEn Pldsencia.......D. Juan Campo y Oliva. Mn Valencia..... . D. Ramón Miralies. Mn Avila............. D. Manuel Palomares. JEn Guadalajara. D. Joaquín Veladiez. Mn Toledo D. Francisco Peréz.. ■ Mn Murcia.......... D- Josef Ubach. t Mn Oviedo?........... 3XJuan Pérez. Mn Ciudad-Real. D-. Mateo Casado y Romero. Mn Jaén.............. D„ Francisco López Zavala. Mn Segovia...Señores viuda de Kamiro y Mesa. Mn Cuenca.......^* n. Josef EscolaryNoriega.…</t>
  </si>
  <si>
    <t>Perez, Igpacio</t>
  </si>
  <si>
    <t>Igpacio Perez</t>
  </si>
  <si>
    <t>…les animan ; y para su satisfacción ha mandado S. M. se Inserte en la gaceta esta su sóberana resolución.” El Rey se ha servido nombrar en el territorio de las ordenes militares á D. Igpacio Perez para la vara de alcalde mayor de la villa de Azuaga, va cante por prohiocion de D. Antonio Mediano Sartolo á la de Aímonacid de Zorita: paira la?dePedro Muñoz , por salida de D. Antonio Rodríguez Escóvar á la de, láetorá D. Francisco de Paula Per eirá: para l…</t>
  </si>
  <si>
    <t>Perez, Joaquín</t>
  </si>
  <si>
    <t>Joaquín Perez</t>
  </si>
  <si>
    <t>…ida orden española deCárlos ni, decano del Real y supre mo consejo y cámara de S. M., str presidente, y de los ganaderos é individuos del concejo D. Fermín Fernandez de la Cuesta, D. Joaquín Perez , D. Balta sar Carrillo, D. Pedro Marcelino Blanco, D. Gregorio Moreno, D. Manuel Frutos , D. Cristóbal Hernández, D. Vicente Gil AIbert,L&gt;. Josef Ramírez y D.,Bernardo González Alvarez, su procurador general. Igualmente el 30 del mismo mes se presentaron tam…</t>
  </si>
  <si>
    <t>Perez, Josef Rivas y</t>
  </si>
  <si>
    <t>Josef Rivas y Perez</t>
  </si>
  <si>
    <t>…nturia c.um nonnúllamm iconibus: un tomo en 4.0 con varias láminas. Se ñauara en la misma librería, á 50 rs. t ^uiorcha de colmeneros, ó tratado económico de abejas, compuesto por Don Josef Rivas y Perez, teniente de arriliería, segundo regimiento. En ella Se da una completa.instrucción para el manejó de los hornos, colmenas y jacientes: se dice « modo de aumentar la* abejas cuando estas no encuentran alimento suficiente para su subsistencia, y cuanto convien…</t>
  </si>
  <si>
    <t>Perez, Josefa</t>
  </si>
  <si>
    <t>Josefa Perez</t>
  </si>
  <si>
    <t>…os 300 ducados anuales se le da casa-habitación y leña. Los memoriales se dirigirán á la justicia de dicha villa en todo el presente mes de Marzo. Interesando saber el paradero de Doña Josefa Perez, viuda, que existía no hace mucho tiempo en Palencia, ó-el de su hijo el coronel D. Manuel Mazo, á los nietos de aquella*señora,'suplican estos á la persona que lo supiese se sirva avi sar ó remitir esta noticia á D. Benito Aznar y Peón, calle de Jacometrezo,…</t>
  </si>
  <si>
    <t>Perez, Juan Josef García</t>
  </si>
  <si>
    <t>Juan Josef García Perez</t>
  </si>
  <si>
    <t>…D. Pedro Ürteaga: para una subtenéncia en el mismo cuerpo ai cadete D. Narciso de Boniiaz y Castañeda : para dos subtenencias de ban dera en el expresado regimiento ádos cadetes. D. Juan Josef García Perez y D. Manuel Pascual de la Rocha, y para una subtenencia en el de infantería de la Frontera y capital dé Tarma al sargento primero dé granaderos i Don Josef Lucen. ; . ‘; r</t>
  </si>
  <si>
    <t>Perez, Manuel</t>
  </si>
  <si>
    <t>Manuel Perez</t>
  </si>
  <si>
    <t>…a la de Tobarra á D. Antonio Roca y Bayot: para la de Adra, Berja y Dalias á D. Ramón Rodríguez Vélaseos para la de Puerto Real á D. Joaquín Pardiñas de Soto: para la de Almería á Don Manuel Perez de los Ríos: para la de la villa de Haro á D. Antonio Guar dilla: para la de Aguilar de Córdoba á D. Blas Josef de Martos: para la de Moron á D. Manuel Sotillos Montijo: para la de Medinasidonia á D. Leo nardo Talens de la Riva: para la de Berlanga á D. Josef…</t>
  </si>
  <si>
    <t>Perez, Manuel Bernardino</t>
  </si>
  <si>
    <t>Manuel Bernardino Perez</t>
  </si>
  <si>
    <t>…el de las quátro villas dé la: Hoya de Málaga ,' su Capital Cohín, á D. Jaari Florencio de Guzman, y en la vara de Santander i D. Julián Bringas: ha prorogado en el dé- Betanvos á D. Manuel Bernardino Perez: en el de Carrion* de los Condes á Don Juan Antonio Rama y Arcas: en el de Bujalance' á O. Salvador Seirrano; y en la vára de alcalde mayor de Vera y Moxacar á D. Josef María Mu ñoz de Guzman. i. i * Habiéndose dignado' el Rey nuestro Señor admitir deD. Csist…</t>
  </si>
  <si>
    <t>Perez, Mariano Vergara</t>
  </si>
  <si>
    <t>Mariano Vergara Perez</t>
  </si>
  <si>
    <t>…ra de Alcalde mayor de ]as Poblaciones de Sierramorena, su capital la Carolina, á D. Domingo Crespo de León: para la de Campana á D. Josef Domingo Casaux: para la de Fuentidueña á D. Mariano Vergara Perez: para la de Almázan á D. Agus tín Medina y Lavalle: para la de Zafra á D. Juan Crisóstomo de la Peña: para la de Cazorla á D. Manuel María de Peralta: para la de Benamegí á D. Cristóbal María Auton: para la de Cervera del Rio-Pisuergá á D. Roque Naranjo: para…</t>
  </si>
  <si>
    <t>Perez, Matías</t>
  </si>
  <si>
    <t>Matías Perez</t>
  </si>
  <si>
    <t>…vacado por promoción de D. Pedro Ignacio- Garvizo al arcedianato- dé Sta.! Gema, á IX Manuel Galduros. =r La canongía vacante en la iglesia catedral dé'Or ihúe* la ,por muerte de D. Matías Perez á I&gt;. Antonio Mana Queypode Llñno, ca nónigo de la de Oviedo ; y la que ha vacado en fct misma catedral por muer te de D. Josef Antonio Balaguer á D. Pedro Espinosa , canónigo ¡ de' la der Huesca. = La canongía vacante en la catedral de Huesea por fallecimien…</t>
  </si>
  <si>
    <t>Perez, Pedro</t>
  </si>
  <si>
    <t>Pedro Perez</t>
  </si>
  <si>
    <t>…egimiento Real de Zapado resMinadores«?1 ¡ 1 ‘ Grados también de subtenientes á los sargentos primeros D. Juan Pedro Boullu, D. Miguel Campillo, D. Juan López, D. Manuel de Pedro, Don Pedro Perez y D. Domingo Anguiano. ] Circulares ael ministerio de Guerra, El Rey nuestro Señor, que. procura estender sus paternales desvelos á to das las rolases del estado, y desea que los oficiales que por sus heridas y ’añbs de servicios se han separado de la carrera de las armas, tengan…</t>
  </si>
  <si>
    <t>Perez, Raimundo Juan</t>
  </si>
  <si>
    <t>Raimundo Juan Perez</t>
  </si>
  <si>
    <t>…s aca*démicos honorarios D. Francisco Wulliez, primer cirujano de cámara, Don «Sebastian Aso, catedrático del Real colegio de cirugía médica de S.Gárlos de esta corte, director, y D. Raimundo Juan Perez, médico de los Reales hos pitales de la misma; los cuales en,un breve y enérgico discurso, después de manifestar el origen y progresos de este cuerpo hasta la irrupción de los fran ceses y la total dispersión entonces de sus individuos, espusieron que reuni d…</t>
  </si>
  <si>
    <t>Perez, Víctor</t>
  </si>
  <si>
    <t>Víctor Perez</t>
  </si>
  <si>
    <t>…Miguel Oliver, D. Pascual Menacho, D. Cárlos Teodoro,Gil, D. Claudio Vinuesa, D. Juan Qüirante, D. Josef María Muñdz*, D. Francisco Ocaña, IX Antonio Gayosrí ,. D. Antonio García, D. Víctor Perez, D. Francisco Laborda, D. Antonio Echavarri, I). Josef Valcárcel 'yRosique, D. Josef Gómez Arteche , D. Joséf Gutiérrez, D. Josef B en i tez Cafrípou ,D. Segundo Ulibarri, D. Miguel Párraga, D- Juan Amonio Pereyra, D. Pablo Ortiga Samaniego, D. Joséf Valcárce…</t>
  </si>
  <si>
    <t>Perigord, Bozon de</t>
  </si>
  <si>
    <t>Bozon de Perigord</t>
  </si>
  <si>
    <t>…el Mein, el conde de Salignac-Fenelon , encargado de Negocios. Los gobernadores de los palacios Reales son: de Versat'es y Tnannon, el príncipe de Poix: de S. Germán , en Laye, el conde Bozon de Perigord: de Compiegne, el vizconde - de Montmorency : , de Foniainebleau» $1 viz conde de Goigny: de Rambouillet, el duque de Serentr de S .int-Cloud» Mr............de Tullerías y Meudon, é! marqués de Champcenets: dCJ Louvre, el conde de Vaudreuil: de Burdeos, Mr. T…</t>
  </si>
  <si>
    <t>Perímont</t>
  </si>
  <si>
    <t>…de duros,contando lo qüe ha salido del erario» el déficit de las rentas, y iás pérdidas originadas por falta de exportación; ? FRANCIA. . . ? , 'AriHfiés '2rg"dit'; Seiíefnire. Él general Perímont ,há enfrudó eif; esta plaza pqf-már éoil'ufí^réíuerzo considerable de tropas de irifafi^ería;. !La plaza está estrechamente' bloqueada por los austríacos, Lastropasyel general han ^sidp recibidas' con la$ vócés</t>
  </si>
  <si>
    <t>Pernice</t>
  </si>
  <si>
    <t>…por el valor de los perseguidores, fueron hechos prisioneros y conducidos, á pesar de la mas viva*resistencia,al fuerte de Pezzoi En lo mas sangriento de la refriega fue muerto el capitán Pernice y heri do el general Franceschetti, con otras siete personas de la comitiva de Mu rat. Mientras se peleaba en la playa los dos barcos tomaron la fuga. Toda la expedición de Murat se componía de seis buques, cuatro de los cuales han caído en poder de la marina…</t>
  </si>
  <si>
    <t>Perpiñan, Francisco</t>
  </si>
  <si>
    <t>Francisco Perpiñan</t>
  </si>
  <si>
    <t>…En la Coruñaí...... D. Felipe Elorz. En Valladolid..... D. Luis Francisco de Luis. rEn Pamplona...... D. Miguel Echarri. En Barcelona...... D. Ramón Llordella. En Zaragoza....... D. Francisco Perpiñan, barón de la Torre. Mn AlavnyGm-y V' Fránciscd Arrieta. " * ** *••••••••• J &gt; ■ ■ » * En León............... D. Tomas Diez!^Serrano. . En Soria.............. D. Joaquín Tutor y Barzola. En Bilbao........ . D. Francisco de la Mata. En Zamora.......... D. Manue…</t>
  </si>
  <si>
    <t>…orz. En Valladolid..... D. Luis Francisco de Luís. 1 í‘„• En Pamplona...... ’D¿Miguel-Echarrí.o-.i'^:- •. r. á,, En Barcelona... D. Ramón;Llordeíla. i - iv nii Jí» Taragoza....... D. Francisco Perpiñan, barón de la Torre.; En Alava yGui--. D. Francisco Arrletá. 'i; . i • _ ’ . - • * .¡J ; : l-í . ' 1 , . » &gt; Jiíí • *'*■* *!» t."**, D. Tomas Diez Serrano.' -•* i \ J i. olit-i-i .&gt; i2i W , D¿ Joaquín Tutor* y Barzola. • &gt; i •En Bilbao........... D. Francisco…</t>
  </si>
  <si>
    <t>…eno* Mn la Coruña....i. D. Felipe Elorz. En Valiadolrd.,.l... TJ: Luis Francisco de Luis.. JEn Pámptond. D., Miguel Echarri.. Mn Barcelona...... D* Ramo» LlordeJla. Mn Taragoza___ D. Francisco Perpiñan* barón dé la Torre.. 'E»A&amp;p*,Gt*y d¿ Franc&amp;c» Arrié». • jmzcoa. k.* ••••••••• * * Jin &amp; Tomas Dípr Serrano. Joaquín, Tutor y Barzola. MnlBilb «*« *JM.. • • • *- D.; Francisco de la Mata.. . £ Mn Zamora.........^ D. Manuel de Humara. .Mn Salamanca__ D... Franc…</t>
  </si>
  <si>
    <t>Perponcher</t>
  </si>
  <si>
    <t>…rarse a una quinta que se halla en el mismo camino llamada Quatre-Bras. - 1 „ El príncipe de Oranee reforzó fninediatamente esta brigada con dirá de la misma división al mando del general Perponcher, y por la mañana tem prano volvió á ganar parte del terreno que había perdido, consiguiendo ha cerse dueño de la comunicación' que desde Nivelles y BrUsélas se dirigía á la posición que ocupaba el mariscal Blucher. *i7 * * * * „ Entre tanto habla yo mandado q…</t>
  </si>
  <si>
    <t>Persiva, Juan Bautista</t>
  </si>
  <si>
    <t>Juan Bautista Persiva</t>
  </si>
  <si>
    <t>…D. Josef Angulo: para el de Plasencia á D. Francisco»Xaviét ViLlanueva:para el de la isla de la Gran Cana ria á D. Salvador Ferradas ^ para el de la isla de Tenerife y la Palma á Don Juan Bautista Persiva t para el de Córdoba á D. Joaquín Bernad y Vargas; y para el de Erija á D- Agustín Guaxardo Faxardo» Para el corregimiento de Gibraleon á D. Josef Barragan y Car bailar: para el de Rota y Chípiona á Dv Rafael Manuel Mavarrete y Ortega: para la vara del Burgo…</t>
  </si>
  <si>
    <t>Pértuff</t>
  </si>
  <si>
    <t>…ivitanuova. Entre los |heridos $&lt;e encuentra' general Ambrosio;; el general, Campana perdió; una .pierna ; el coronel jRocaromána murió en Maceratá de resultas de sus heridas; •el coronel Pértuff, que está en lá misma ciudad herido; el ayudante genéraí de Murat CbMier, que está emMacerata; y otros varios sugetos con 25 oficiatesinas. En éste momento sé le sigue el alcance en todos los puntos de su .. retirada, que egecuta con la mayor precipitación. _…</t>
  </si>
  <si>
    <t>Pesbureaux</t>
  </si>
  <si>
    <t>…Sobre lo cual dice que había consultado 4 su.gefe.el general que manda en Maguncia. . ■ Num. 4. C&gt; «Otra,carta fecha el 5, y dirigida por el ministro de Rela ciones exteriores al general Pesbureaux , en que le .pide que avive y dupli que sus instancias con el comandante de Kehl para que dexe pa$ar el correo, en atención &gt;á que el asuoto se había hecho mas serio y de mayor gravedad; y le dice que el nuevo correo que despacha lleva pliegos para los minist…</t>
  </si>
  <si>
    <t>Pesci, Josef</t>
  </si>
  <si>
    <t>Josef Pesci</t>
  </si>
  <si>
    <t>…29 DE SETIEMBRE DE i8jj. ARTICULO DE OFICIO. El Sr. Secretario del despacho de la Guerra acaba de recibir el oficio si guiente del Mariscal de Campo D. Josef Imaz, y del Brigadier D. Josef Pesci, Gobernador militar de la ciudad de Santiago. „Escmo. Sr.: El Comandante general interino D. Josef Imaz y yo tene mos la satisfacción de anunciar á V. E., para que lo haga á S. M., que des pués de la angustia y conflicto en que ha puesto á toda Galicia la reb…</t>
  </si>
  <si>
    <t>Petisco, Vicente</t>
  </si>
  <si>
    <t>Vicente Petisco</t>
  </si>
  <si>
    <t>…a que supiere el paradero de D. Francisco Javier Godinez de Paz, re-** sidente.en la ciudad de Sevilla en el año de 91, ó de sus hijos ó descendientes, se servirá manifestárselo á D. Vicente Petisco,vecino de la villa de Ledesma, pro?, vincía de Salamanca, ó en Madrid i D. Manuel de Paz, que vive calle de Relator* res, núm. 21. . . Manuel Perales, natural de Cantavieja, reino de Aragón, partido de Aleaniz, hijo de Simón Perales y de Bárbara Cterich, fue…</t>
  </si>
  <si>
    <t>Peynado, Francisco Porro y</t>
  </si>
  <si>
    <t>Francisco Porro y Peynado</t>
  </si>
  <si>
    <t>…a á derramar su sangre eh su obsequio y obediencia.” ARTICULO DE OFICIO. 3. M. se na servido nombrar para ¡a iglesia y obispado de Tarazona, va-, cante por fallecimiento del limo. Sr. D. Francisco Porro y Peynado, á Don Gerónimo Castillon y Salas, maestrescuela de la catedral de Huesca: para la de Hoesca, vacante por muerte del limo. Sr. D. Joaquín Sánchez de Cutanda, á D. Eduardo María Saeñz de la Guardia, deán de la iglesia cate dral deJLéfida: para el deanato de la…</t>
  </si>
  <si>
    <t>Pezuela</t>
  </si>
  <si>
    <t>…S. M. el decreto , cuya copia acompaño, esperando su Real aprobación, pues la mayor parte de aquellos oficiales y soldados, sien do naturales de la provincia rebelde, nombrando el general Pezuela batallones de otras , hicieron el mas sumiso y sostenido empeño porque se les pretiriese para esta espedicion , por no ver mand ados por sus propios paisanos los lau reles cogidos á fuerza de batallas, privaciones y trabajos de cinco años. Esta</t>
  </si>
  <si>
    <t>Pí, Anastasio</t>
  </si>
  <si>
    <t>Anastasio Pí</t>
  </si>
  <si>
    <t>…i,; y para la de Alburquerque á D. An tonio Ayala. Para el corregimiento de Albacete á D. Antonio Fernandez BriV: para el de^Paradas á D. Tomas Marcos Varona: para el de Mayorga á Don Anastasio Pí nos y Palos: para el de Jadraque á D. Andrés Casaux: para el de Sisante y Vara de Rey d D. Marcos Espinosa: para el de Ponferrada á p. Luis de Lemus Gil de Taboadá ; y para el de Herrera dei Rio Pisúerga</t>
  </si>
  <si>
    <t>Pi, Juan Peynador y</t>
  </si>
  <si>
    <t>Juan Peynador y Pi</t>
  </si>
  <si>
    <t>…ra la de Belmonte á D. Josef Sánchez Cueto: para la de Saníúcar de Barrameda á D. Jacobo Vázquez García: para la primera de Córdo ba á SD. Josef García Leca: para la de Sigüenza á D. Juan Peynador y Pi no: para ia de Iguña á D. Isidoro de Josué y Barreda: para la de Leinus á D. Francisco de Paula Villareal: para la de Mónterey á D. Carlos Angulo: para la de Colmenar Viejo á D. Juan Luxigo y Pedro?a: para la de Baylen á D. Manuel Antonio Caballero: para la d…</t>
  </si>
  <si>
    <t>Piada, Benito Arias de</t>
  </si>
  <si>
    <t>Benito Arias de Piada</t>
  </si>
  <si>
    <t>…inuaoj.oq^-por J| ;dirputacion de ministros del ^consejo-Réafy, .compuesta del Escmo. Sr. presi dente , los limos: Sres. D. Gonzalo Josef de Vilches, D: Josef Joaquín Co lon y ,el Sr. D. Benito Arias de Piada;, gobernador de* la sala ily S. 1Í. los recibió con aquella bondad ,qup es propia de su magnánimo y ^aiiblejOS^íl8" 1 se OUtetó; de Sus su :miaéi-ia &gt;} consolan do y animando á cada uno con expresiones afectuosas que daban nuevo pre** . f •S. , ' ■ ' í 4</t>
  </si>
  <si>
    <t>Píasoumo'rvki</t>
  </si>
  <si>
    <t>…Wdfington. zzCiancarty. =Cathcart.-zzLord Stewart. zz Portugal V i?/ conde ,PdifhelÍd¿z Saldanha —Lobo. zzVrm'12 &gt; El Príntitpédé Hkrdembérg.sz El bátan de, ■Uumbold. ssRusia, El conde Píasoumo'rvki} =: pl conde de StacMWefg* =s ; El conde d¿ -Nesselrode. = Suecia, El conde de LovienhíelmP1 ' * En el citado oficio del mismo cónsul de S. M. se lee lo siguiente: ' „Las cartas de Burdeos del 27 vieñen anunciando que el mariscal Gouvion Saint-Cir se ha sitad…</t>
  </si>
  <si>
    <t>Picado, Francisco</t>
  </si>
  <si>
    <t>Francisco Picado</t>
  </si>
  <si>
    <t>…dei segando Batallón de ídem; D. Braulio Crespo, D. Juan Zaragoza, D. Josef González, D. Pedro Iribarren, D. Joaquín Rodríguez, y JX Francisco Manso, del tercer Batallo.n de ídem; D. Francisco Picado, Ayudante de U plaza dé. Ciudad-?Ro drigo, y D. Josef Borgara y D. Jqaa Fermín Castillejo., del Batallen de Urbanos de la misma: al de Subtenientes á los Sargentos Ó. Francisco Ca lleja, JD. Isidro Cifuentes, y D. Manuel Lozano., det Real Cuerpo"de Arti llerí…</t>
  </si>
  <si>
    <t>…nio Vázquez Aldana, ayudante y tenien te del regimiento de infantería de Mallorca, D. Josef María Tandero, Don Salvador García, tenientes del segundo batallón de Ciudad Rodrigo, y D. Francisco Picado, segundo ayudante de la plaza de Ciudad- Rodrigó: de teniente á D. Gonzalo García, subteniente entonces del batallón de vo luntarios de Avila, D. Félix Frías, D. Zacarías Ruiz Malo, D. Bernardo Hernández, de los batallones de voluntarios de Ciudad Rodrigo, D.…</t>
  </si>
  <si>
    <t>Picazo, Josef Antonio</t>
  </si>
  <si>
    <t>Josef Antonio Picazo</t>
  </si>
  <si>
    <t>…D. Manuel Valonga Zaidin: para la de Casares y su ruebla de Manilva á D. Justo Rodríguez Hurtado de Bruna: para la de Sanlúcar la Ma yor á D. Juan Ribera: para la de Calasparra á D. Josef Antonio Picazo: para la de Jumilla á D. Francisco Morales de los Ríos: para la de Velorado á D. Cosme Moreno y Mérida: para la de la villa del Prado á D. Luis Fran cisco Sanz Teresa: para la de Belmonte á D. Pedro Antonio Moraleja y Montalban: para la de Carcabuey á D. Juan…</t>
  </si>
  <si>
    <t>Pichardo, Josef María</t>
  </si>
  <si>
    <t>Josef María Pichardo</t>
  </si>
  <si>
    <t>…amqn Valdés y Llanos, á D. Benito Josef de Casas, beneficiado de Peñafiel, y fiscal general del obispado de Paíencia: para otra canongía de la de Sala manca, vacante por muerte de D. Josef María Pichardo", á D. Francisco María Riesco, inquisidor de corte: para otra canongía de la catedral de Ciudad-Rodrigo, vacante por muerte de D. Manuel Blanco Cedrón , á Don Sebastian Gallardo, racionero de la misma catedral: para esta resulta á D011 Agapito Gallardo: para…</t>
  </si>
  <si>
    <t>Pico, Juan del</t>
  </si>
  <si>
    <t>Juan del Pico</t>
  </si>
  <si>
    <t>…tana , D. Nicolás Hernández, D. Salvador de Otero, D. Francisco Fernandez NavarreteD. Juan Manuel Maurat y D. Benignode Rodenas. .. Grado de comisario de guerra al oficial primero D. Juan del Pico. • „Jiscenso X oficiales primeros á los segundos D. Juan de Sierra, D. Estéban Sánchez Martin, D. Agustín Perez de Lérma, D. Gregorio La Bustay p, Gabriel Azpilcueta , D. Josef Alfonso' Pantoja, D, Félix Ramo, D. Alejo Bada y D. Manuel Gómez. Bo res., r . ' ’…</t>
  </si>
  <si>
    <t>Picoaga, Francisco</t>
  </si>
  <si>
    <t>Francisco Picoaga</t>
  </si>
  <si>
    <t>-de heroísmo y fidelidad al Rey del mariscal de campo D. Francisco Picoaga .y Arrióla, le tendría por fabuloso si no sirviese de comprobación la impar cialidad con que el escritor colocará en la misma página el negro y detesta ble borron con que el rebelde Bejar y sus cómplices mancharon la misma his toria. Los tiempos modernos, taá…</t>
  </si>
  <si>
    <t>Picton</t>
  </si>
  <si>
    <t>…an inmediatamente hacia la cos ta de Francia todas las chalupas de guerra que se hallan en Plimouth , Portsmouth y otros puertos. Ayer desembarcaron enDeal el cadáver del valiente general Picton, al que se le hicieron los honores militares. Fue inmenso el concurso que acudió á ver las reliquias de este bizarro general, que tanta gloria ha acarreado á las armas británicas. Se hacen grandes preparativos para reparar las pérdidas de gente que ha sufrido…</t>
  </si>
  <si>
    <t>Pictonf, S. Tornas</t>
  </si>
  <si>
    <t>S. Tornas Pictonf</t>
  </si>
  <si>
    <t>…posición que ocupaba el mariscal Blucher. *i7 * * * * „ Entre tanto habla yo mandado que todo el egército marcháse sobre Quatre-Bras; y la quinta división ; al mando dei tentéhte general S. Tornas Pictonf llegó cerca de las dos y media del día, seguida del cuerpo de tropas</t>
  </si>
  <si>
    <t>Pier, Autoría</t>
  </si>
  <si>
    <t>Autoría Pier</t>
  </si>
  <si>
    <t>…la de la Isla de León , de tercera ó superior clase, á D. Ignacio Yañez Rivadeneyra; y para la de Badajoz á D. Antonio Jo sef Galindo: y últimamente se ha servido S. M. reponer á D. Autoría Pier nas en el corregimiento de Montilla para que le sírva por seis años: á Don Josef Pascual Bayot para que continué sirviendo por otros seis la vara de alcalde maypr de la villa de Espejo ; y á D. Pedro de Mendoza y Váz quez, alcalde mayor de Torbiscon ,tpara qu…</t>
  </si>
  <si>
    <t>Piernas, Antonio</t>
  </si>
  <si>
    <t>Antonio Piernas</t>
  </si>
  <si>
    <t>…orregimiento de Reynosa á D. Josef Hervás: para la vara de Ubrique á, D. Julián Ruiz Marín: para la de Oiiva á D. Josef Fernandez Villamil: pa- , ra la ce Villafranca del Vierzo á D. Antonio Piernas : para la dé Rivadavia á D. Martin Rodríguez Ojea: para la de la Rambla á D. Antonio Hermida , Bascoas: para la de Belmonte á D. Josef Sánchez Cueto: para la de Saníúcar de Barrameda á D. Jacobo Vázquez García: para la primera de Córdo ba á SD. Josef García L…</t>
  </si>
  <si>
    <t>Pignatelli, Casimiro Luis Gonzaga</t>
  </si>
  <si>
    <t>Casimiro Luis Gonzaga Pignatelli</t>
  </si>
  <si>
    <t>3*8 ro D. Jacob© Manuel Manrique, Fecha 10 del corriente, en cuyo juzgado y escri banía se halla radicado el juicio de abintestato del Excmo. Sr. D. Casimiro Luis Gonzaga Pignatelli, que fue conde de Fuentes, y falleció en las inmediaciones de la ciudad de Zaragoza á tiempo de la entrada de las tropas francesas en ella en el año pasado de 1809, cuyos autos tuvieron principio en 10 de Agosto del año pasado de 1813 á instancia del Excmo. S…</t>
  </si>
  <si>
    <t>Pignatelli, Juan Domingo</t>
  </si>
  <si>
    <t>Juan Domingo Pignatelli</t>
  </si>
  <si>
    <t>…agoza á tiempo de la entrada de las tropas francesas en ella en el año pasado de 1809, cuyos autos tuvieron principio en 10 de Agosto del año pasado de 1813 á instancia del Excmo. Sr. D. Juan Domingo Pignatelli, conde actual de Fuentes, grande de España de primera clase, teniente general de los Rea les cxércitos &amp;c. &amp;c., se cita, llama y emplaza por el término preciso y perento rio de 30 dÍ3s, contados desde aquella fecha, á todas y qualesquiera personas que , pueda…</t>
  </si>
  <si>
    <t>Piich, Juan</t>
  </si>
  <si>
    <t>Juan Piich</t>
  </si>
  <si>
    <t>…Je capitanes ádos tenientes D. Josef Marín, D. Josef Alcázar, Dr Josef de Castro, D. Pascual,Atiza , Dv Víctor Conegero, D. Cristóbal Dávtk:, D. Ladislao Luco , D. Juan Enébuisen, D. Juan Piich, D. Mariano Al-* dama, D. Pablo Estogui, D. Policarpo Aldama, D. Josef Guerrero , D. Jo^.ef Torrubiai, Di Gabriel del Rio, D. Juan Gutiérrez, D. Tornas de Codes, Di Josef Navarro; D. Juan Ruiz &gt; D. Salvador González, D. Rafael Solano, Di Josef; Majríaí Prieto…</t>
  </si>
  <si>
    <t>Pilar, Ricardo del</t>
  </si>
  <si>
    <t>Ricardo del Pilar</t>
  </si>
  <si>
    <t>…señalado con el número 443014, se cita, llama y emplaza á to dos los sugetos comprendidos en los endosos del mismo vale, que son: D. Juan Jo* aef/Moreno; D. Antonio Josef García; D. Ricardo del Pilar; D. Josef Caree, h¡jó j compañía ;'D. Pedro Fermín Hernaez; D. Josef Félix Gómez; D* Diego Gas* támbide; D. Jícóbo Gattens, de Sevilla; D. Rafael de Góngora y Delgado; Do* Ignacio Casal ; D. Andrés Marzan; D. Pedro Martínez Lozano; D. Rafael Ignacio Fañtohfip…</t>
  </si>
  <si>
    <t>Pilón, Pedro</t>
  </si>
  <si>
    <t>Pedro Pilón</t>
  </si>
  <si>
    <t>…Tavira , D. Manuel de Lis , D/Felipe Herreros , el marques del Moral, D. Sebastian Iglesias, D. Salvador de Cárdenas, D..Andrés Maymo, D&lt; Clemente Gutiérrez, D, Vicente Rodríguez, D. Pedro Pilón; D: Luis Polo de Bernabé , D. Josef García Ibarguen, D. Juan Soüoso, D. Francisco Garnica , D. Rafael Legpbien, D. Miguel Roldan , D, Rafael Aristegui y Don Josef Estrada. - Grado de. intendente de marina á los comisarios ordenadores D, Domingo CarruagatovD;…</t>
  </si>
  <si>
    <t>Pimentel, Xavier</t>
  </si>
  <si>
    <t>Xavier Pimentel</t>
  </si>
  <si>
    <t>…scuela militar de Santiago; D. Francisco Julia, de Cazadores Extrangeros, y D. Pablo Puente, del Real Cuerpo de Artillería: grado de Capitán á D. Antonio Salazar, D. Antonio Toxo, Don Xavier Pimentel y D. Ramón Osores, del Provincial de Santiago; D. Ber nardo Becerra, del de Betanzos; D. Joaquín López Varela, D. Antonio Guerrero, D. Josef Guerrero, D. Juan de Castro, D. Juan López, Don Pedro Santistéban y D. Josef Novoa, del de Lugo; D. Luis Blanco, Don Pedro Iglesias, D.…</t>
  </si>
  <si>
    <t>Pineda, Gaspar</t>
  </si>
  <si>
    <t>Gaspar Pineda</t>
  </si>
  <si>
    <t>…D. Josef de Torre Llobregat, D. An tonio Villavicencio , D. Mauricio Albert, D. Manuel Villavicencio, D. Fran cisco Fernandez dejos Senderos , D. Josef Saravia ,* D. Manuel Vigo, Don Gaspar Pineda, D. Josef Mozo, D. Juan de* la Cueva, D. Juan Delgado,: D. josef Febrer , D; Mariano Henarejos, D; Ciríaco Mella , D. Juan Sanjurjo, D. Ignacio Cuadrado,: D. Juan Aleson, D. Honorio Siréra ; D. Pedro Vizcarrondo, D. Josef Guimbarda, D. Juan Sotélo, D¿ Tiburdo…</t>
  </si>
  <si>
    <t>Pineda, Pedro</t>
  </si>
  <si>
    <t>Pedro Pineda</t>
  </si>
  <si>
    <t>…ar , P,; JqseJ de^fcuenca, EX Francisco Caso, D. Felipe Mendicuti, í). Baltasar Gonzajes* *&gt;¿X;FVancisep de Torres, D. Andrés Casainayer, D. Francisco Reguera , D. Antonio García, D. Pedro Pineda , D. Josef Co nejo, D^Ramon Agón', D. Manuel -Gá'stambide , D. Juan Palomero , D. Ra^ mon Oleína, D. Fernando Belarde,;D. Miguel Almagro, D. Manuel Ovan do , Ds. Bartolomé González , D. Antonio María; Mvuñoz , , Dr Miguel María Muñoz V D. Josef Sancliez, D. M…</t>
  </si>
  <si>
    <t>Pineda, Ramón de</t>
  </si>
  <si>
    <t>Ramón de Pineda</t>
  </si>
  <si>
    <t>…de Valdes Llanos, dignidad de abad y canónigo de la de Falencia: para una ca nongía de la iglesia catedral de Plaseqciá, vacante por muerte de D. Cris tóbal Hernández y Araujo, á D. Ramón de Pineda, inquisidor jubilado del santo tribunal de Córdoba, en atención á sus méritos y servicios: para otr$ canongía de la referida iglesia catedral de Piasencia, vacante por muerte de D. Luis Merino de Vargas, á D. Juan Sánchez Conde, canónigo de la de Coria: para…</t>
  </si>
  <si>
    <t>Pinedo, Manuel Ortiz de</t>
  </si>
  <si>
    <t>Manuel Ortiz de Pinedo</t>
  </si>
  <si>
    <t>…nfantería. Todo lo quede-* vo ai superior conocimiento de V. E. para su inteligencia y satisfacción.” Por Real resolución, á consulta de la Cámara, se ha servido S. M. con ceder á D. Manuel Ortiz de Pinedo, corregidor de la ciudad de Toledo, los honoresJ dé alcalde dél crimenS 1 ■ S de. la chancillería dé' ■ Valladolid.V ’ J El Rey nuestro Señor se ha dignado aceptar las ofertas, siguientes, y mandado su publicación ¡para estímulo de sus vasallos. D. Juan de Ar…</t>
  </si>
  <si>
    <t>Piñeiro, Santiago</t>
  </si>
  <si>
    <t>Santiago Piñeiro</t>
  </si>
  <si>
    <t>…la Llave, 0. Josef Mariano dél Puk ar, D. Josef Arias Saavedra, 0. Antonio Hoscoso , Salvador Moreno* Vicente Vázquez, D. Tomas Dolagaray, D. Silvestre Blanco , D.&lt; Pedrof Valera, D. Santiago Piñeiro, D. Juan de Mata Marina, 0. Fernando Ruiz&gt; 0, Fulgencio de Toro, D. Andrés Costa, 0.: Manuel Guillelmi ;0.^Jüañ Pé rez Dd vi la, 0. Antonio Primo de Ribera, D. Miguel Coca ySandovalt0bn Juan Pernee de León, 0. Juan López Pinto , 0. Eusebio Martínez* 0* Fran*…</t>
  </si>
  <si>
    <t>Piñera, Julián de</t>
  </si>
  <si>
    <t>Julián de Piñera</t>
  </si>
  <si>
    <t>…e la Puente: para el priorato claustral de la colegiata de janquera de Ambia, vacante por promoción de D. Josef Moure al arcedianató de Limia, dignidad de la cateara! de Orense, á D. Julián de Piñera, cura párroco de S. Julián de Travadelo, en el arzobispado dé Santiago; y para una capellanía, vacante en la Real capilla de Granada por premoción de ,D. Manuel Elízalde á una canpngía de la iglesia catedral de Málaga, á Don Joaquin Vicente López Bravo. El Re…</t>
  </si>
  <si>
    <t>Píngallo, Josef</t>
  </si>
  <si>
    <t>Josef Píngallo</t>
  </si>
  <si>
    <t>…S. Juan y de S. Pedro. El Señor Herrera 1® rs. vn. Por la manutención de una niña 40. Un sugeto que no quiere ser nombrado 1®. Otro ídem 6®. La Sra. marquesa de Fuerte* Hijar 400. D. Josef Píngallo 600. La testamentaría de D. Francisco Muñoz y Martínez 3®. D. Josef Quintero 150 cucharas de madera. D. Josef Olorrian 150 cazuelas de madera. El dueño de la fonda de Malta 3320 rs.vn. Una ersona que ha ocultado su nombre 718 varas de lienzo para sábanas. La…</t>
  </si>
  <si>
    <t>Pinos, Esteban</t>
  </si>
  <si>
    <t>Esteban Pinos</t>
  </si>
  <si>
    <t>…canongía vacante por muerte de D. Joaquin Calero y Pedrajas á Don Manuel de la Fuente y Dávila. = Hn la catedral de Barcelona la dignidad de sacristán mayor, vacante por muerte de D. Esteban Pinos,á D. Félix Torres Amat, canónigo de la iglesia colegial de S. Ildefonso; y la dignidad de arce diano de Llobregat, vacante por muerte de D. Cayetano Mojo, á D. Ventu ra Josef Mas mit ja, arcediano de Alpuente en la catedral de Segorve: la ca nongía de la cole…</t>
  </si>
  <si>
    <t>Pinto, Eusebio González</t>
  </si>
  <si>
    <t>Eusebio González Pinto</t>
  </si>
  <si>
    <t>…de Señores Reyes Nuevo* de la ciudad de Toledo, que resultará vacante poe promoción de J). Juan Fernandez Alfonso Gándara á una canongía de la Iglesia primada de aquella ciudad, á D. Eusebio González Pinto, con dimi sión del beneficio servidero que obtiene en la parroquia de la.ciudad de Chin-: chilla , diócesis de Cartagena ; y para este beneficio á D. Vicente Giraldo, en premio de sus distinguidos méritos y servicios en la invasión deja península por las trop…</t>
  </si>
  <si>
    <t>Pintp, Manuel González</t>
  </si>
  <si>
    <t>Manuel González Pintp</t>
  </si>
  <si>
    <t>…Torrecilla de Robles: para la de Orgiva á D. josef Ruiz Manzano: para la de Huelva á D. Pedro Josef Moyano y Díaz :{ pára la de Valíadolid á D. Fé lix Gallego: para la de Tarifa á~D. Manuel González Pintp: para la de Moguer á D. Pascual Félix Pui; y para la de Ífernan-Nufiez i D. Julián An drés García. Para el corregimiento de Madrigal á D. Francisco Moreno: pa ra el de Ciudad-Real á D. Fermín Diez: pará el de Benavides de Ortigo á D. Anselmo Diez Canseco: par…</t>
  </si>
  <si>
    <t>Pinuaga, Fernando</t>
  </si>
  <si>
    <t>Fernando Pinuaga</t>
  </si>
  <si>
    <t>…de la Cuadra de Sevilla á D. Blas Arahuetes: para Oidor de la chanciliería de Valladolid á D. Josef Martínez Areta, Al calde del crimen mas antiguo de ella, y para esta resulta á D. Fernando Pinuaga: ha concedido los honores de ministro de la chanciliería de Granada á D. Josef Fernandez Quevedo, y los de Alcaide de la Cuadra de la audien cia de Sevilla á D. Antonio García de Veas, Teniente coronel y Auditor ge neral del egército de la izquierda. Asimismo…</t>
  </si>
  <si>
    <t>Pío</t>
  </si>
  <si>
    <t>…Irlanda. ? ^ ‘ „ A nuestro muy Sto,. P. el Papa por la divina Providencia Fio vii de? sean felicidad' los arzobispos y obispos de Irlanda. i= Santísimo y gloriosísimo Pontífice y Señor Pío vu, varón de Dios, estando salvo tu, qüe represen? tas á Jesucristo no menos en la paciencia que én la autoridad * y libre por milagro de aquellas miserias que afligían indecorosamente tanto la magostad silla como la de .tus virtudes* revivió por .fin en ios…</t>
  </si>
  <si>
    <t>Piohai, Prudencio María</t>
  </si>
  <si>
    <t>Prudencio María Piohai</t>
  </si>
  <si>
    <t>…orio La Bustay p, Gabriel Azpilcueta , D. Josef Alfonso' Pantoja, D, Félix Ramo, D. Alejo Bada y D. Manuel Gómez. Bo res., r . ' ’ . . Ascenso ,á oficiales segundos á los terceros D. Prudencio María Piohai*do,' Po Joaquín Navarro, &gt; i).«Juan /Francisco, Vivanco, D.'Eugenio Hetnaez,* D.Ignacio dePazo^, D. Felipe Heriiahdefc, D. Pedro Valls, D. Manuel Sauz. 4 . *'¿ ,y^P. Gil ^ y Pin¿&amp; v * _ Ascenso ¿oficiales terceros á los cuantos D.: Juan de Hazas,rD. Bernar-*…</t>
  </si>
  <si>
    <t>Pipón</t>
  </si>
  <si>
    <t>…para et pago-de Ja deuda de los transportes del egército británico serán aplicados á otro -fec ,_^Igualmente notifica que las letras registradas en ir secretaría del 'comisa-' rio general Pipón, en Lisboa, se recibiré 11 para su liquidación hasta el diat 30 dél mismo mes de Noviembre i pasada cuya época no serán admitidas poy motivo alguño. í Por la audiencia dfel Sr.« D. León de la Cámara C"and , AeÍ consejo de S , rúente corregidor de esta villa,…</t>
  </si>
  <si>
    <t>…ados para el pago de la deuda de los transportes del egército británico, serán aplicados á otro fin. «—Igualmente notifica que las letras registradas en la secretaría del combario general Pipón, en Lisboa, se recibirán para su liquidación hasta el dia - 30 del mismo mes de Noviembre; pasada cuya época no serán admitidas por motivo alguno. Por la audiencia civil dél Sr. D. Josef Manuel de Arjona, del-consejo de S. M.f su alcalde de casa y corte, y es…</t>
  </si>
  <si>
    <t>…ara el pago de la deuda Le; los transportes del egército británico serán aplicados á otro fin. .^^Igualmen .e:,notifica quedas letras registradasí.en la secretaría del comisad rio general Pipón, en Lisboa, se recibirán para su liquidación "hasta el dia</t>
  </si>
  <si>
    <t>Piré</t>
  </si>
  <si>
    <t>…arte de su caballería sobre Versalles, que ocupaba el enemigo con t^oo caballos, con el objeto de sorprenderlos y apoderarse de ellos. -En su virtud ¡(dice) qué mandó: al teniente general Piré que marchase con la primera y ia gesta compañía de cazadores, y el regimiento num. 44.0 de infantería de línea sobre las ciudades de Avray y Rocquancourt, encargándole que se embosca se para acometer al enemigo cuando pasase por aquel punto; y él‘ se dirigió…</t>
  </si>
  <si>
    <t>Pisch</t>
  </si>
  <si>
    <t>…i pues las columnas continuaron su marcha. • „Eran ya las siete y media de la tarde, y hablan llegado» ya sucesiva mente todo el cuarto cuerpo y una parte del segundo al mando del general Pisch , y con todo dudábase todavía cuál seria el éxito deL ¡combate. Eas tro pas francesas peleaban Con un furdr desesperado í peró en medio de él se ad virtió que sus movimientos empezaban a ser inciertos, y que retiraban; algu nos cañones. A este tiempo la prime…</t>
  </si>
  <si>
    <t>Pitadaveyga, Andrés</t>
  </si>
  <si>
    <t>Andrés Pitadaveyga</t>
  </si>
  <si>
    <t>…cisco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 D. Francisco Alameda, D.. Tomas Gómez Qui janó, Don Joaquín Vial ,’D. Francisco Sirera, D. Antonio dé la Rosa y D. Juan…</t>
  </si>
  <si>
    <t>Pizano.rrLa, Mañud López</t>
  </si>
  <si>
    <t>Mañud López Pizano.rrLa</t>
  </si>
  <si>
    <t>…ha vacado en la iglesia colé-' gial dé Jerez de la Frontera por muerte de D. Diego Gómez Recio á D. Jo-1 sef María Alvarez de Palma, canónigo de la misma iglesia; y esta resulta á D. Mañud López Pizano.rrLa dignidad de tesorero de la colegiata de Rázaf vacante por fallecimiento de D, Antonio Mancebo, á D. Juan Antonio Ruiz de Mendoza, canónigo de la propia iglesia ; y esta canongía á D. Gabriel Fer nandez: la dignidad de chantre de ia misma, vacante por fallecim…</t>
  </si>
  <si>
    <t>Pizarro, Francisco Xavier</t>
  </si>
  <si>
    <t>Francisco Xavier Pizarro</t>
  </si>
  <si>
    <t>…a promoción del citado D. Juan Sánchez Conde á la de Piasencia, á D. Tiburcio Sánchez Herrera; y para una ra ción de la propia iglesia catedral de Piasencia, vacante por muerte de Don Francisco Xavier Pizarro, á D. Josef Galo Sánchez Herrera, cura párroco de Malparada, en la misma diócesis de Piasencia. Enterado el Rey nuestro Señor ^el acreditado valor, entusiasmo y par?» ticular mérito que contraxo en la defensa i}el parque de artillería de esta heroyea villa co…</t>
  </si>
  <si>
    <t>Pizarro, Pedro Bernaldez</t>
  </si>
  <si>
    <t>Pedro Bernaldez Pizarro</t>
  </si>
  <si>
    <t>…suerte de aquellos, tengan la bondad de avisarlo al intenden te de provincia honorario D. Pedro Bernaldez Sánchez, vecino de Badajoz, y en Madrid ál teniénte coronel de infantería D. Pedro Bernaldez Pizarro, oficial de da tesorería1 mayor general de M. Lecciones practicas, ó'nuevo método para aprender el idioma francés, dividido en 4 partes y 42 lecciones, para uso de los españoles: por D. Mauricio Basynot, ex-cura párroco francés, maestro de lengua francesa en…</t>
  </si>
  <si>
    <t>Pizarro, Rafael</t>
  </si>
  <si>
    <t>Rafael Pizarro</t>
  </si>
  <si>
    <t>…. Juan Solda do, y D. Juan Pió Quijano, Sargento mayor y Capitanes del Regimiento Provincial de Segovia; á 0. Fernando Alcocer, D. Josef Gines de Zamora, 0. Joaquín. Esoatolero, y D. Rafael Pizarro , Capitanes del Regimiento de Mallorca; á D. Ildefonso Prieta, D. Angel Castellanos, D. Manuel de Ro— xas, y D. Segundo García, Capitanes de Voluntarios de Avila ; á D. Pas cual Coca , D. Cenon López, 0. Bernabé Porián, y D. Josef Diaz, del primer Batallón de…</t>
  </si>
  <si>
    <t>Plá, Anastasio Pinos y</t>
  </si>
  <si>
    <t>Anastasio Pinos y Plá</t>
  </si>
  <si>
    <t>…idos servicios. El Rey rse ha servido nombrar para las dos varas de alcalde mayor de la ¿ciudad de,Valencia á p. Ladeo Rico Bononat y D. Antonio Martínez Arroy°para la de- Biar ár D. Anastasio Pinos y Plá: para la de Castellón de la Plana á D. Pantaleon Míreos Montesinos: para la de Axpe á D. Josef Vilella y Pastor: para la de Carlet a D. Francisco Ortiz de Cantonat: para la de Gorga y su Valle de Ceta á D. Gregorio Moran y Cavanes: para la de Xerica á D. Jose…</t>
  </si>
  <si>
    <t>Placies, Pablo Jover y</t>
  </si>
  <si>
    <t>Pablo Jover y Placies</t>
  </si>
  <si>
    <t>…. S. muchos años. Madrid 12 de Julio de 1815. S. M. se ha servido nombrar para tres plazas de alcaldes del crimen de Ja audiencia de Cataluña á D. Fermín Fernandez de la Cuenta, á D. Pablo Jover y Placies y á D. Josef María Cherif; y para la de fiscal del crimen jen comisión de-la iftisma audiencia á D/Ignacio María Higueras, catedrático •de leyes de partida de la universidad de Sevilla, y abogado del colegio de dicha ciudad. • ' Nota de los prelados, cabildos…</t>
  </si>
  <si>
    <t>Platoff</t>
  </si>
  <si>
    <t>El feld-mariscal conde Bardai de ToTli y el general conde Platoff en contraron al Emperador en Vick. El cuartel general * con las divisiones rusas, pasará el Mosela j&gt;or debajo de Toul, donde Iiay un vado , y el Mosa en Fagrti, y avanzara á Uvid. Tengo la honra de incluir una relación de la ocupación de Chalons so bre el Ma…</t>
  </si>
  <si>
    <t>Plaza, Fernando</t>
  </si>
  <si>
    <t>Fernando Plaza</t>
  </si>
  <si>
    <t>7X9 Josef Saavedra , D. Maimel del Barrio, D. Bartblómd Labrador, D. Raimun do Marín, D. Josef Fernandez de los Muros, D. Fernando Plaza, D. Isidro Cifuentes, O. Antonio Montesinos, D. Lorenzo García, D. Miguel1 Blanco* D. Francisco Sancha, D.-AntonioEstevezyD; Ildefonso Mansilla, D. Gre-f gOrio Pieoir, D. Cristóbal Bermejo ,D. Francisco López, D. Francisco Arahuetes i D. Joaquín Escorriguela,…</t>
  </si>
  <si>
    <t>Plazas, Cristóbal</t>
  </si>
  <si>
    <t>Cristóbal Plazas</t>
  </si>
  <si>
    <t>…llanía de Doña Ana Giménez Muñoz. Una casa núm. 4, calle las Cruces, id. Capellanía de D. Fr. Alonso, Bernardo de los Ríos. Una casa núm. 6, Tendidas, Sta. Paula,id. Capellanía de D. Cristóbal Plazas. Una casa, calle la Estación, Gabia la grande : 3 hazas de tierra,una de 20 marjales de riego puesta de olivos ; otra de 13 fanegas, pago de lá Alcantarilla, y otra de 10 en id., estas dos de se cano , y una era, id. Capellanía de D. Alonso de los Ríos. Veint…</t>
  </si>
  <si>
    <t>Poig, Josef Portes y</t>
  </si>
  <si>
    <t>Josef Portes y Poig</t>
  </si>
  <si>
    <t>…s R^rLguez delRio: dé Bienvenida i Do» Antonio Fernandez Briz; y del Campo deCriptana á D. Eugenio Miiguet Fernandez Ma(Hpnadd¿tfc&gt;pór lreh|ftiliaR&gt;jde ep^ijosefMatiaiiEgoizaval y D. Josef Portes y Poig» se ha, servido asimismo S. M. nombrar para la de Ucles á D.: JoséFAfiícmíío Loientc piar. para? la (üc Ce^ávin ^ D¿ ¿Josef Añto. '«.■ • ' j-y ■ T.-1 - ■ -i-.', v . . .■ n ■ . *r ,í. %C - úhiClmúiilíí'.t ''ióoñio de Osoz y .Sí t.u S. M¿ se ha servido» por su…</t>
  </si>
  <si>
    <t>Poítocarrero, Francisco</t>
  </si>
  <si>
    <t>Francisco Poítocarrero</t>
  </si>
  <si>
    <t>…gel de Velasco, que vive en la cálle de Bordadores « casas del marques de VÍllena, y en Avilés al cura párroco de la citada de Sto. Tomas de Sabugo. ' Se desea saber la suerte de D. Francisco Poítocarrero, cadete del regimiento de Velez-Málaga, que se halló en la acción de Ocaña de 1809. Se suplica i fós ofi ciales', cadetes y denlas personas que la sepan se sírvan participarla en Madrid á D. Matías Brie^a ,* qué vive en la. calle de S; José, núm. 15, esquina…</t>
  </si>
  <si>
    <t>Policarpo</t>
  </si>
  <si>
    <t>…a competente di pensa para su ob tención por el impedimento de bigamia: para una media- ración de la igle sia catedral de Segovia, vacante pór fallecimiento de D** Joan Sánchez,"á D. Policarpo de la Puente: para el priorato claustral de la colegiata de janquera de Ambia, vacante por promoción de D. Josef Moure al arcedianató de Limia, dignidad de la cateara! de Orense, á D. Julián de Piñera, cura párroco de S. Julián de Travadelo, en el arzobispado…</t>
  </si>
  <si>
    <t>Polidoro, Miguel</t>
  </si>
  <si>
    <t>Miguel Polidoro</t>
  </si>
  <si>
    <t>…, D. Manuel. Puch:, Di Juan Delgado, Don -Antonio Megias i:B. Francisco Pfieto, D. ¿Esteban Alzurrun /D. Juan Portaz, D. Antonio Molina , D. Bawolomé Pombo, D. F rancisco Ortega , D. Miguel Polidoro y D. Josef Trillo, D. Manuel* Diez tarabilla , D. Francisco Estrada, D, Manud Lebony D. AntonioiMangas ,;D. Alonso García, D. Manuel Ro-</t>
  </si>
  <si>
    <t>Polo, Juan</t>
  </si>
  <si>
    <t>Juan Polo</t>
  </si>
  <si>
    <t>…esada^D.** Josef Arcos, Don Fermín Moza, DPAnjgel Villa, JL Florentino García., D. Rafael Alcalde, D, Ambrosio Doz, D. Vicente Guisber, D. Mariano Rodríguez, D. Eusebio Gavilanes, D. Juan Polo, D. Josef Baeza, D; Josef Dávila , D. Francis co Frades., D* Josef Urbiña, D. Antoiiio Valdivieso, D. Juan Sánchez , Don Manuel Laso, D. Domingo Cepeda, D. Mariano Mayor&gt; D*5Juan Bastos,</t>
  </si>
  <si>
    <t>Polo, Manuel Peñuelo</t>
  </si>
  <si>
    <t>Manuel Peñuelo Polo</t>
  </si>
  <si>
    <t>…n la expresada diócesis de Jaén, á D. Francisco Zamora Fernandez; y para la prestamera menor de Valdejudíos en la iglesia parroquial de Carrascosa del Campo, vacante por muerte de D. Manuel Peñuelo Polo, la que lo está asi mismo en la Villa de Barbalimpia por haber tallecido D. Julián Valiente, la de Armaüones que vacó por haber contraído matrimonio D. Narciso Mallol, la media préstamera de la villa de Recuenco, que obtuvo D. Diego Mateo Villalobos, y vacó p…</t>
  </si>
  <si>
    <t>Polo, Ramón</t>
  </si>
  <si>
    <t>Ramón Polo</t>
  </si>
  <si>
    <t>…biaga, D. Josef Mendicuti, D. Francisco de Mena, D. Nicolás Landazuri, D. Manuel Sayago, D. Jldefonso Nieto, D. Cristóbal Giménez, D. Miguel de Torres, D. R.afael Sánchez Sáravia, D. Ramón Polo, D. Miguel Linares, D. Juan Larrua , D. .Tomas Montero ,'D. Antonio Enfy, D. Josef Aguilar, D.” Juan de DiosVaidivia,D. Lázaro Caballero ,D. Antonio Floran, D.'Manuel García SegóVia,D. AntonioCarly , D. Mariano Baeza, D. Josef Liaño, D. Gonzalo Sóusá ,D. Bart…</t>
  </si>
  <si>
    <t>Pombo, Bawolomé</t>
  </si>
  <si>
    <t>Bawolomé Pombo</t>
  </si>
  <si>
    <t>…r, D; Ma teo Fernandez, &lt;Dí Adrián Jaco me, D. Manuel. Puch:, Di Juan Delgado, Don -Antonio Megias i:B. Francisco Pfieto, D. ¿Esteban Alzurrun /D. Juan Portaz, D. Antonio Molina , D. Bawolomé Pombo, D. F rancisco Ortega , D. Miguel Polidoro y D. Josef Trillo, D. Manuel* Diez tarabilla , D. Francisco Estrada, D, Manud Lebony D. AntonioiMangas ,;D. Alonso García, D. Manuel Ro-</t>
  </si>
  <si>
    <t>Pombo, Josef Ignacio de</t>
  </si>
  <si>
    <t>Josef Ignacio de Pombo</t>
  </si>
  <si>
    <t>…Éñ el mismo almacense halla una colección completa de mercurios. : Nota. -En la gaceta del jueves T.° dé Junio, pág. Í94 , línea 27 , donde dice D. Ignacio Josef de. ^ombo, léase D. Josef Ignacio de Pombo¿ . . . . ■■■" . . . . . . . . ■ — 111 » ' ■&gt; i ■■ »' ‘V.-,..- . EN LÁIMPRENTA REAL. :b.;^</t>
  </si>
  <si>
    <t>Ponce, Josef</t>
  </si>
  <si>
    <t>Josef Ponce</t>
  </si>
  <si>
    <t>…mercio. 1 \ El Rey nuestro Señor se ha servido promover á brigadieres subinspecto res de artillería en los departamentos ae Filipinas, Lima y Caracas á los coroneles de dicha arma D. Josef Ponce, D. Manuel Llano y D. Francisco del Pino. D. Manuel Ordoñez, capitán del regimiento provincial de Toledo, y D. Alejandro Merino, regidor perpetuo de dicha ciudad, alcaldes de su San ta y Real hermandad vieja, y lugar-tenientes del Sermo. Sr. Infante Don Carlo…</t>
  </si>
  <si>
    <t>Poncé, Simón</t>
  </si>
  <si>
    <t>Simón Poncé</t>
  </si>
  <si>
    <t>…a, D. Bernardo Tacón, D. Francisco Boneo, D. Jo sef Zorrilla, D. Santiago Regañón, D. Josef Maestre, D. Josef Olaeta■, Don Andrés Pitadaveyga, D. Ramón Bañuelos, -D. ♦ Juan Duran, D. Simón Poncé pjeLeón, D. Jóséf de Roca, D. Francisco de la Rosa, D. Alonso Tiscar* P. Manuel Tosta, D. Francisco Alameda, D.. Tomas Gómez Qui janó, Don Joaquín Vial ,’D. Francisco Sirera, D. Antonio dé la Rosa y D. Juan Bermuy.' ^ Ascenso á alféreces de navio á los dé fra…</t>
  </si>
  <si>
    <t>Ponrret, Pedro Andrés</t>
  </si>
  <si>
    <t>Pedro Andrés Ponrret</t>
  </si>
  <si>
    <t>…e D. Francisco Campuzano, gobernador de las aduanas de Cantabria, ha venido S. M. en conce derle les honores del consejo de Hacienda. El Rey nuestro Señor se ha servido conceder á D. Pedro Andrés Ponrret, canónigo de lá iglesia catedral de Oreme , el permiso de usar la distin ción de la flor,de^iis que le ha concedido S. M. Cristianísima, en atención á su decidido amor y constante adhesión á la augusta casa de los Borbones. En medio de la inmensidad de gravís…</t>
  </si>
  <si>
    <t>Póns, Angel</t>
  </si>
  <si>
    <t>Angel Póns</t>
  </si>
  <si>
    <t>…ariano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ádos tenientes D. Josef Marín, D. Josef Alcázar, Dr Josef de Castro, D. Pascual,Atiza , Dv Víctor Conegero,…</t>
  </si>
  <si>
    <t>Ponso, S. W.</t>
  </si>
  <si>
    <t>S. W. Ponso</t>
  </si>
  <si>
    <t>…„Me tomo la libertad de recomendar á la protección de V. S. á este dig no oficial. = Tengo la honra 8¿c.-ízWe¿!mgton” ^ ^ « ,,P. D. Después de escrito esto he sabido que el mayor general S. W. Ponso rnby ha muerto ,' y al comunicarlo á V. Sí debo, espresar mi sentimiento por la suerte de un* oficial qué hábia ya hecho muy brillantes é importantes servicios-'; y era el ornamento dé sil‘profesión.” y * r ¿ „ 2.a P. D. No fie recibido aun los estados de mue…</t>
  </si>
  <si>
    <t>Pont, Pedro Angel Marcó del</t>
  </si>
  <si>
    <t>Pedro Angel Marcó del Pont</t>
  </si>
  <si>
    <t>…Cuenca y Monterey, á los de infantería D. Antonio Jesús de Chin chilla, D. Pedro de Prado, D. Francisco del Aguila, D. Felipe Muñoz, D. Andrés Arroyo, D. Angel Alvarez Sotomayor, D. Pedro Angel Marcó del Pont y D. Heradio Alaiz. Y para igual empleo del regimiento provincial de Betanzos al Teniente coronel agregado al mismo cuerpo D. Pedro Váz quez Pimentel. Asimismo se ha servido S. M. nombrar á D. Fermín Gil de Linares, Fiscal de la audiencia de Estremadura, para la fiscalía…</t>
  </si>
  <si>
    <t>Pool</t>
  </si>
  <si>
    <t>…erdam, capitán Uoífmeyer; el Brabante s capitán vandet-Hatt; ed Almirante Ruyter, capitán l’Hoeft;* ja fragata Marta van Reigers bergen, capitán vander-Nieport; la corbeta la Irá, capitán Pool, y el brickél Espía3 ca pitán vander-Loef. Ayer fueron licenciadas con solemnidad las compañías de milicia volun taria de caballería y de infantería.</t>
  </si>
  <si>
    <t>Porlier, Juan Diaz</t>
  </si>
  <si>
    <t>Juan Diaz Porlier</t>
  </si>
  <si>
    <t>…tos.) 1115 GACETA ESTRAORDINARIA DE MADRID DEL MIERCOLES 27 DE SETIEMBRE DE 1815. ARTICULO DE OFICIO. Conmovida alguna tropa de la guarnición de la Coruña por el Mariscal de campo D. Juan Diaz Porlier (conocido con el nombre de Marque sito), se alzó en la mañana del 19 de este mes contra las autoridades legítimas, pu blicando sediciosamente la Constitución de las llamadas Cortes estraordinarJas, y arrestando al Capitán general, al Gobernador é Intendente i…</t>
  </si>
  <si>
    <t>Porlier, Juan Díaz</t>
  </si>
  <si>
    <t>Juan Díaz Porlier</t>
  </si>
  <si>
    <t>…Sr. Se cretario dtl despacho de Gracia y Justicia la carta siguiente : „Escmo. Sr.: Tan sorprendente como seria á V. E. la infausta no ticia que le di de la rebelión suscitada por D. Juan Díaz Porlier, le será agradable la de que á las nueve de la mañana de este dia han abandonado precipitada y vergonzosamente esta plaza las tropas que engañadas siguie ron el partido del traidor seductor. Fieles ¿ V. M. las corporaciones y tro pas de Santiago, se resistier…</t>
  </si>
  <si>
    <t>…Real, en el reino dé Jaén, ha» heéfco presente al Rey^ nuestro Señor, por medio de una'ehé^rcá exposición; que llenos de júbilo por haber visto frustrada \é teméraifiá;efnpresa de Don Juan Díaz Porlier de atentar contra los sagrados derechos de S. M. ,ry de al terar el orden publico en Galicia, acordaron tributar gracias al Todopodero so con un solemne Te De uní y misa cantada, á que asistieron el cabildo ecle siástico y secular y las demas personas de dist…</t>
  </si>
  <si>
    <t>Porras, Pedro Ruiz de</t>
  </si>
  <si>
    <t>Pedro Ruiz de Porras</t>
  </si>
  <si>
    <t>…eda remitirlas juntas, á fin de que todos sean premiados á la vez, y evitar asi las quejas de los que fuesen mas tarde agraciados___ Asimismo reco miendo al gobernador de la plaza brigadier D. Pedro Ruiz de Porras. Este gefe, ademas de haber contribuido eficazmente al cumplimiento de inis órde nes, y dado con actividad las que estuvieron de su parte para el armamento y apresto de la espedicion , se trasladó al pueblo de la Ciénega, en donde se mantuvo hasta que se acab…</t>
  </si>
  <si>
    <t>Porras, PédróRuiz de</t>
  </si>
  <si>
    <t>PédróRuiz de Porras</t>
  </si>
  <si>
    <t>…ci ta cor. elogio por sus buenos servicios en esta’ ocasión; concediendo ademas grados~de tenientes'coroneles á lorcaptfaííé's D. "Ignacio “dé La1 Rus y D. Vaienrin Capmani; y ai-brigadier D. PédróRuiz de Porras , gobernador de la plaza de Santa Martayi la cruz de: comendador de la Real, orden americana de Isabel la; Católica.. Igualmente se ha servido S. M. promover á teniente general de los Rea tes egercitos al: mariscal de campo-D. Francisco Montalvo, capíran gene…</t>
  </si>
  <si>
    <t>Portal, Miguel Fernandez</t>
  </si>
  <si>
    <t>Miguel Fernandez Portal</t>
  </si>
  <si>
    <t>…, y que esta era la ocasión mas oportuna para que S. M. dispusiese de este cor-* to donativo; se ha servido rosolver se publique en la gaceta este rasgo de amor á su Real Persona. D. Miguel Fernandez Portal, vecino de Puerto de Vega, ha hecho á M. el donativo gratuito y voluntario de 320 reales vellón en una letra á la vista sobre esta corte , manifestando al mismo tiempo su sentimiento de que el estado de su fortuna actual y su dilatada familia de siete hijos ñ…</t>
  </si>
  <si>
    <t>Portaz, Juan</t>
  </si>
  <si>
    <t>Juan Portaz</t>
  </si>
  <si>
    <t>…dé lbs¡filenos ,D¿ Gabriel: fescolar, D; Ma teo Fernandez, &lt;Dí Adrián Jaco me, D. Manuel. Puch:, Di Juan Delgado, Don -Antonio Megias i:B. Francisco Pfieto, D. ¿Esteban Alzurrun /D. Juan Portaz, D. Antonio Molina , D. Bawolomé Pombo, D. F rancisco Ortega , D. Miguel Polidoro y D. Josef Trillo, D. Manuel* Diez tarabilla , D. Francisco Estrada, D, Manud Lebony D. AntonioiMangas ,;D. Alonso García, D. Manuel Ro-</t>
  </si>
  <si>
    <t>Pórtela, Manuel</t>
  </si>
  <si>
    <t>Manuel Pórtela</t>
  </si>
  <si>
    <t>…en, acreditándolo debidamente por la escribanía del número de D. Cristóbal de Vicuña. D. Juan Francisco de la Quintana, residente en el valle de Mena, provincia de Búrgos, avisa á D. Manuel Pórtela, que en el año de 1796 tiene noticia resi día en Cádiz, y á D. Andrés de Olave , maestre que fue de plata del navio de S. M* el Argonauta , para que en el término de seis meses desde la publicación de este avi so acudan á él en debida forma para ventilar cier…</t>
  </si>
  <si>
    <t>Portet, Julián</t>
  </si>
  <si>
    <t>Julián Portet</t>
  </si>
  <si>
    <t>…argento del regimiento de infantería de Soria, D. Juan Massana, oficial de la Consolidación de vales Reales, D. Salvador Aulet, co merciante , D. Ramón Mas, carpintero de ribera , D. Julián Portet, espar tero, y D. Pedro Lastortras. El público expresó con sentimientos de ternu ra la dulce emoción de su voluntad. ,,El día 15 por la mañana fueron conducidos los cadáveres desde la Real iglesia de la ciudadela al lugar mismo donde la crueldad habia egecuta…</t>
  </si>
  <si>
    <t>Portillo, Lucas</t>
  </si>
  <si>
    <t>Lucas Portillo</t>
  </si>
  <si>
    <t>…ámara. Habiendo e! presbítero D. Antonio Berna!, vecino de Granada, ofreci do á S. M. por un efecto de patriotismo el donativo de 4620 rs. y 10 mrs. vn., que ha heredado de su tio D. Lucas Portillo, teniente que fue de ca ballería de Santiago, y agregado al estado mayor de la plaza de Cartagena, como asimismo todo lo que este devengue de sus sueldos; se ha servido S. M. mandar que en su Real nombre se le den las gracias, y se publique en la gaceta. D. J…</t>
  </si>
  <si>
    <t>Portóla, Antonio de</t>
  </si>
  <si>
    <t>Antonio de Portóla</t>
  </si>
  <si>
    <t>…sueldos vencíaos.__D. Angel de Vetilla, vecino de la villa de Torrecilla de Cameros, caballero divisero del ilustre y antiguo solar de Valdosera, 18608 rs; y 30 mrs. en efectivo. D. Antonio de Portóla, barón de Castellnou de Monsech ,11130 rs. vn. en cinco recibos $ie réditos de la renta del tabaco.__ D. Mafiuel Henriquez, intendente jubilado , nueve acciones Jdel Real empréstito de 160 millones de á 4® rs. cada una.-i-Don Mariano de Alcalde, tesorero prin…</t>
  </si>
  <si>
    <t>Pou, Joaquín</t>
  </si>
  <si>
    <t>Joaquín Pou</t>
  </si>
  <si>
    <t>«lucido á cenizas el patíbulo en donde dieron su último suspiro en los dias 3 y 27 de Junio de 1899 ^os ^roes barceloneses el Dr. D. Joaquín Pou, cu ra párroco de la cindadela, el P. D. Juan Gaiiiía, clérigo reglar teatino, D. Josef Navarro , sargento del regimiento de infantería de Soria, D. Juan Massana, oficial de la Consolidación de vales Reales, D. Salvador Aulet, co merciante , D. Ramón Mas, car…</t>
  </si>
  <si>
    <t>Pountt</t>
  </si>
  <si>
    <t>…rpo compone la derecha, y marcha sobre Francfort y Maguncia. Las .cabezas de estas columnas están llegando en este momento á Cobourg___Gefe del estado mayor de este, cuer = ¡po el general Pountt. ——. Ciento veinte piezas de cañón; - *-’.r Cuarto cuerpo de exército, general Raessky.— 11.a división de infante ría, mayor general FuilenefF.—. 17.a división .id»., el teniente general Olsoufieff.___3.a división de húsares, teniente general Ezaplitz.»__ Och…</t>
  </si>
  <si>
    <t>Poúrret, Pedro Andrés</t>
  </si>
  <si>
    <t>Pedro Andrés Poúrret</t>
  </si>
  <si>
    <t>…Rey se ha servido nombrar para una canongía con el título de.digr nidad cardenalicia, vacante en la santa iglesia metropolitana de Santiago por muerte de D. Blas Perez Valverde, á D. Pedro Andrés Poúrret, canónigo de la catedral de Orense; y para la maestrescolía, vacante en la iglesia ca tedral de Zamora por muerte de D Francisco González, á D. Agustín Sán chez Villalobos, admitiéndole la renuncia que ha hecho de igual dignidad en la catedral'de Cuenca, para…</t>
  </si>
  <si>
    <t>Pourret, Pedro Andrés</t>
  </si>
  <si>
    <t>Pedro Andrés Pourret</t>
  </si>
  <si>
    <t>…gas y Varaez á otra de la iglesia metropolitana de Granada, á D. Nicolás Colmenero: para otra ca-‘ nongía de la iglesia catedral de Orense, que resultará vacante por promo ción de D. Pedro Andrés Pourret á otra de la iglesia metropolitana de San-; tiago, á D. Matías González» cura ecónomo de la parroquia de Santiago y S. Juan de esta corte: para el arciprestazgo y canongía , que resultará va cante en la iglesia colegial de Ubeda, diócesis de Jaén, por promoci…</t>
  </si>
  <si>
    <t>Poutoux, Juan</t>
  </si>
  <si>
    <t>Juan Poutoux</t>
  </si>
  <si>
    <t>…Señor concederle!su jubilacionvépn el sueldo de 4o$ rs. y Iqs nonores de ministro del consejo de Hacienda. V Habiéndose servido el REYc.nuestro Señor admitir al mariscal de campo D. Juan Poutoux¡y Moxicá la dimisión que hizo dél empleo dé ‘subinspector de los regimientos de milicias provinciales de Galicia y Asturias, ha venido ,en nombrar para sucederle en dicho encargó al mariscal de campo D.¡ Jóséf Imaz , enbaténcion á suSiSeívicios ¡y conocimient…</t>
  </si>
  <si>
    <t>Poveda, Atanasio Puyal y</t>
  </si>
  <si>
    <t>Atanasio Puyal y Poveda</t>
  </si>
  <si>
    <t>…enal de Sea la, arzobispo de Toledo, al Dr. D. Luis López de Casmllo, canónigo de la Real iglesia de S. Isidro de esta villa y corte, en lugar y por traslación del R. ea Cristo P. D. Atanasio Puyal y Poveda, que le obtenía, al obispado de Calahorra. El Rey nuestro Señor se ha servido admitir la cesión que por impulsos del mas respetuoso amor á su Real Persona le ha hecho Doña Ignacia Obeno de Cilla, vecina de Guisona ,de 3©i$ rs. vn. vencidos por una pensión que…</t>
  </si>
  <si>
    <t>Poves, Juan</t>
  </si>
  <si>
    <t>Juan Poves</t>
  </si>
  <si>
    <t>…iendo acudido ál juzgado del Sr. ©. Joaquín de Almazan, del consejo de CS. M. ,• teniente corregidor de esta villa , y por la escribanía del número de D. To mas de Sancha y Prado, D. Juan Poves, vecino de esta corte, como conjunta pernwom de Btma-Lticfedtoeurto-, y apoderado de Doña Bernarda, Doña Isabel y Doña</t>
  </si>
  <si>
    <t>Poyatos, Josef Antonio García</t>
  </si>
  <si>
    <t>Josef Antonio García Poyatos</t>
  </si>
  <si>
    <t>…n cisco Antonio Fernandez. Igualmente se ha servido nombrar S. M. para un beneficio simple de Santa María del Campo, diócesis de Cuenca, vacante por muerte de Don Lucas Munguía, á D. Josef Antonio García Poyatos: para la prestamera de Villanueva de Alarcon» que vacó por haber muerto D. Antonio.de Larreategui, y la del lugar de Chillaron, vacante también por fallecimiento de L&gt;. Franci seo de Figueroa, las dos en el expresado obispado de Cuenca, á D. Eusebio Hernández…</t>
  </si>
  <si>
    <t>Pozo, Gregorio del</t>
  </si>
  <si>
    <t>Gregorio del Pozo</t>
  </si>
  <si>
    <t>…. Josef Bena, 0. Manuel Hueso, D. Fránciscp-Yarto, D. Mariano Rosas,. D. Henrique Puga, y D. Carlos ViHarejo, del Regimiento de Mallorca; D. Ignacio Llánderas , D. Miguel Moretid, D. Gregorio del Pozo, D. Fabian de Lastra, 0. Ricardo Rey roso, Don Víctor Cabeza de Vaca, D. Casimiro Salcedo, y D. Miguel González, del de Voluntarios de Avila; D. Francisco Herranz ,'D. Angel Díaz, y Don Vicente Tomes, del Provincial de Segovia; D. Pedro NuñeZ;, D. Manuel Cald…</t>
  </si>
  <si>
    <t>Pozo, Manuel del</t>
  </si>
  <si>
    <t>Manuel del Pozo</t>
  </si>
  <si>
    <t>…on á b. Vicente García Olalla; y para la «de Bailen á D. Félix Alonso y Calzas; y; ha confirmado 5. M. en la vara de Ollvencia á D. Pedro Josef Revira ; en ía de Rlaza y Riofrio á D. Manuel del Pozo, y eft la'dé Palacios de da; Bal* duerna 'á D. Francisco Plácido Cabrera. ^ ' •* Asimismo se ha servido S. M. prorogar por seis años en la vara de a leal- ’ de mayor de 5. Cristóbal de la Laguna, en la isla de Tenerife, una de las Canarias, a D. Josef Antonio…</t>
  </si>
  <si>
    <t>…arán saber mas‘ ade lante. ■ ‘ í: l' V? r- ’v:* Asimismo se ha dignado S. M. dispensar en su Real brigada de .carabine ros grados de teniente coronel de caballería á los tenientes D. Manuel del Pozo, Dv Juan Aguijar y D. Juan María Viegas: grados de capitán á lo* alféreces I&gt;. Manuel.Torres, D.; Alonso Torres y D. Hipólito de. Silvas y grados de alféreces igualmente de caballería 4;los- distinguMos D, Basilio rCeéda, D. Autopio defMoya p E&gt;. Antonip, Mel…</t>
  </si>
  <si>
    <t>…Mansilla de las Muías á D. Evaristo Linares: para la de Alcañices á D. Francisco de Paula Grande: para la de Cien pozuelos á D. Francisco Herrero Blanco: para la de Salva tierra á D. Manuel del Pozo: para la de la Bañeza á D. Bartolomé García Terrón: para la de Nájera á D. Josef Eladio Garcés: para la del Ferrol y la Graña á D. Vicente García Díaz: para la de Sta. Cruz de Múdela á Don Antonio Pimentel y Valenzuela: para la de Huecija á D. Andrés Rodrígue…</t>
  </si>
  <si>
    <t>Pozuelo, Juan Martínez</t>
  </si>
  <si>
    <t>Juan Martínez Pozuelo</t>
  </si>
  <si>
    <t>…ntos D. Josef de Torres Gal vez/ D. Clemente Román y Lobo, D. Antonio de Entrena y Mosquera, D. Jo sef Rodríguez, P. Clemente Losada, D. Josef María Pantoga ,‘D. Matías Ova-, lie, D. Juan Martínez Pozuelo y D. Fulgencio Albacete. Ascenso ¿ oficiales quintos i los meritorios D. Josef Velez Cabo, Doñ Antonio de Casas, D., Josef Valero i D_ Anastasio Ruperto Fernandez, Don, Antonio Josef Alayedré y D. Josef Francisco Montero.(óV continuara;) • ' Articulo correspondiente 4 la primera sec…</t>
  </si>
  <si>
    <t>Pozzo</t>
  </si>
  <si>
    <t>…mpresa; designado el punto que cada una de eltas deba ocupar con sus exércitos , y ajustado el plan general de operaciones, fue enviado por lós Soberanos reunidosen el congreso el conde Pozzo d¡ Borgo por embaxador extraordinario al rey de Francia Luis xvm para anunciarle las determi naciones tomadas , ¡y ofreceirle el auxilio de todas sus fuerzas reunidas. El rey de Dinamarca por su parte se ha convenido solemnemente en dar para exterminar las pé…</t>
  </si>
  <si>
    <t>Pozzó</t>
  </si>
  <si>
    <t>…di Bbrgo fbaron VmeéntqMuffiing y A lava estuvie ron en el campo durante la acciónY'é hicieroir ícn mi favor cuatífó ésf aba-dé su parte. El barón Vincent ha salidor herido, y el general Pozzó -recibió ti na " : "y •,'f; ? ‘ 'contusión. \ '■'..-.a i: -7 „No haría justicia á mis sentimientos , ni al mariscal Blucher , nial' egér cito prusiano ^:sliho^atilS:buy^^r'&amp;b|bliz&gt;iesuha'd^' de esté terrible dia* al cordial y oportuno auxilio íqné tecihí'dé é…</t>
  </si>
  <si>
    <t>Pra-, Tomas de Sancha y</t>
  </si>
  <si>
    <t>Tomas de Sancha y Pra-</t>
  </si>
  <si>
    <t>A virtud de providencia del Sr. D. León :de la Cámara Caño; del consejo'dc S. M. , teniente corregidor de esta villa, refrendada de D. Tomas de Sancha y Pra-¿ do, escribano del número de ella, se ha mandado sacar, á subasta, por término de, 30 días contados desde el 12 del corriente mes, una casa sita en esta corte, calle ancha del Avapies, núm., 12 , manz. 47, tasada últimamente en 3590*5 rs. 14, mrs. vn, La pers…</t>
  </si>
  <si>
    <t>Prado, Antonio Gárcía</t>
  </si>
  <si>
    <t>Antonio Gárcía Prado</t>
  </si>
  <si>
    <t>…vos de caballería, Cón süéldó de talesjy grado de tenientes, á los guardias D. Jiian Soto , D/Vicente Hore , D. Estéban Sarrie, D. Siiñpií Bañuelos , D. Juan de la Cruz González , D. Antonio Gárcía Prado, D/ Ju lián Villacampa y D. Manuel Ubi ría : grado de tenientes á los guardias Dori Juan Nepbmuceno Roldan, D. Laureano Melena, D. Josef Sandoval, t). An&gt; • tonio Megía, É). • Eugenio Ábergoza , D. Francisco Aguírre , D. Braulio Ro-í drigo, D. Manuel Medina ,…</t>
  </si>
  <si>
    <t>Prado, Juan Hernández de</t>
  </si>
  <si>
    <t>Juan Hernández de Prado</t>
  </si>
  <si>
    <t>…ence, á D. Manuel Fernandez Varela, prior de Accba, y canónigo de la misma catedral: para una canongía de la iglesia catedral d.e Ceuta,, vacan-, te por muerte dé D. Juan Duran, á D. Juan Hernández de Prado, ración ñero de la misma; y para una capellanía titulada de Reyes nuevos de To-&lt; ledo en la villa de Valdeolivas, diócesis de Cuenca, vacante por muerte den D. Josef Trúpita, á D. Antonio Martínez Viaña. El Rey se ha servido nombrar para el corregimiento de l…</t>
  </si>
  <si>
    <t>Prado, Pedro de</t>
  </si>
  <si>
    <t>Pedro de Prado</t>
  </si>
  <si>
    <t>…ar Coroneles de los regimien tos provinciales de Jerez, Ciudad-Rodrigo, Laredo, Santiago, Tuy, Bu jalance , Cuenca y Monterey, á los de infantería D. Antonio Jesús de Chin chilla, D. Pedro de Prado, D. Francisco del Aguila, D. Felipe Muñoz, D. Andrés Arroyo, D. Angel Alvarez Sotomayor, D. Pedro Angel Marcó del Pont y D. Heradio Alaiz. Y para igual empleo del regimiento provincial de Betanzos al Teniente coronel agregado al mismo cuerpo D. Pedro Váz quez…</t>
  </si>
  <si>
    <t>Prado, Pedro del</t>
  </si>
  <si>
    <t>Pedro del Prado</t>
  </si>
  <si>
    <t>…be sar su Real mano en nombre de la Real sociedad ae Amigos del país, esta blecida en la ciudad y provincia de Jaén, D. Ramón Valladolid, administra dor general de todas rentas, y D. Pedro del Prado, maestrante de la Real de Granada, individuos de aquella corporación; de los cuales el primero aren gó á S. M. esponiendo los esfuerzos de los individuos: de aquel cuerpo patrió-: tico, asi como el de los demás vecinos de aquella ciudadpor defender los de rec…</t>
  </si>
  <si>
    <t>Prado, Tomas de Sancha y</t>
  </si>
  <si>
    <t>Tomas de Sancha y Prado</t>
  </si>
  <si>
    <t>…lan ya abiertos para el público desde principió del corriente mes, y lo estarán hasta fines de Octubre. Por el juzgado del Sr. D. León de la Cámara Cano, y escribanía numeraria de D. Tomas de Sancha y Prado, penden autos promovidos por D. Bonifacio Doz j la Cerda, vecino de la ciudad de Tarazona, quien ha reclamado cinco vales Reales de la creación de i.° de Enero de 1808, señalado» con lo» números 230590, 241631,</t>
  </si>
  <si>
    <t>…eclamaciones y liquidar sus cuentas. A virtud de providencia del Sr. D. León de la Cámara Cano, del consejo de 5. M., teniente corregidor de esta villa, y escribanía del numero de D. Tomas de Sancha y Prado se venden dos casas sitas en esta corte, la una en la calle de la In quisición, señalada con el núm. 9, manz. 495, tasada en 159785 rs., y la otra ca lle de la Cuadra, núm. 5, manz 527, tasada en 6Ó978 rs. para pago de acreedo res: la persona que quisiere hac…</t>
  </si>
  <si>
    <t>Pratr</t>
  </si>
  <si>
    <t>…todos los poseedores de certificados del servicio de muías durante laí guerras pasada en la península, que no acudiendo para su liquidación á Ja secretaría' del diputado comisario general Pratr, establecida en la Travésa dos Ferré— ríos, núm. 4, en el barrio de Buenos-Aires, en Lisboa, hasta ei dia 24_delT mes de Noviembre de este año, ios fondos destinados para et pago-de Ja deuda de los transportes del egército británico serán aplicados á otro -fe…</t>
  </si>
  <si>
    <t>Prats, Josef Cañellas y</t>
  </si>
  <si>
    <t>Josef Cañellas y Prats</t>
  </si>
  <si>
    <t>…D. Ventura Jo-" sef Masmirja al dé Llobregat ; á D. Juan Pablo Óonstans, canónigo de Urgel. =Una de las tres canongías que hay vacantes én la iglesia metropolitana de! Tarragona á D. Josef Cañellas y Prats , deán de la villa de Montblanch y sií partido., en la propia diócesis. = La canongía vacante en la colegiata de Ante quera por fallecimiento de D. Matías de Hita ¿ D. Juan de Sevilla, beneficia-» do de la parroquia de S. Juan de Málaga.= La canongía de ia ig…</t>
  </si>
  <si>
    <t>Pratt</t>
  </si>
  <si>
    <t>…á todos los poseedores de certificados del servicio de muías durante la guerra pasada en la península, que no acudiendo para su liquidación á la secretaría del diputado comisario general Pratt, establecida en la Travesa dos Ferre mos, núm. 4, en el barrio de Buenos-Aires, en Lisboa, hasta el dia 24 del mes de Noviembre de este año, los fondos destinados para el pago de la deuda de los transportes del egército británico, serán aplicados á otro fin.…</t>
  </si>
  <si>
    <t>…íjqs lps,. poseedores de certificados del servicio de’ mu las durante la, guerra pasádá'en la' península , qdVnaaéu^bd^^rfíjsp..;]lqútáacÍQn.á La secretaría déí diputado comisario general Pratt , establecida en la Travesa dos Ferre tíos , núm 4, en el harrio de Buenos-Aires , en Lisboa, hasta el día 24 del mes de Noviembre de este año los fondos destinados para el pago de la deuda Le; los transportes del egército británico serán aplicados á otro fin…</t>
  </si>
  <si>
    <t>Praxts, Antonio</t>
  </si>
  <si>
    <t>Antonio Praxts</t>
  </si>
  <si>
    <t>…su ministerio; y el dia 28 del mismo se ha rá la presentación de la plaza con arreglo á los méritos ó informes que se hayan re cibido. Teniendo que comunicar cosas interesantes. f D. Antonio Praxts, comisionado que fue en -el.año de -8o8 para el vestuario de la tropa y división de D. Alejandro Couplgny , áí venir aquélla á esta corte después de la batalla de Bailen, acudirá á ¿asa de D. Félix Lázaro y Angúix, que vive calle de los Negros, núm. 32 ; ó de…</t>
  </si>
  <si>
    <t>Pre</t>
  </si>
  <si>
    <t>…visó para ponerlo eñ su noticia.’* * ,i,Sin embargo de lo acordado en la orden que va inserta, y prevenido eir. fes leyes, son muy pocos los avisos que se han dado al Consejo y al Sr. Pre sidente de él de las ocurrencias que deberían llamar su atención: y comola: vóz pública y hechos particulares hacen ver la poca seguricfed5 de Iqs cami nos, y otros desórdenes dentro y fuera de poblado,, y do consiguiente que* los medios adoptados por S. M. á…</t>
  </si>
  <si>
    <t>Preciado, Isidro</t>
  </si>
  <si>
    <t>Isidro Preciado</t>
  </si>
  <si>
    <t>…dirigidos al bien y engran decimiento de la naden. ARTICULO DE OFICIO. El Rey se ha servido nombrar para el corregimiento de Ledesma á Don Juan Yarza Marín: para e! de Illéscas á D. Isidro Preciado: para el de Bae-. xa á D. Vicente Ximenez Granados: para él de Orense á D. Vicente Pedio Rebollo: para el de Bilbao z D. Antonio Apellan!?, oidor de la, chan-, ciMéría dé Váíladolid: para el dé Guipúzcoa á D. Ramón Macla de Lieoart: para el de Paradas á D. Fr…</t>
  </si>
  <si>
    <t>…la.de Valderas á Di Ramón An gel de las Cuevas: para la de Huesear de Baza á D. Cristóbal Benitez Campion: parala de A race na á D. Félix Antonio Ratiios; y para la de Peñafiél á D. Isidro Preciado. Para el corregimiento de Tnrazona dé la Mancha á D. Josef Catalan y Calderón: para el de Alcalá de los Gaztiles á D. Josef Roa Rodríguez: para el de Medinaceli á D. Roque Domingo de la Figuera: para el de Becerril de Campos á D. Josef Valentín Rica. Para la…</t>
  </si>
  <si>
    <t>…á l&gt;. Ma^tih ’Varop Oiiváí para la de Puebla de; Santa María de Guadalupe £ D*; Dionisio Apellanizi para la de BurguIIios á D. Cristóbal GonzálezTrigüéros: parala de Sepúfe veda á D. Isidro Preciado: para la de Brihuega á Di Manuel González Gá- ' voso: para la de Valdeorras á D. Josef Joaquín de Isla: para la de Gcon á b. Vicente García Olalla; y para la «de Bailen á D. Félix Alonso y Calzas; y; ha confirmado 5. M. en la vara de Ollvencia á D. Pedro Jose…</t>
  </si>
  <si>
    <t>Presidente</t>
  </si>
  <si>
    <t>…M. para que ei Consejo Real disponga inmediatamente' lo necesario á su puntual cumplimiento. . Dios guarde á V. E. muchos, años* Palacio 2 5 de Diciembre de 1814.se Tomas Moyano.s Señor Presidente delíGpnseja¿**.-¿v,&gt;.r/ ni.- •; '■ h :-e Publicada en el Consejo la antecedente Real orden , ha acordado su cum plimiento, y queí secomunique á Ías-Ghancillerias y Audiencias , Corregido res y Alcalaes mayores del Reyno^en la forma ordinaria. - : ;,• Y lo par…</t>
  </si>
  <si>
    <t>…año dé i#o8’i tfíífes^ de las turbáérdínfSi4u¿^gMfaroní,árlla Nación desde entonces, y confuroadíis por el mismo Real decreto las facultades que están ¡declaradas pollasiéyes^ al Sr. Presidente de¡ él para él gobierno y deqóro de este Supremo Tribuna!, subte cuyo qp mpli tronío *se expidió .Reíd Cédula qn i i do J unio"de este año,</t>
  </si>
  <si>
    <t>…aníb j jwra qué en 16 sucesivo no sé1 padezcan* las-,omisiones eXpéfimetitadás hasta ahora con tan grave perjuicio público, y que S. M. pueda Sér'informado por el Consejó y por el Sr. Presidente de él con_ la prontitud y seguridad qée está mandado de los expresados acontecimientos- y demas, casos graves, del estado de sus Rey nos, y dé qnanro sé adelante en eírléctí^ cio«fde las leVes dictadas para su mas acertadó góbiWhb* lia acordádo ef Gonsfejé-pq…</t>
  </si>
  <si>
    <t>…El Excmo. Sr. D» Tomas Moyano, Secretario de Estado y cfel des pacho Universal de Gracia y Justicia, ha comunicado al Consejo con fecha 21 de Febrero último por medio de S. E. el Sr. Presidente de éi la Real or den que dice asi: „ Excmo. Sr.: El Rey quiere que el Consejo cuide de que se castiguen los escándalos y delitos públicos ocurridos por voluntarias separaciones de los matrimonios y vida licenciosa de los cónyuges ó algunos de ellos, por amanc…</t>
  </si>
  <si>
    <t>Presidente, Düque</t>
  </si>
  <si>
    <t>Düque Presidente</t>
  </si>
  <si>
    <t>…principalmente para, noticia del Consejo, remito á V. E. la referida copia de orden de S. M. Dios guarde á V. E. muchos años. Palacio 14 de Maizo de 181 j.s; Pedro de Cevallos. = Sr. Düque Presidente.” ' Artículos que el Sr. D. Carlos' ir propone d su augusto itijo el Sr« Don remando vii parasu atepi^cion y yaprotacÍ9ns)oienmfy ARtfictJLO i.* , La renuncíai&amp;n amado ¿Hijo dé la corona d¿ España tes impone á El ya sus sucesores la,obligacion de suministrarm…</t>
  </si>
  <si>
    <t>Presidente, Duque</t>
  </si>
  <si>
    <t>Duque Presidente</t>
  </si>
  <si>
    <t>…vidiendo entre ellos los partidos ó provincias d^I distrito dé las Chancillerías y^';Audiencfásl|*" 5 ' * ' / •’* _ J ;; Esta soberana respíucipn de S; M. se ha cpmunicado pbr.'eí Sr. Duque Presidente á las Chancillerías y Audienciasfdél^ reino pára el efecto del reconbcimiénto de la Sección del pT^n de estudios , ,y autorización de su Presi dente para declarar ó hacer conocer á V. S. en su respetó, y para cumplir miento de las Autoridades subalternas de e…</t>
  </si>
  <si>
    <t>Priego, Juan Pablo de</t>
  </si>
  <si>
    <t>Juan Pablo de Priego</t>
  </si>
  <si>
    <t>…o' al marques de Malpica,' al duque de San Fernando , al conde de Santa Colonia, al marquéis de Alcañices, al marques del Aguila y al conde de Qolomera. " » . : Idem con-entrada á D. Juan Pablo de Priego, ai conde de Santiago Ca11 maya, á DV Antonio Manuel Montenegro y Correa , á D. Josef de Óvando y Adorno , al marques de la Vega de Armijo y á D. Francisco Mallo BoneüiJ iPiazas de mayordomos de semana á D. Miguel Desmaisieres, al conde der Cumbrehermosa, á D…</t>
  </si>
  <si>
    <t>Prieta, Ildefonso</t>
  </si>
  <si>
    <t>Ildefonso Prieta</t>
  </si>
  <si>
    <t>…itanes del Regimiento Provincial de Segovia; á 0. Fernando Alcocer, D. Josef Gines de Zamora, 0. Joaquín. Esoatolero, y D. Rafael Pizarro , Capitanes del Regimiento de Mallorca; á D. Ildefonso Prieta, D. Angel Castellanos, D. Manuel de Ro— xas, y D. Segundo García, Capitanes de Voluntarios de Avila ; á D. Pas cual Coca , D. Cenon López, 0. Bernabé Porián, y D. Josef Diaz, del primer Batallón de Ciudad-Rodrigo; á D. Antonio Echenique, D. Domin go García ,…</t>
  </si>
  <si>
    <t>Prieto, Diego</t>
  </si>
  <si>
    <t>Diego Prieto</t>
  </si>
  <si>
    <t>…uceta, D. Roque Guruceta ,D. Pedro Nuñez , D: Tomas Urreclia, D. 'Joaquín Blan co oMaldoñádoy;D. - Tobías Blanco Cabrera, D. Francisco Labandeyra, Doh Andrés Fernandez Caballero y D. Diego Prieto. - ; Ascenso á capitanes de fragata á los tenientes de navio D. Ramón de Eulate , D. Tomas Cortés, D. Pedro Bucheli, D. Sebastian Paez de la Cadena, D. Francisco Lafita » D. Joaquín Gil de Bernabé, D. Gregorio Roldan , Don Redro de Nava, iD; Miguel Araoz, D.:…</t>
  </si>
  <si>
    <t>Prieto, Jomas García</t>
  </si>
  <si>
    <t>Jomas García Prieto</t>
  </si>
  <si>
    <t>…gátivas de distinción, y sé hallap*li&amp;pes;de censo y carga alguna. La persona que quisiere enterarse pormenorde uno.y otro _ acudirá-en Madrid al procurador de los-Reales consejos D. Jomas García Prieto, que vive calle de los Jardines , núm. 13 , cuarto segundo. En la villa de Almodovar dél Pinár, provincia de Ciieñca, sé halla depositada .. de orden judicial tíña yegua qué en el año de 1811 se agregó á una carretería dé dicha villa en el término de Almodova…</t>
  </si>
  <si>
    <t>Prieto, Ramoii García</t>
  </si>
  <si>
    <t>Ramoii García Prieto</t>
  </si>
  <si>
    <t>…cura pár-r» roco de Sta. María del Templo de la villa de Villalpando, en el obispado de . León , y la capellanía del numero 40 que vacó en la propia catedral por fa llecimiento de D. Ramoii García Prieto á D. Juan Cuadrillero y Bedoya.1 La dignidad de chantre vacante en la catedral de Almería por faliecir miento de D. Lorenzo Nueveiglesias á D. Diego Carlon , canónigo magistral de la misma, y la dignidad de tesorero vacante Sn la propia catedral pojr v muerte…</t>
  </si>
  <si>
    <t>Prieto, Tomas</t>
  </si>
  <si>
    <t>Tomas Prieto</t>
  </si>
  <si>
    <t>grabado en hueco~ba jo la dirección de D. Tomas Prieto, grabador de cáma ra del propio Monarca. Ambos maestros se empeñaban á porfia en proteger le , y la academia en distinguirle, como lo hizo, adjudicándole el premio dei concurso del año de 1763 , prorogándole la pensión, sin egemplar, en el de 66, y nombrándol…</t>
  </si>
  <si>
    <t>Prieto, Vicente Agustín</t>
  </si>
  <si>
    <t>Vicente Agustín Prieto</t>
  </si>
  <si>
    <t>…rana, cura de la villa de Ataquines en el obispado de Avila: pa ra la abadía de la iglesia colegial de Lorca, diócesis de Cartagena, vacan te por muerte de D. Manuel de Robles , á D. Vicente Agustín Prieto, ca nónigo de la misma colegial; y para una canongía de la iglesia colegial de S. Felipe de Xátiva en el arzobispado de Valencia, vacante por muerte de D. Vicente Eiíin, á Fr. D. Josef Rives y Alonso. En atención á los distinguidos méritos que por sus servici…</t>
  </si>
  <si>
    <t>Prínci</t>
  </si>
  <si>
    <t>…o agrado; pero S. M. ha mostrado al mismo tiempo que estaba muy distante de toma* las armas para sostenerlos. j ■ Idem 20. “ El Emperador de Rusia continúa en los estados del feld-mariscal Prínci pe de Schwartzemberg en Bohemia, donde se recrea con el egercicio de la caza. Muchos señores de Bohemia, de la Moravia y de Austria van á cum plimentar á S. M. I. , y le acompañan en las cacerías. Se va á establecer un cuerpo de reserva austríaco en el Tirol,…</t>
  </si>
  <si>
    <t>Principa</t>
  </si>
  <si>
    <t>…tros muchos generales y oficiales del mismo égérciio.: ^ JDe Musía. Los grandes Duques Nieblas y Miguel; el condé dé Lama— *cff&gt; escudero mayor j el conde dé Nésselrode ; el mayor general Principa</t>
  </si>
  <si>
    <t>Príncipe</t>
  </si>
  <si>
    <t>…olumnas á la ciudad, é hicieron prisionera á su guarnición. En seguida pasó el coman dante con L2oo hombres al palacio del gobierno,y estando reunidos los ma gistrados proclamó al obispo Príncipe soberano de Ragusa. Parece que este obispo guerrero había mantenido correspondencia con el divan, y que no habiendo podido este restablecer la república de Ragusa co mo había propuesto al Congreso, ha condescendido en esta empresa. Se esperan tropas austríaca…</t>
  </si>
  <si>
    <t>…mpos de arroz, las casas, todo está arrasado, habiendo perecido en esta catástrofe inaudita un excesivo nu mero de habitantes. P AISES-B AJ OS-UNIDOS. Bruselas 22 de Noviembre. El mariscal Príncipe deBIucher , con su estado mayor, llego el 19 de es te mes á Aquisgran, donde ha establecido su cuartel general. El general pru siano Gneisenau, gefedel estado mayor general del egército, ha establecido ei suyo en Coblentza. FRANCIA. Nimes 15 de Noviembre. El…</t>
  </si>
  <si>
    <t>Pro, Juan Manuel</t>
  </si>
  <si>
    <t>Juan Manuel Pro</t>
  </si>
  <si>
    <t>…s, D. Ramtm Puch , D. Josef Velada, D. Norberto González, D. Francisco Fornier, Don Josef María Taeggí, D. Mateo Villa, D. Rafael Martínez , D. Juan Padilla,5 I). Agustín Solera v D. Juan Manuel Pro i D: Nieblas LlondeÜá i ’D. ¡Juan: PeA: rez , D; Ca"rlos ÍMariri ,f D. 'Aquiíinb Otolá ,(D&gt;í Josef Sálas-, ©. Antonio Bolu* fer, D. Cipriano Castro ; D. Josef Tovar y D. Josef González , Di Josef de : los Reyes y D. Joséf Sálazar, D. Pedro Briones, D. Félix C…</t>
  </si>
  <si>
    <t>Prosperó</t>
  </si>
  <si>
    <t>…n 8.** á i 2 rs. en pasta. — Diclionarium theologícum portadle, primum Gallice edictum, dein ItálLe versum ac plurtmis adnotationibus, novisque articulis locupletatum. A P. Abbate D. Prosperó ad Aguila.&amp;c. ; 3 tomos en 8.° mayor á 40 rs. en pasta; Sé hallarán en la librería de Martin, cálle dé ia Cruz, y en su almacén, calle ancha dé Majaderitosynúm. 6 y 7. Éñ el mismo almacense halla una colección completa de mercurios. : Nota. -En la gaceta del…</t>
  </si>
  <si>
    <t>Protector</t>
  </si>
  <si>
    <t>…ultativos de los mismos canales imperial y real de Tanste , que tantas pruebas tienen dadas de su habilidad y conocimientos en estos ramos; en cargando al mismo tiempo al referido Sr. Protector la formación de un re^ -glamento claro y sencillo, que abrace tanto la parte facultativa como la económica y administrativa, para que enterado de él S. M, pueda autori-aarlo con su Real aprobación. Para el segundo remáte de los frutos y rentas de la encomiend…</t>
  </si>
  <si>
    <t>Provecho, Fidel</t>
  </si>
  <si>
    <t>Fidel Provecho</t>
  </si>
  <si>
    <t>4^4 nio Perez, D. Fidel Provecho, D. Francisco Masías, D. Antonio Fernan dez, D. Valentín Roxo, D* Carlos Osorio y D. Josef Laso de la Vega, del de Voluntarios de León; D. Pedro Valcárcel, D. Manuel González Campillo, D. Juan Villapaderna, D. Juan Manuel Mancebo, D. Francis co Diez Sopeña, D…</t>
  </si>
  <si>
    <t>Provedo, Josef</t>
  </si>
  <si>
    <t>Josef Provedo</t>
  </si>
  <si>
    <t>…o y D. Josef Laso de la Vega, del de Voluntarios de León; D. Pedro Valcárcel, D. Manuel González Campillo, D. Juan Villapaderna, D. Juan Manuel Mancebo, D. Francis co Diez Sopeña, D. Josef Provedo, del de Voluntarios del Ribero; Don Gerónimo Roxo, del de Cazadores del Rey; D. Cesar Tournel, d¿l Real Cuerpo de Artillería , y D. Gerónimo Alvarez , del de Húsares extinguidos de León: de Teniente á D. Felipe Castro, D. Ramón Cespon, D. Jacinto Arteaga y D.…</t>
  </si>
  <si>
    <t>Provedo, Raymundo</t>
  </si>
  <si>
    <t>Raymundo Provedo</t>
  </si>
  <si>
    <t>…, D. Francisco Masías, D. Pedro Rodríguez, D. Manuel Diez, D. Miguel María Robles, D. Pedro Maratino, D. Francisco Antonio Pe rez y D. Manuel Martínez, del de Voluntarios de León; D. Raymundo Provedo, D. Cipriano Alvarez, D. Mariano López y D. Andrés Garrido, del de Voluntarios del Ribero: de Subteniente á D. Pedro Losada, D. Jo sef Novales, D. Josef Ulloa, D. Nicolás Quiñones, D. Andrés Blanco, D. Juan Valcárcel, D. Roque Suarez, D. Jacobo Gil, D. Fernan…</t>
  </si>
  <si>
    <t>Prudencia, María</t>
  </si>
  <si>
    <t>María Prudencia</t>
  </si>
  <si>
    <t>distinguidos mérito? y servicios de D. Prudencio María de Verástegui, ve cino de la ciudad de v itoria, ha venido S. M. en concederle á sus dos hi jas Doña María Prudencia y Doña Margarita dé Verástegui el patronato que se halla vacante en el lugar de Goyaz, provincia de Guipúzcoa» por fallecimiento dé Doña'María deJa Concepción de Lili. El Rey nuestro Señor se ha servido promover á brigadier de sus exércltos á D. Joséf Lasala, exento del Real…</t>
  </si>
  <si>
    <t>Prudencio</t>
  </si>
  <si>
    <t>…cisco Sanz Escolar, escribanos propietario y teniente del ¡lustre ayuntamiento, y los señores D. Josef María Roxas, coronel del regimiento de caballería húsares de Ex tremadura, y D. Prudencio,Fernandez de la Pelilla, alcalde mayor, con vidados atan augusto acto , se tomó el pendón Real, y salió formada la ciu dad; con sus maceros , yendo delante según costumbre antigua los. escribanos del número, y se celebró la proclamación con np menos pompa y b…</t>
  </si>
  <si>
    <t>Prusia, Federico de</t>
  </si>
  <si>
    <t>Federico de Prusia</t>
  </si>
  <si>
    <t>…de las posesiones que se hallan en el condado de Bentheím y el principado de Osnabruck, que forman parte del territorio de aquellos estados. PRUSIA. Berlín 2 de Marzo, S. A. R. el príncipe Federico de Prusia ha salido de aquí para Strelitz, y el teniente general Thumen para Francfort del Oder. El regimiento de coraceros de Silesia, de que es coronel Mr. de Brisen, ha entrado de guarnición en esta capital. Idem 4. El célebre príncipe de B’ucher lia marchado de Fra…</t>
  </si>
  <si>
    <t>Puch, Ramtm</t>
  </si>
  <si>
    <t>Ramtm Puch</t>
  </si>
  <si>
    <t>73^* . ... . D. Antonio Gómez,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t>
  </si>
  <si>
    <t>Puen, JosefSalomé García</t>
  </si>
  <si>
    <t>JosefSalomé García Puen</t>
  </si>
  <si>
    <t>*5 lealtad y patriotismo énla última guerra el Dr. D. JosefSalomé García Puen te, canónigo de la iglesia colegial de Talavera de lá Rey na, se ha dignado el Rey concederle los honores de oidor de la chancUlerta de Vailadolid. Y últimamente ha concedido S. M. al brigadier de los Reales exércitos D. Manuel de Villanueva merced de título…</t>
  </si>
  <si>
    <t>Puente, Josef</t>
  </si>
  <si>
    <t>Josef Puente</t>
  </si>
  <si>
    <t>…n del mando del capitán Mendoza, á cuya frente cargué personal mente, se distinguieron particularmente su comandante, el porta D. Josef Eusebio Leija, teniente D. Nicolás Zarzosa, sargento Josef Puente, cabos Alejandro Soto, Juan JosefMeave, Encarnación Martínez y Francisco Paez* el soldado Josef María Zapata, y el padre capellán Fr. Manuel Cabrera, y sobre todos el citado cabo Martínez. De los demas cuerpos me remito á los partes orignales que á V. E. incl…</t>
  </si>
  <si>
    <t>Puente, Juan</t>
  </si>
  <si>
    <t>Juan Puente</t>
  </si>
  <si>
    <t>…sef Villaverde, del Provincial de Santiago; D. Andrés González, D. Josef Valcárcel, D. Ber nardo Amado, D. Manuel Martínez y D. Francisco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Francisco Sillero, D…</t>
  </si>
  <si>
    <t>Puente, Mauricio García</t>
  </si>
  <si>
    <t>Mauricio García Puente</t>
  </si>
  <si>
    <t>…ente D; Bartolomé López ,á D. Diego Martines de Zafra : para otro beneficio servidero de la iglesia parroquial de S. Ildefonso de Jaén ¿vacante por mberte de D. Estéban Barreda, i D. Mauricio García Puente: para otro beneficio de Tortoles, en el arzobispado de Burgos, vacante por muerte de D. Bernardo Moñirio, á D. Jiian Antonio Serrano. r •7 ' ■ ' En atención á los méritos y servicios de D. Josef Vaídés y Velasco, peí nitendario de la pontificia Real iglesia d…</t>
  </si>
  <si>
    <t>Puente, Pablo</t>
  </si>
  <si>
    <t>Pablo Puente</t>
  </si>
  <si>
    <t>…Ma riano Alonso y D. Francisco Osorio, del Depósito general de Infantería; P. Alexandro Benisia, de la escuela militar de Santiago; D. Francisco Julia, de Cazadores Extrangeros, y D. Pablo Puente, del Real Cuerpo de Artillería: grado de Capitán á D. Antonio Salazar, D. Antonio Toxo, Don Xavier Pimentel y D. Ramón Osores, del Provincial de Santiago; D. Ber nardo Becerra, del de Betanzos; D. Joaquín López Varela, D. Antonio Guerrero, D. Josef Guerrero,…</t>
  </si>
  <si>
    <t>Puerta, Domingo Henriquez de</t>
  </si>
  <si>
    <t>Domingo Henriquez de Puerta</t>
  </si>
  <si>
    <t>…or muerte de D. Ma nuel Ipola á D. Vicente de la Vega, racionero de la misma iglesia: para dignidad de maestrescuela de la iglesia catedral de Oviedo, vacante por fallecimiento de D. Domingo Henriquez de Puerta, á D. Ramón de Valdes Llanos, dignidad de abad y canónigo de la de Falencia: para una ca nongía de la iglesia catedral de Plaseqciá, vacante por muerte de D. Cris tóbal Hernández y Araujo, á D. Ramón de Pineda, inquisidor jubilado del santo tribunal de Córdob…</t>
  </si>
  <si>
    <t>Puertas, Domingo</t>
  </si>
  <si>
    <t>Domingo Puertas</t>
  </si>
  <si>
    <t>…Cruz de Múdela á Don Antonio Pimentel y Valenzuela: para la de Huecija á D. Andrés Rodríguez Valenzuela: para la de Villalpando á D. Hipólito Gil Hernández: para la de Jorquera á D. Domingo Puertas*, para la de Aillon á D. Josef Puerta Benito: para la del Carpió á D. Ignacio Gil de Sagredo: para la de Potes á D. Joaquín González Ramírez: para la de S. Esteban á D. Domingo Fer nandez : para la de Soto-Palacios á D. Juan González Bravo: para Gober nador J…</t>
  </si>
  <si>
    <t>Puga, Henrique</t>
  </si>
  <si>
    <t>Henrique Puga</t>
  </si>
  <si>
    <t>…stín Vicente y D. Ramón de Alcalá, auxiliares dei mismo Cuerpo; D. Josef de Canga, agregado al de Zapadores; D. Josef Bena, 0. Manuel Hueso, D. Fránciscp-Yarto, D. Mariano Rosas,. D. Henrique Puga, y D. Carlos ViHarejo, del Regimiento de Mallorca; D. Ignacio Llánderas , D. Miguel Moretid, D. Gregorio del Pozo, D. Fabian de Lastra, 0. Ricardo Rey roso, Don Víctor Cabeza de Vaca, D. Casimiro Salcedo, y D. Miguel González, del de Voluntarios de Avila; D.…</t>
  </si>
  <si>
    <t>Püi, Juan Francisco</t>
  </si>
  <si>
    <t>Juan Francisco Püi</t>
  </si>
  <si>
    <t>…brigadieres á los capitanes de navio D. Pedro Ruiz Mateos» D.Joaquin de ■la-Croixy'D. Joalquin Mozo, D. Tomas, Herrera y Cruzar» D.Francisco Vizcarrondo, D-Joaquiñ !de Castañeda» D. Juan Francisco Püi¿t D. Ramon Hcrrera yíCfüzat, D. Francisco Millau, D. Vicente Fran cisco1 de ¡Voz , Martin Francisco Triarte, D. Josef Sartorio, D. Diego Bu trón, D. Francisco Ciscar, D. Josef Mollinedo, D. Fermín Esterripa y D. Francisco de Paula Osorio. -Ascenso á capitanes…</t>
  </si>
  <si>
    <t>Pui, Pascual Félix</t>
  </si>
  <si>
    <t>Pascual Félix Pui</t>
  </si>
  <si>
    <t>…osef Ruiz Manzano: para la de Huelva á D. Pedro Josef Moyano y Díaz :{ pára la de Valíadolid á D. Fé lix Gallego: para la de Tarifa á~D. Manuel González Pintp: para la de Moguer á D. Pascual Félix Pui; y para la de Ífernan-Nufiez i D. Julián An drés García. Para el corregimiento de Madrigal á D. Francisco Moreno: pa ra el de Ciudad-Real á D. Fermín Diez: pará el de Benavides de Ortigo á D. Anselmo Diez Canseco: para el de Chinchón á D. Tadeo Capablanca. Jf…</t>
  </si>
  <si>
    <t>Puig, Antonio Nicolau y</t>
  </si>
  <si>
    <t>Antonio Nicolau y Puig</t>
  </si>
  <si>
    <t>…ion de D. Mignel l.opez- qué la obtenía á otra de lá dé Plasencia ár D. ‘Manuel rMifándlíí para él benefrf| cip sacristía de Viljamor de los 'Escuderos, en élobispádóde 2amora , 4 D. Antonio Nicolau y Puig: para otro benefició ’ simple servidero titulado de Santiago del Teso, en la parroquia de Navianos de Valverde^dí^jcelis de Astorga, vacante por muerte de .£). Bartolomé Ramón de Cea, áDoq Domingo Arias; y para el beneficio de unepia-ración de las parroquias…</t>
  </si>
  <si>
    <t>Pujante, Josef</t>
  </si>
  <si>
    <t>Josef Pujante</t>
  </si>
  <si>
    <t>…l que obtiene en el Real convento de la Encarna ción, conservándole los honores y prerogativas de esta plaza. = La canongía vacante en la catedral de Orihuela por fallecimiento de D. Josef Pujante á D. Josef Vivas de Aragón , canónigo de la catedral de Astorgá. =La canon gía de la catedral de Astorga, que resulta vacante por promoción de D. Jo sef Vivas de Aragón á otra de la de Orihuela, á O. Manuel Carro, diácono, subteniente del regimiento infanterí…</t>
  </si>
  <si>
    <t>Pulgar, Luis</t>
  </si>
  <si>
    <t>Luis Pulgar</t>
  </si>
  <si>
    <t>…de comerció y.discípulo de su escúela de las nobles artes: un pliego de marca inayor. ^ haÍJ^rá en lá librería de CampóV calle dé Alcalá, y eh\Cádiz en el'almácen dé’esitampas áe D. Luis Pulgar, oalfé Ancha, á ia rs. w - í -* Colección de nuestro amado la justicia&gt;. y América; retratos de JoalScrmos. Sres.; Infíntfcss D¿ Carlos y D» Antón'io cóh stísr gerogiíficós de generalísimos dé mar y tierra; retrato del ExcmooSfrÜj). Miguel-dé i^ardizabaí, min…</t>
  </si>
  <si>
    <t>Pumaechaua, Mateo García</t>
  </si>
  <si>
    <t>Mateo García Pumaechaua</t>
  </si>
  <si>
    <t>…^ tinüando la tropa de S. M. sus marchas á la capital de la provincia, entró en ella sin oposición el 21 del mismo. Los orincipales cabezas de la insurrección, él iniquo é ingrato brigadier Mateo García Pumaechaua , los hermanos Josei, Vicente y Mariano‘Angulo ,' Josef Vejar y algunos otros han sido entregados ál general Ramírez por los mismos indios, á. quienes habían seducido , de los cuales los unos han pagado , y los otros pagarán en un patíbulo su enorme delito, s…</t>
  </si>
  <si>
    <t>Puyó, Miguel</t>
  </si>
  <si>
    <t>Miguel Puyó</t>
  </si>
  <si>
    <t>…señores del Real y supremo consejo de Castilla en su¡ sala de Mil y Quinientas-de 18 del pasado se ha mandado citar, llamar y. emplazar por medio de la gaceta y diaria de Madrid á D. Miguel Puyó , dueño que era en.el añode 1808 de la, tahona; de las Descalzas Reales de esta corte, ó á sus herederos ó Apoderados, para que en el término de 30 días perentorios, contados desde la pu blicación de. este, aviso,, comparezcan- á. usar de. su. derecho ca el:…</t>
  </si>
  <si>
    <t>Qhequier</t>
  </si>
  <si>
    <t>…sobre el enemigo, y le siguieron has-* t$ Itri, en donde se refugió en desórden, dejando en el campo tres oficiales y 70 hombres heridos, y cerca de 200 prisioneros. „E1 teniente,coronel Qhequier al dar cuenta de este suceso , en el cual las tropas tosca ñas han peleado valerosamente, hace, particular mención del ma yorPalagi y, del teniente de los dragones reales Pedro Baldlni. ( , „IIañ ocupado las tropas austro-toscanas á Piedimonte, Tino, Pontécor…</t>
  </si>
  <si>
    <t>QJi, Isidro</t>
  </si>
  <si>
    <t>Isidro QJi</t>
  </si>
  <si>
    <t>…ye! Carrasco, D. Tomas López, D. Miguel Bueno, JX Juliani Lop£z dq Ansó ¿'Di* Antonio Martínez, D. Eleuterio Munida, Don Á^anueí Andrada , !)» Domingo Blanco, D. Lorenzo Martínez, D. Isidro QJi* vares , D. Tomas Zamora, L&gt;. Benito Reehel, D. Gaspar Nogueruela, Don Luis Medinilla , D. Pedro Medinilia, D, Joaquín García., D. Gregorio Arta-r cho, D. Josef Aguilar, D. Antonio Quadra, D. Felipe Doria, D. Vicente Ruiz)jD. ^Ramón-Quinan^ &amp; Geróriimq»dé G.é…</t>
  </si>
  <si>
    <t>Qnadrado, Francisco</t>
  </si>
  <si>
    <t>Francisco Qnadrado</t>
  </si>
  <si>
    <t>I&gt;. Miguel Pavat, y D. Francisco Qnadrado , dei segando Batallón de ídem; D. Braulio Crespo, D. Juan Zaragoza, D. Josef González, D. Pedro Iribarren, D. Joaquín Rodríguez, y JX Francisco Manso, del tercer Batallo.n de ídem; D. Francisco Picado, Ayudante de U plaza dé. Ciudad-?Ro drigo, y D. Josef Bor…</t>
  </si>
  <si>
    <t>Qríjla, Mateo</t>
  </si>
  <si>
    <t>Mateo Qríjla</t>
  </si>
  <si>
    <t>…do-sacrificarlo todo en el ara de la fidelidad, se ha servido acordar el restabJedmienroíLaboratorio quít mico de la corte, destruido por el enemigo, y¡ha nombrado:para profesor á D. Mateo Qríjla, que estaba pensionado en París por la junta de comercio de Barcelona, y que dedicado á la química había adquirido la. aceptación de los sabios* - • * La obra que ha publicado sobre los venenos ,y la mayor concurrencia de alumnos pensionistas que tenia en su…</t>
  </si>
  <si>
    <t>Qstolaza, Blas</t>
  </si>
  <si>
    <t>Blas Qstolaza</t>
  </si>
  <si>
    <t>…a del Sermo. Sr. Infante D. Cárlos , con motivo de una misa Jsolqmne que los oficíales de su secretaría costearon en accionde^ gracias por el,re greso df S. Jyf« y AA,: por el Dr. D. Blas Qstolaza, confesor' bqnoráriq del Rsy, y deán de la’santa iglesia de Cartagena. Sc hallará en las librerías dé Matute . cálle de las.Garrctas; de Brun, frente i las gradas de S. Felipe; de VillaV plazuela &lt;üte ^íoi Domingó, y.: cié Novillo, cálle dé la Goncepcion Geró…</t>
  </si>
  <si>
    <t>Quadra, Antonio</t>
  </si>
  <si>
    <t>Antonio Quadra</t>
  </si>
  <si>
    <t>…sidro QJi* vares , D. Tomas Zamora, L&gt;. Benito Reehel, D. Gaspar Nogueruela, Don Luis Medinilla , D. Pedro Medinilia, D, Joaquín García., D. Gregorio Arta-r cho, D. Josef Aguilar, D. Antonio Quadra, D. Felipe Doria, D. Vicente Ruiz)jD. ^Ramón-Quinan^ &amp; Geróriimq»dé G.éus, IX Josef Carrasco , Don josef Rae^a f ,D. Miguel Sánchez,,¡ D. Litis Vidarte, D. Tiburcio Martínez, IX Rufino; Andinql IX Antonio la Rosa i D. Pedro Albo, D. Nicolás Giezar, DvJuanVice…</t>
  </si>
  <si>
    <t>Quadrado, Joaquín</t>
  </si>
  <si>
    <t>Joaquín Quadrado</t>
  </si>
  <si>
    <t>…via; á D. Santiago Muriedas, D, Isi doro Moreno, D. Antonio Gallego, D. Juan Calderón, y Di Juan Sierra, del primer Barallon de Voluntarios de Ciudad-Rodrigo; á D. Manuel Ri bero, D. Joaquín Quadrado, D. Francisco Escovar, D. Salvador S. Juan, y D. Josef Renau, del segundo Batallón de idem;á D. Joaquín Rodríguez, 0. Vicente González , D. Fabian de Saave4xa, D. Casimiro Vinuesa, y D. Santiago Gómez, del tercer Batallón de ídem; á D. Francisco Topete y D. J…</t>
  </si>
  <si>
    <t>Quadrado, Manuel Moxó y</t>
  </si>
  <si>
    <t>Manuel Moxó y Quadrado</t>
  </si>
  <si>
    <t>…os Hermosos y extendidos campos de la villa de Cieza, en el reyno de Murcia, su ayuntamiento por medio de sus diputadorios Sres. D. Pasqual Quilez y Talón,' del consejo de S; M.yy D. Manuel Moxó y Quadrado, coronel de exército, espitan de la brigada de Ca raba neros.,, y secretario militar del Sermó. Sf. Infante Dí Garios; habiendo pro*» &gt; nu nejado el primero el discurso siguiente: **'• : ' í - ^ &lt; ,,Señor^ la prodigiosa, restitución- de V. M. al trono&gt; august…</t>
  </si>
  <si>
    <t>Quadrado, Ramón Martínez</t>
  </si>
  <si>
    <t>Ramón Martínez Quadrado</t>
  </si>
  <si>
    <t>…ná escribanía del nú mero y ayuntamiento, sirviéndose este por anos con otro escribano, y vale 39 rs., él año que le toca pagados de los propios. Se podrá tratar en esta córte con Don Ramón Martínez Quadrado, que vive calle de la Cruz, núm. 4, quarto principal, y en Valleeas con D. Gregorio Mariano García, sus dueños, quienes informarán de las demas circunstancias. José María Maza, natural de la ciudad de S. Fernando, y domiciliado en Cá diz, hijo de IX Domingo y…</t>
  </si>
  <si>
    <t>Quadrillero, Miguel Estanislao</t>
  </si>
  <si>
    <t>Miguel Estanislao Quadrillero</t>
  </si>
  <si>
    <t>…e Don Juan Gutiérrez, á D. Josef Antonio Borrego Sotomayor, cura párroco de Truxillanos: para otro beneficio servidero de Santa María del Valle de Man tilla, vacante por muerte de D. Miguel Estanislao Quadrillero, en la dió cesis de León, á. D. León Sierra: para otros dos beneficios servideros de las iglesias parroquiales de San Sebastian y Santiago de la villa de Cuellar, dió cesis de Segovia, vacantes por muerte de D. Francisco Gómez Samaniego, ? Celestino de Figuer…</t>
  </si>
  <si>
    <t>Quenedí, Josef</t>
  </si>
  <si>
    <t>Josef Quenedí</t>
  </si>
  <si>
    <t>…e Subtenientes á los Sargentos Ó. Francisco Ca lleja, JD. Isidro Cifuentes, y D. Manuel Lozano., det Real Cuerpo"de Arti llería; y á D. Angel Martin , E&gt;. Cayetano del Cás.tiliío, D. Josef Quenedí, D. Basilio Moran, D. Agustín Santero, y D. Josef Mediero, del Regimien to de Voluntarios de Avila; y asimismo se ha dignado S. M. conceder una Cruz pendiente del ojal de la casaeq con una cinta morada, la qual tendrá grabado en el círculo de su cara principa…</t>
  </si>
  <si>
    <t>Quesada, Manuel</t>
  </si>
  <si>
    <t>Manuel Quesada</t>
  </si>
  <si>
    <t>…o Ebro hasta la provincia de Cuenca» El Rey nuestro Señor se ha dignado aceptar la oferta de un crédito de 26272 rs. y 16 mrs. vn. de suministros hechos á los exércitos por el Dr. Don Manuel Quesada, presbítero de la iglesia parroquial de la villa de Crcv¡líen te, en el reyno de Valencia, mandando que en su Real nombre se le den las gracias, y se publique en la gaceta el patriotismo y noble desprendimien to de este digno eclesiástico. Por auto que ha pro…</t>
  </si>
  <si>
    <t>Quevedo, Josef</t>
  </si>
  <si>
    <t>Josef Quevedo</t>
  </si>
  <si>
    <t>…Valentín Huidóbro. = Joaquín"Manuel Cobo.=Manuel Agustín de la Tor re. 7 El conde de Villar de Fuente. =1 Juan Bautista de la Llave.” 1 f ARTICULO DE OFICIO. J El gefe de escuadra D. Josef Quevedo, comandante de marina de Veracruz, con fecha de 9.efe Setiembre último participa al Sr. Secretario de Esta do y del Despacho universal de este ramo lo siguiente: •... „Gon^noticias,repetidas^ de que sobre estas costas cruzaban corsarios ve nidos] de O rleans,…</t>
  </si>
  <si>
    <t>Quevedo, Josef Fernandez</t>
  </si>
  <si>
    <t>Josef Fernandez Quevedo</t>
  </si>
  <si>
    <t>…Viaña. El Rey se ha servido nombrar para el corregimiento de letras de la ciu dad de Borja á D. Pedro Martínez de Baños: para las dos alcaldías mayo res de ia ciud¿d de Valencia á D. Josef Fernandez Quevedo y D. Ignacio Guseme: para la de la ciudad de S. Felipe de Xátiva á D. Josef Muñoz de la Hinojosa : para la de la villa de Callera á D. Fermín Sánchez y Ferriz: Íaraabernasla dedela Valdignavilla de Alciraá D. Antonioá D. BlasMateo.Ar¿guete; y para la de la villa de Artículo de o…</t>
  </si>
  <si>
    <t>…á D. Josef Martínez Areta, Al calde del crimen mas antiguo de ella, y para esta resulta á D. Fernando Pinuaga: ha concedido los honores de ministro de la chanciliería de Granada á D. Josef Fernandez Quevedo, y los de Alcaide de la Cuadra de la audien cia de Sevilla á D. Antonio García de Veas, Teniente coronel y Auditor ge neral del egército de la izquierda. Asimismo atendiendo á la avanzada edad y achaques de D. Francisco Gutierre^ Garavantes, Alcalde del crime…</t>
  </si>
  <si>
    <t>Quevedo, Manuel de</t>
  </si>
  <si>
    <t>Manuel de Quevedo</t>
  </si>
  <si>
    <t>…eón de Madrazb , montero de cámara de S. M.; regidores perpetuos D. Jacinto. Cilleruelo , D. Josef Rodrí guez Cermeño, D. Juan? Alonso de Prado, y D. Pío Rníz; diputados del común D. Manuel de Quevedo y D. Manuel Ignacio López; procuradores síndicos generales; El. Vicente de Mariscal y £&gt;.. Francisco Sanz Escolar, escribanos propietario y teniente del ¡lustre ayuntamiento, y los señores D. Josef María Roxas, coronel del regimiento de caballería húsares de Ex tremadura, y D. Prudenc…</t>
  </si>
  <si>
    <t>Quíjano, Antonia Gonza'ez de</t>
  </si>
  <si>
    <t>Antonia Gonza'ez de Quíjano</t>
  </si>
  <si>
    <t>…lo es í). Gerónimo Perez de la.Concha, vecino de la villa de Villacastin en la provincia de Segovia, y de los demas interesados á .los bienes que quedaron por e! fallecimiento de Doña Antonia Gonza'ez de Quíjano, vecina que fue dedicha villa, se vende una casa con su bodega , lagar, ocho cubas, un palomar y uná cerca; 120 obradas jr 200 estadales de tierra de labor; 60 aranzadas y media de viñas, y úna huerta de-hortaliza; y frutales de una obrada , to do consistente…</t>
  </si>
  <si>
    <t>Quijano, Juan Pió</t>
  </si>
  <si>
    <t>Juan Pió Quijano</t>
  </si>
  <si>
    <t>…iudad-Rodrigo: al de Teniente Coro nel á D. Benito Sandoval y D. Pablo Pairot, Capitanes del Real Cuerpo de Artillería, D. Fernando Mateos, D. Fernando Valdés, D. Juan Solda do, y D. Juan Pió Quijano, Sargento mayor y Capitanes del Regimiento Provincial de Segovia; á 0. Fernando Alcocer, D. Josef Gines de Zamora, 0. Joaquín. Esoatolero, y D. Rafael Pizarro , Capitanes del Regimiento de Mallorca; á D. Ildefonso Prieta, D. Angel Castellanos, D. Manuel de Ro…</t>
  </si>
  <si>
    <t>Quijote</t>
  </si>
  <si>
    <t>…con que de ordinario se han estudiado hasta ¡el presente. Véndese á 4 rs. en las librerías de Perez, Ranz, Minutría é Higuera , y en las mismaé se hallarán el Napoleón ó verdadero D. Quijote de la. Europa y lá Historia razonada de los principales sucesos de la gloriosa revoluciónvde España singularmente de los ocurridos en Madrid hasta la entrada-dél Sr. D. Fbrnando vif. r-tv ¡i*. EN LA IMPRENTA REAL.</t>
  </si>
  <si>
    <t>Quimont</t>
  </si>
  <si>
    <t>S&amp;fr’ ~'í ... La. poilclon que ocupan los egéjrcitos aliados según los .partes que diaria mente *c reciben aquí es la siguiente: : J El conde Bubna ha pasado Mons-Cenis; el general Quimont ha entrado en (pi4ebrá y en]Xión; S. A. R. el‘archiduque Fernando ha entrado én Ve^ souT y Langres ; los cuerpos que mandan el Príncipe de Hohenzollerñ y «f conde Gerónimo Colloredo han pasado el Rhin en Basilea, y han entrado en la Alsacia; el. Príncipe-Real…</t>
  </si>
  <si>
    <t>Quiñones, Carlos</t>
  </si>
  <si>
    <t>Carlos Quiñones</t>
  </si>
  <si>
    <t>…te: hono res de Médico consultor á D. Enoch Herrero; y permite S. M. el uso de la referida Cruz concedida á la guarnición al padre ó pariente mas inmediato de D. Valentín Santogo, D. Carlos Quiñones, D. Manuel Avecilla, Pedro Villa, Cayetano Sancho, Miguel de Bcrdallo, Domingo Martínez, Jacinto Raposa, Juan Baluña, Antonio López, Simón Fernandez, Tomas de Veyga, Francisco Fraunte, Domingo Fernandez y Tiburcio Alvarez, indivi duos de la misma guarnición,…</t>
  </si>
  <si>
    <t>Quiñones, Lucas</t>
  </si>
  <si>
    <t>Lucas Quiñones</t>
  </si>
  <si>
    <t>…ios guardé á V. mochos años. Madrid 17 de Abril de 1815. El Rey se ha servido nombrar para el deanato primera silla de la igle-, sia catedral.de León, vacante por fallecimiento de D. Lucas Quiñones, á D. Juan González Villar, canónigo lectoral de la misma catedral: para el[ de la iglesia metropolitana de Granada, vacante por muerte de D. Miguel Craoyvinguel, á D. Josef Alonso Montoya, deán de la iglesia catedral de Almería: para el de la de Lugo , vacan…</t>
  </si>
  <si>
    <t>Quiñones, Manuel</t>
  </si>
  <si>
    <t>Manuel Quiñones</t>
  </si>
  <si>
    <t>…. Juan López, Don Pedro Santistéban y D. Josef Novoa, del de Lugo; D. Luis Blanco, Don Pedro Iglesias, D. Pedro Ruiz Peña, D. Pedro Rodríguez, D. Isidro del Rio, D. Antonio Arias, D. Manuel Quiñones, D. Carlos Mota, D. Auto-</t>
  </si>
  <si>
    <t>Quiñones, Nicolás</t>
  </si>
  <si>
    <t>Nicolás Quiñones</t>
  </si>
  <si>
    <t>…D. Raymundo Provedo, D. Cipriano Alvarez, D. Mariano López y D. Andrés Garrido,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t>
  </si>
  <si>
    <t>Quintana, Bernardo</t>
  </si>
  <si>
    <t>Bernardo Quintana</t>
  </si>
  <si>
    <t>…io González, guarda, almacenes ordinarios: para estos honores á D. Josef Basavey D. Santos Aparicio, guarda almacenes estraor dtnarlos v y -para estos 4 ^os escribientes de numero D. Bernardo Quintana, D. Josef Ladrón de GuevarayiX Juan Gauche y D. Juan Maury ; y por úl timo se ha servido promover á¿omisarios éfectivos de guerra á-D. Cártos Gó mez de Soanorostrp y á D. ‘Alejandró "Vicente de Ezpeieta, comisarios de ‘artillería honorarios ae giiérra. J , v…</t>
  </si>
  <si>
    <t>Quintana, Juan</t>
  </si>
  <si>
    <t>Juan Quintana</t>
  </si>
  <si>
    <t>…Manuel de Loya, Don osef Vicente de Barrenechea, D. Simón de León Santos, D. Josef Escarano, Í). Francisco Hurtado de Mendoza , D. Pablo Ibañez , D. Juan Josef de Barciterrechea, D. Juan Quintana, el general Roche y D; Josef Pando. a Por la Mayordomía, mayor. ; j , i Llaves de gentileshombres de cámara con exercicio' al marques de Malpica,' al duque de San Fernando , al conde de Santa Colonia, al marquéis de Alcañices, al marques del Aguila y al conde…</t>
  </si>
  <si>
    <t>Quintana, Ramón de</t>
  </si>
  <si>
    <t>Ramón de Quintana</t>
  </si>
  <si>
    <t>…id en el año de 1808 para la ciudad de Avila, de donde se ausentó, y no se ha sabido mas de él. Qualesquiera persona que tenga noticia de su paradero se le estimará lo participe á D. Ramón de Quintana, agente de negocios en Madrid, escribiéndole á él mismo. Modo práctico y fácil de hacer una confesión general , asi para alivió de los confesores como de los penitentes en examinarse y hacerla, con oraciones muy de votas para antes y después de la confesión y…</t>
  </si>
  <si>
    <t>Quintano, Joaquín</t>
  </si>
  <si>
    <t>Joaquín Quintano</t>
  </si>
  <si>
    <t>…intano y Sta. María, caballero que fue del orden de Caútrava, acuda en Madrid á D. Pedro Antonio de CueMár, que vive calle de Leganitos, núm. 1 2 , cuarto principal, y en Búrgos á D. Joaquín Quintano, quienes informarán de sus cualidades y precio. Cualquiera persona que tenga algún crédito activo ó pasivo con la testamentaría del difunto D. Felipe Díaz de Ortega, regidor que fue de la ciudad de Búrgos, teniente coronel de su regimiento de milicias, caball…</t>
  </si>
  <si>
    <t>Quintariilla, Pedro</t>
  </si>
  <si>
    <t>Pedro Quintariilla</t>
  </si>
  <si>
    <t>…do aiCuérpode Artillería , y D.* Francisco Xavier Mendiri, Tenijéñ te; Coroneh del Rbgimiento Provincial de Segqvia: al grado de Coronela D* jibias Verdejot, Ingeniero del detall, D. Pedro Quintariilla, - Comandante del tercer Batallón de Ciudad-Rodrigo, D. Antonio Teran,</t>
  </si>
  <si>
    <t>Quintero, Josef</t>
  </si>
  <si>
    <t>Josef Quintero</t>
  </si>
  <si>
    <t>…niña 40. Un sugeto que no quiere ser nombrado 1®. Otro ídem 6®. La Sra. marquesa de Fuerte* Hijar 400. D. Josef Píngallo 600. La testamentaría de D. Francisco Muñoz y Martínez 3®. D. Josef Quintero 150 cucharas de madera. D. Josef Olorrian 150 cazuelas de madera. El dueño de la fonda de Malta 3320 rs.vn. Una ersona que ha ocultado su nombre 718 varas de lienzo para sábanas. La xcma. Sra. condesa deBenavente 6® rs. vn. Un bienhechor 1180 La Excma.S Sra.…</t>
  </si>
  <si>
    <t>…sto nombre porpor el ministerio de x Ik Gttíerta: ,&lt;j Caballería^ de línea y ligera. Cf Grados de tenientes á los alféreces D. Pedro Cataneó y Negro, D. Ig nacio Tejeiro y Lastra, D. Josef Quintero, D. Josef Garcés, D. Antonio Ferri, D. Manuel Moreno, D&gt; Josef Funes, D. Ignacio Iturrigaray, D. Fran cisco Martos,: D. Francisco G^rces, ,D. Gonzalo Lobo , D. Josef Araujo, p. Josef Rovirat, D. Antonio Sierra , D, Josef María Lauquer, D. Josef Dá^ viía, ,D&lt;A…</t>
  </si>
  <si>
    <t>Quintero, Josef Perez</t>
  </si>
  <si>
    <t>Josef Perez Quintero</t>
  </si>
  <si>
    <t>…Josef Montenegro , D. Ventura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Josef Gerau de Arellano , E&gt;; Juan López Fraga , p. Manuel de Lardizabal y Montoya , Ba rón de Castieí, D. Santiago Usoz y Mozzi, D. Blas…</t>
  </si>
  <si>
    <t>Qüirante, Juan</t>
  </si>
  <si>
    <t>Juan Qüirante</t>
  </si>
  <si>
    <t>…Cervera, D. Salvador Ce bollino, D. Ventura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 Josef Valcárcel 'yRosique, D. Josef Gómez Arteche , D. Joséf Gutiérrez, D. Josef B en i tez Cafrípou ,D. Segu…</t>
  </si>
  <si>
    <t>Quiroga, Francisco</t>
  </si>
  <si>
    <t>Francisco Quiroga</t>
  </si>
  <si>
    <t>…uel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t>
  </si>
  <si>
    <t>Quiroga, Francisco Garza y</t>
  </si>
  <si>
    <t>Francisco Garza y Quiroga</t>
  </si>
  <si>
    <t>…rección y gobierno de los estados secuestrados por muerte de la última Sra. duquesa de Alba, se ha servido nombrar para las judicaturas vacantes en el condado de Monterey, al Lie. D. Francisco Garza y Quiroga para la de la villa de Ginzo de Limia ; para la del partido del Ríos al Lie. D. Jósef Ma ría Lebrou; para la del partido de la Uiloa al Lie. D. Pedro Arias; para la del partiidó de Raeriz dé Veiga á D. Diego Suarez de Ribera ; para la del Í&gt;artido dé Abeancós…</t>
  </si>
  <si>
    <t>QüitíMdó, Gelasió Orive y</t>
  </si>
  <si>
    <t>Gelasió Orive y QüitíMdó</t>
  </si>
  <si>
    <t>…Viliacoba y jurisdicción dé la villa de bfóya &gt; en el arzobispado de Santiago» a D.üJósefi Luis Guérrary^Millares: paira óir&amp; beheficiÓ^simplé de CalzadiHwpívácanie po* iüuerté dé D. Gelasió Orive y QüitíMdó i para el de U</t>
  </si>
  <si>
    <t>Quizóte</t>
  </si>
  <si>
    <t>…revisado, será útil al sencillo pueblo español, á los sabios y. militares, y i las demás clases amantes de nuestra oanfa, Fe , de nuestra patria y legítimo Soberano. Napoleón ó el D. Quizóte de la Europa. Esta obra, que también ha merecido la aceptación del público, escrita por el mismo autor de la historia razonada, pue de ser ahora áúh fnas útil por haberse apoderado aquel tirano otra vez dé la fuerza fermada dé ti Francia, y amenazar de nuevo…</t>
  </si>
  <si>
    <t>Qyiatanilla, Juan Higinio</t>
  </si>
  <si>
    <t>Juan Higinio Qyiatanilla</t>
  </si>
  <si>
    <t>…,y^P. Gil ^ y Pin¿&amp; v * _ Ascenso ¿oficiales terceros á los cuantos D.: Juan de Hazas,rD. Bernar-* dino Fernandez ,D. Joaquín Manuel de Teva, D./ Francisco Cándido de Ote-* jpo , D. Juan Higinio Qyiatanilla, D. Juan Yarda, D. Francisco JavierMartinez, D. Josef M^na Blanco y í). Fulgencio Aicaraz; .: . 1 / Ascenso á oficiales quartos ¿ los quintos D. Josef de Torres Gal vez/ D. Clemente Román y Lobo, D. Antonio de Entrena y Mosquera, D. Jo sef Rodríguez, P. Cleme…</t>
  </si>
  <si>
    <t>R, Cecilio de</t>
  </si>
  <si>
    <t>Cecilio de R</t>
  </si>
  <si>
    <t>…últimamente de csta corte , y se aeñala el término de 30 dfas, dentro de los cuales deberán dicho* acreed ores acudir ante el corregidor de la villa de Villarcayo y escribanía de Don Cecilio de R&lt; gules , en donde penden los autos de su inventario, 4 fin de acredi tar sus derechos; en la inteligencia que pasado este término les parará todo perjuicio. Habiéndose celebrado junta pór los acreedores de D. Tiburéto Al faro 4 la pre sencia del Sr, D. León d…</t>
  </si>
  <si>
    <t>R, F.</t>
  </si>
  <si>
    <t>F. R</t>
  </si>
  <si>
    <t>…Tetados dé lastropas ligeras para servicio exterior, de las líneas: por él gene ral Jangy^jgeCé yldlíéCtor delieójegtQ deicstadó mayor de Lcmdres,,,’j traducido al castellano por D. F. R., coronel vivo de caballería del sexto egército: un tomo en 8t.0^T«itado.elemental de^^grafía. íqatemát^a, apireadla »la topografía y parte militar; dispuesto para la enseñanza de los caballeros cadetes del Real: colegio milir tar interno de. Santiago * yde l^…</t>
  </si>
  <si>
    <t>Ra</t>
  </si>
  <si>
    <t>…itus de la ciudad de Santiago por fallecimiento de DI Bernardo de Castro: para él beneficio mejorado, vacan te en el coro de la&lt; iglesia catedral de Plaséncia por fallecimiento de D. Ra fael Aznar, á t). Juan de la Torre y Carabáño, capellán de numero de ella: para otro beneficio,- vacante en el coro de la misma catedral por falle cimiento de D. Miguel Caballero, á D. Diego Muñoz, capellán del núme ro mas antiguo, y maestro de ceremonias de…</t>
  </si>
  <si>
    <t>…que se halla en aquel vireynato, capitán á D. Josef Valdés; Teniente de granaderos á D. Melchor Duran; idem de ca zadores á D. Ramón Lorente; idem de fusileros á D, Josef Salazar, D. Ra fael Galdia, D. Jo.ef Tucar, D. Juan Mijares, D. Tomas Agudo, Don Francisco Manuel Alvarez, D. Gregorio Baeza, D. Francisco La-Reguera y D. Vicente Aneses ; subtenientes de cazadores á D. Domingo Miranda y D. Juan Manuel Piedra, y subtenientes de fusileros á…</t>
  </si>
  <si>
    <t>…otella,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 Josef Rodríguez, IX Plácido Gúell, D. Joaquín González', IX Juan García-, '0; Ram…</t>
  </si>
  <si>
    <t>1070</t>
  </si>
  <si>
    <t>…doá esta intendencia, que no du da el reintegro* de lo que espera de esas cajas , realizándo las legales medidas tomadas álí efecto, después ae.que combinada esta tropa con la del Sr. Ra mírez, y tomados entre dos fuegos los enemigos ¿ se formen partidas volantes, para que recorriendo los pueblos y castigando la tenacidad de los indios, pueda entablarse ehtributo y- demas ramos. Se presentan varios;en solicitud de indulto, y sí V. E. lo tiene…</t>
  </si>
  <si>
    <t>…ón hácia Punta delgada, les obligó á barar una goleta, que incendió su jnisma tripulación desesperanzada de po derla libertar , con cuyo motivo, dispuso que los alféreces de navio D. Ra món Gil y £&gt;. Josef Maestre pasasen cou tropa y .máfi.ñéM. á apagar el .fuf-^. gp; y np pudiendo conseguir mas que salvar, tripulación ,\ que ¡téj^iqjn prisionera, Saltaron átierra, quemaron tres casas, de sus pirajtexiasj,)va rias embarcaciones menores y alg…</t>
  </si>
  <si>
    <t>Radicar</t>
  </si>
  <si>
    <t>4t8. entre los qualés se contaban Mattel, decano del sacro colegio, OpizZóm,’ ar zobispo de Bolonia, y Galefli; el caballero Radicar i y el caballero Collegno y otros empleados por parte, de S. M. Después de haber descansado algún tiempo se puso á córner S. S. en la mesa que. estaba preparada de orden de S. M., que tiene mandado que los gastos del Padre Santo se hagan por su tesorería Real…</t>
  </si>
  <si>
    <t>Radivoje-</t>
  </si>
  <si>
    <t>…general, ocupaba la garganta de S. Mauricio, con algunos velesanos y be meses que hábia reunido con precipitación. á los cuales las tropas piamontesas se disponían á sostener: el general Radivoje-</t>
  </si>
  <si>
    <t>Radls</t>
  </si>
  <si>
    <t>…l mariscal Barclay de TollL Tercer cuerpo, general en gefe el teniente general Dokloroff._— 7.3 divi sión de infantería, teniente general Kapzeuiteh___ 24.a división id., teniente general Radls__ -27.a división id., el teniente general Berosdin____3.a divi sión, de dragones , mayor general Alereyelf. Este cuerpo compone la derecha, y marcha sobre Francfort y Maguncia. Las .cabezas de estas columnas están llegando en este momento á Cobourg___Gefe del…</t>
  </si>
  <si>
    <t>Rae-, Bernardo</t>
  </si>
  <si>
    <t>Bernardo Rae-</t>
  </si>
  <si>
    <t>…compuesta de jos.Escmos. Sres. ¡marques dé San ta -Griízí¿íde&gt;Marcenado y. D¿ Juan Perez Villamil;, y de los Sres. marque^ de Vista-alegre, .Dvjüáquib Maríade Velaicde ^el l-lmo; Sr. D. Bernardo Rae-} ga J déi Real Consejoiy Cámara ;;y ;él Sr. D. Manuel de Torres Cónsul", del</t>
  </si>
  <si>
    <t>Raessky</t>
  </si>
  <si>
    <t>…umnas están llegando en este momento á Cobourg___Gefe del estado mayor de este, cuer = ¡po el general Pountt. ——. Ciento veinte piezas de cañón; - *-’.r Cuarto cuerpo de exército, general Raessky.— 11.a división de infante ría, mayor general FuilenefF.—. 17.a división .id»., el teniente general Olsoufieff.___3.a división de húsares, teniente general Ezaplitz.»__ Ochenta y quatro cañones.. . i . ■.»; ...• &gt; v; Ouinto cuerno de egército, general Lacketl…</t>
  </si>
  <si>
    <t>Rafael</t>
  </si>
  <si>
    <t>…uestro Señor se ha servido promover a subtenientes delReal Tuerpó de Artillería á los caballeros cadetes D. Filiberto Mahy , D. Migue! Araózq D. Juan A riña da, Di. Manuel Ortega, D. Rafael, Cor réa, D. -P ed ro Ortega:, Di Josef Vázquez, D. Josef Estrada; D. Ramo» Romero, D. Joaquini Edhevarría; Dv Casimiro Cañedo, D. Josef Cebrian ,;D. Salvador Pa nlagua, D. Josef Saenz dé Viniegra, p. Narciso Gómez.Quintana, D. Ca yetano Pimente! ,:yá los ‘ar…</t>
  </si>
  <si>
    <t>…Francisco Ciscar, D. Josef Mollinedo, D. Fermín Esterripa y D. Francisco de Paula Osorio. -Ascenso á capitanes de navio áTos de fragata D. Francisco Man¡on, Don Faustino Gnimii,: D. Rafael• Lobo, D. Pedro Acevedo, D. Juan de Vargas Lana, D. Jacinto Rotnarate,: ¡ DJ Eduardo Briant, D. Ramón Ortiz Otañez, Dv Miguel Palacios Ruiz, D^ Ramón Aguí lar, D. • Josef del:Camino y Cami no, D. Felipe Perez Acevedo, D. Ramón de la Sierra , D. Alejo Gutiérre…</t>
  </si>
  <si>
    <t>…enzo Alambra, D. Pedro Albornoz, D. 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Sayago, D. Jldefonso Nieto, D. Cristóbal Giménez, D. Miguel de Torres, D. R.afael Sánchez Sáravia, D. R…</t>
  </si>
  <si>
    <t>…to en defensa dp la justa causa de la nación, ha cabido en suerte del primer estracto de la.de este dia á Doña María de los Dolores Cevallos Escalera, hija del teniente cor* ronel D. Rafael, muerto en el campo del honor. La estraccion siguiente se egecutari el 21 de Agosto próximo». / ARTICULO DE OFICIO. Circular del ministerio de IIácr:nda* El Rey nuestro Señor, que no puede ver sin, la mas tierna emoción de su</t>
  </si>
  <si>
    <t>Raglowich</t>
  </si>
  <si>
    <t>…os dichos se hallaron también el Príncipe Cárlos de Bavíera; el feld-mariscal Príncipe de Wrede, comandante en gefe del egército báva ro; el teniente general Reckberg; el teniente general Raglowich; el mayor general Deroy; el Príncipe de Loevenstein; el Príncipe Real de Wurtemberg; el Príncipe Federico de Saloma 5 el Príncipe Clemente de Saxoñia; el Príncipe de Saxonia-Cobourg; el Principe Emilio de HeSse , y el Príncipe de Hesse-Philipstadt. La dieta d…</t>
  </si>
  <si>
    <t>Raimundo</t>
  </si>
  <si>
    <t>…o Henriqiiez , D. Francisco Trugillo, D. Joaquín Huerta , D. Francisco de Paula Moreno, D. Mariano Millar, D. Juan Eira, D. Antonio Castaño, D. Josef Ferraz , D. Francisco Arroyo, D. Raimundo * Carbonell , D.'Rafael Amandi,D. Matías Cirer , D. Andrés Ramos, D. Jo sef Ibardó, H; Gabriel Calabaza Casimiro Quesada^D.** Josef Arcos, Don Fermín Moza, DPAnjgel Villa, JL Florentino García., D. Rafael Alcalde, D, Ambrosio Doz, D. Vicente Guisber, D. Maria…</t>
  </si>
  <si>
    <t>…su verdádera felicidad. Madrid 13 de Octubre. ■ ARTI CU LO X&gt;E OFICIO. Por el Ministerio de Guerra se han dirigido d S. M. las solicitudes si-¡ ' guiérites: :' " : ., ,i.a Señor : D. Raimundo , conde de Caldagués , mariscal de campo de los Reales egércitos, á solicitud de varios gefes y oficiales á quienes tuve el ho nor de mandar en los principios de la campaña del, año 1808, con la mayor sumisión á L. R. P. de V. M. hace presente: Que si todos l…</t>
  </si>
  <si>
    <t>Ramazan, Josef</t>
  </si>
  <si>
    <t>Josef Ramazan</t>
  </si>
  <si>
    <t>…irán sus memoriales y relación de méritos al ayuntamiento de dicha ciudad con sobrescrito á su secretario en el término de 30 dias. Se desea saber la existencia ó fallecimiento de D. Josef Ramazan, teniente de la compañía de granaderos del 2° batallón del regimiento de Avila., que cayó pri sionero en el sitio de la ciudad de Valencia: el que lo sepa se servirá avisarlo á Don Pablo Balbastro, presbí tero, beneficiado de la parroquia de S. x\.ndrcs de dh…</t>
  </si>
  <si>
    <t>Ramí</t>
  </si>
  <si>
    <t>…onsideración, que se entretienen en robar pQr hloaipuebios indefeñsos j.é interceptar-de cuando en cuándo los caminos; pero aun esto;se va mejorando de dia en dia; y asi es que el general Ramí rez ¿ dejando una'competente? guarnición en el Cuzco, salió de aquella ciudad el; 8 del corriente con destino ¿á incorporarse con el egército grande.” Tafrjfe i?/d,virey $ell*efá que se cita en el oficia an~ íjcfr.ííííñoíí ^ mi TOí? Aunque ignoro,si habrá lle…</t>
  </si>
  <si>
    <t>Ramí, Ramón Blas</t>
  </si>
  <si>
    <t>Ramón Blas Ramí</t>
  </si>
  <si>
    <t>…r refrendada de D* Antonia. López de Salazar, escribano del número dé la misma, su fecha 26 de este mes, se ha señalado para celebrar junta de los acreedores áda testamentaría*de :D. Ramón Blas Ramí rez, del comercio qué fue dé esta corte , ol día 23 del corriente á las 8 de su ma lí a na-en su posada; lo que se hace saber á los citados acreedores para que concurran ¿í de apoderados ó por medio que les represente; entendidos que de no hacer-Í&gt;or “ parará…</t>
  </si>
  <si>
    <t>Ramírez</t>
  </si>
  <si>
    <t>…ezas de la insurrección, él iniquo é ingrato brigadier Mateo García Pumaechaua , los hermanos Josei, Vicente y Mariano‘Angulo ,' Josef Vejar y algunos otros han sido entregados ál general Ramírez por los mismos indios, á. quienes habían seducido , de los cuales los unos han pagado , y los otros pagarán en un patíbulo su enorme delito, según informarán mejor á V. E. las gacetas que incluyo en falta de los detalles que espero recibir de la acción, recom…</t>
  </si>
  <si>
    <t>…caudaloso que la intrépida división del Rey -atravesó xonr el mayor ‘denuedo bajo el horroroso fuego de la artillería, y fusilería de los contrarios; por todo lo cual contemplo al general Ramírez acreedor á que $. M.¿;le distinga con la mas honorífica gran, cruz de la orden de:S. Fernando^ y los demas oficiales que comprende la adjunta relación con los premios, de grados y distinciones que en ella se mencionan ; pues di cha memorable gomada iíosfeoló…</t>
  </si>
  <si>
    <t>Ramírez, Joaquín González</t>
  </si>
  <si>
    <t>Joaquín González Ramírez</t>
  </si>
  <si>
    <t>…. Hipólito Gil Hernández: para la de Jorquera á D. Domingo Puertas*, para la de Aillon á D. Josef Puerta Benito: para la del Carpió á D. Ignacio Gil de Sagredo: para la de Potes á D. Joaquín González Ramírez: para la de S. Esteban á D. Domingo Fer nandez : para la de Soto-Palacios á D. Juan González Bravo: para Gober nador Justicia mayor de Valde-Caballeros, y Juez privativo ae las Reales dehesas de los Guadalupes á D. Pedro León de la Plaza Segura: para la de Po…</t>
  </si>
  <si>
    <t>Ramírez, Josef</t>
  </si>
  <si>
    <t>Josef Ramírez</t>
  </si>
  <si>
    <t>…ña , Ayudantes de dicha plaza ; á D. Juan Galeas , agre gado al Estado Mayor de la misma', y á D. Josef Bérmudez, del Batallón de Urbanos : al grado de Teniente á los Subtenientes D. Josef Ramírez y D. Gaspar Reyna, del Real Cuerpo de Artir!ería ; D. Agustín Vicente y D. Ramón de Alcalá, auxiliares dei mismo Cuerpo; D. Josef de Canga, agregado al de Zapadores; D. Josef Bena, 0. Manuel Hueso, D. Fránciscp-Yarto, D. Mariano Rosas,. D. Henrique Puga, y D. Carlos ViHarejo,…</t>
  </si>
  <si>
    <t>Ramírez, Juan</t>
  </si>
  <si>
    <t>Juan Ramírez</t>
  </si>
  <si>
    <t>…y del Despacho universal de Indias D. Miguel de Lardizabal el parte siguiente* Escrno. Sr.: En 28 del pasado con el num. 34 comuniqué á V. E. que la división del mariscal de campo D. Juan Ramírez quedaba en Ayaviri pró ximo á llegar,á las manosJcon el egército revolucionario del Cuzco, como ¡se verificó el i 1 del corriente, quedando los rebeldes totalmente deshechos coñ pérdida de muchos, toda su artillería, municiones y campamento; con^ tinüando la…</t>
  </si>
  <si>
    <t>Ramírez, Martin</t>
  </si>
  <si>
    <t>Martin Ramírez</t>
  </si>
  <si>
    <t>…rdon, canónigo de Ia.de Guadalaxara de Indias: para la abadía de la iglesia colegial de Alfaro, diócesis de Tarazona, vacante por muerte de D. Bernardino de Aldama y Bustamante, á D. Martin Ramírez de la Piscina, canónigo de la iglesia metropolitana de Burgos: para otra abadía de la Trinidad, dignidad de la catedral de Oren se , vacante por fallecimiento de D. Manuel Yebra y Oca, á D. Manuel Fontan , cora párroco de aquella diócesis: para el arcedianato…</t>
  </si>
  <si>
    <t>Ramírez, Pedro Manuel</t>
  </si>
  <si>
    <t>Pedro Manuel Ramírez</t>
  </si>
  <si>
    <t>…años esparció entre ellos Ja muerte y la desolación. Madrid // de Abril. El domingo 9 del corriente fue consagrado obispo de Ciudad-Rodrigo en la Real capilla de palacio el limo. Sr. D. Pedro Manuel Ramírez de la Pis cina, maestro que ha sido del Rey nuestro Señor y de los Sermos. Sres. In fantes; siendo el prelado consagrante el Excmo. Sr. D. Francisco Antonio Cebrian y Vaida, patriarca de las Indias, y asistentes los Excmos. Sres. Don Rafael Muzquíz y Aldunate…</t>
  </si>
  <si>
    <t>Ramo</t>
  </si>
  <si>
    <t>…ía á los caballeros cadetes D. Filiberto Mahy , D. Migue! Araózq D. Juan A riña da, Di. Manuel Ortega, D. Rafael, Cor réa, D. -P ed ro Ortega:, Di Josef Vázquez, D. Josef Estrada; D. Ramo» Romero, D. Joaquini Edhevarría; Dv Casimiro Cañedo, D. Josef Cebrian ,;D. Salvador Pa nlagua, D. Josef Saenz dé Viniegra, p. Narciso Gómez.Quintana, D. Ca yetano Pimente! ,:yá los ‘artilleros distinguidos D. Manuel Rodríguez Sote* lo, D. Tomas Saenz y D.í ¡…</t>
  </si>
  <si>
    <t>…:vara ce alcal~e" ,may€&gt;r-de la. ~!~Ja .de Blas"Dám1ani:~e'la ;Yegar r~p~est~, para 'que cbntlDue Slr- Camprodo.nr.::!ar :1?'.j~n·doíla ale~:ld·íá mayor!4e I~'"dlai dtp BeJg~ ,,!á D. Ramo)) Bernus el: qne cOllt'inúé:sirvféll&lt;lb Q!l:álc"aldíá 'm~aydr . d~:~ la i'Y~ná de ~,éor~·hasta· éüini?Jir '~O !exenio~ y)lo .propio á.D~· ~e·r~~rain(fFpr~óé-r.C~r~coaen la ~de"la ~"il~a ~e BuñQl,:: é·isuaHne.~se -se l);(servido S~:M. cOPrct:d~r á D"~eaio·Lapi…</t>
  </si>
  <si>
    <t>…dad los dos comandante? , el teniente de navio D. Josef Sorondo, y el alférez de igual clase D. Josef Villavicencio, el teniente de fragata D. Joaquín Vial, los alféreces de navio D. Ramo% Gil, D. Onorio Sierra y D. Justo Pasalagua, el alférez de fragata D. Josef Baldasano, el graduado, práctico mayor del puerto D* Manuel Hornigo, y los pilotos habilitados de oficiales D. Simón Julián y D. Francisco Morales, los cuales recomiendo á V. S. con p…</t>
  </si>
  <si>
    <t>Ramón</t>
  </si>
  <si>
    <t>…s, y la sangre que algunos derramaron en * defensa* de ia justa causa y dé sus ReaJes derechos , ha tenidb á bien -S. M. promover al empleo dé Márisdal de Campo de sus Exércitos á D. Ramón .Blanco, Teniente de Rey-de dicha plaza , D. Francisco Ruy Gómez, Comandante de Artillería de ella , y Don ■, Juan ; Be 1 está , Director ,de Ingenieros-v al de Brigadier á D. Josef Cabeza ¡de Vaca, agregado aiCuérpode Artillería , y D.* Francisco Xavier Mend…</t>
  </si>
  <si>
    <t>San Pedro y D. Ramón déla Cartera; y en la qnarta D. Ramón Rui* de Egullaz'y Pe redo y D. Pedro Rosi Todo ha merecido la aprobación del pÚbliOó qué no ceso en todo el día y aun el siguiehte de reconocer y ad mirar las ob*^ as de los premi..dos, y otras de los que no lo fueron, pe…</t>
  </si>
  <si>
    <t>…rgas Lana, D. Jacinto Rotnarate,: ¡ DJ Eduardo Briant, D. Ramón Ortiz Otañez, Dv Miguel Palacios Ruiz, D^ Ramón Aguí lar, D. • Josef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Blan co oMal…</t>
  </si>
  <si>
    <t>…Herreros, D. Antonio del Hoyo, D. Cristóbal ‘ Moreno, D. Antonio Mercádo, D. Manuel Castilla , D. Miguel Campanon,' D. Josef Patricio Castro, D. Ignacio Truyols, Ó. Josef Mateos, D. Ramón ‘Riotórt, D. Francisco Luis Jácome, D. Josef.Escovar;D.:Santos Leccea£ D. Bernardo Latorre, D. Joaquín de la Cámara, D; Josef HidalgoDon Tpmás Gutiérrez, D. Francisco de Paula Castro, D. Jorge Valderrábano, D. Josef María Palma, D. Marcos de Zeberio y D. Jose…</t>
  </si>
  <si>
    <t>…de la Riva Moreno. En la Coruña...... D. Felipe Elorz. En Valladolid..... D. Luis Francisco de Luís. 1 í‘„• En Pamplona...... ’D¿Miguel-Echarrí.o-.i'^:- •. r. á,, En Barcelona... D. Ramón;Llordeíla. i - iv nii Jí» Taragoza....... D. Francisco Perpiñan, barón de la Torre.; En Alava yGui--. D. Francisco Arrletá. 'i; . i • _ ’ . - • * .¡J ; : l-í . ' 1 , . » &gt; Jiíí • *'*■* *!» t."**, D. Tomas Diez Serrano.' -•* i \ J i. olit-i-i .&gt; i2i W , D¿ Joa…</t>
  </si>
  <si>
    <t>Ramón'Oréf</t>
  </si>
  <si>
    <t>…stilla !a Nueva , dada en los autos qué á consecncrTcia de Real órden se siguen sobre la pertere* cía del caudal que dejó á su fallecimiento el brigadier de los Riciales egércitós D. Ramón'Oréf!, comandante que fue dél batallón de voluntarlos í.° dé Barbastro, se cita, llama y emplaza á las personas que puedan tener derecho á dicho caudal V hieres para que acudan á deducirle á dicho juzgado dentro del término preciso de 30 días; apercibidos que pasa…</t>
  </si>
  <si>
    <t>Ramón, Josef</t>
  </si>
  <si>
    <t>Josef Ramón</t>
  </si>
  <si>
    <t>…y darle asimismo las mas rendidas gracias por tanto honor á nombre de aquellos; lo cual verificó en el dia del mismo mes acompañado de dos diputados para el efecto, que lo fueron D. Josef Ramón de ibarra; catedrático de matemáticas de los Reales estu dios, y D. Agustín García de Arríela, bibliotecario de ellos; á todos los cuales admitió S&lt; M. á besar so Real mano, habiéndole arengado antes el primero en los términos siguientes: „ Señor: los estudio…</t>
  </si>
  <si>
    <t>Ramona, María</t>
  </si>
  <si>
    <t>María Ramona</t>
  </si>
  <si>
    <t>expone en su informe sobre la pretensión de Doña María Ramona» Doña Gabriela y Doña Rosa DaJp., hijas huérfanas de D. Francisco Xavier, Ad ministrador general-^ue -füeclela! Rerita del' Tabác&amp;/ y de la justicia cón qiiea'si éstsnneómo otras interesadas han solicitado el* gocé de dos pendones dé viudedad ¡por haber contr…</t>
  </si>
  <si>
    <t>RamónCucalón</t>
  </si>
  <si>
    <t>…Reina, D. Vicente González Moro, D. &gt; Jman Loriga, D. Fernando Gocho, D. Mateo Hernández, 0. Pedro del Barco ; Jrá los capitanes D. Luis Abneig^ D. Josef Luna, D. Antonio Loriga, D. RamónCucalón., D.RamonTavaiy D, Pedro Argaiz, D:¡ Pabío Venéwies .y jDi jFramasco Sara víaDv Antonio Es parza , D. Andrés ArtiatyD. Josef Dalpy D. Josef Navarro, 0; Baltasar Co&gt; mellas, 0. Juan Brayo, D. Josef González Merino, D. Joaquín Aguado , Bou Ramón Palacio, D. Jos…</t>
  </si>
  <si>
    <t>RamonTruHol</t>
  </si>
  <si>
    <t>…alacio,D. Joaquín de Senroa y D. Nicolás Mayorga. __ •' ¡ :n Ascenso á tenientes de navio á los de fragata D.Francisco Fernandez Mi randa, D. Santiago'Echaparret, D. DiecoVenegas, D. RamonTruHol, Don -Vicente jde "Lago y D; Josef Arn*r -y I&amp;ynaydX^Jüan Diaz' Maqueda,Don -Jdsef Losada y Ribera, j D. Simón Londoñb ,30. Luis Boisgroller, D. Jacin to Marcayda, D. Rufino Torrótitegui y D." Josef García Campero, D.* Pedro Montuel, D. Joaquín Moyua, D. Manu…</t>
  </si>
  <si>
    <t>Ramos, Abdon Baena y</t>
  </si>
  <si>
    <t>Abdon Baena y Ramos</t>
  </si>
  <si>
    <t>…la vara^ de alcalde mayor, de lá ciudad de Ronda lla nombrado S.M^ á D. Pedro Casillas y Ortega , relator de la sala del crimen de la áudiencis| de Sevilla: para la de Almansa á. D. Abdon Baena y Ramos: para la de Za mora á D. Mariano Milla Fernandez : para la.de Valderas á Di Ramón An gel de las Cuevas: para la de Huesear de Baza á D. Cristóbal Benitez Campion: parala de A race na á D. Félix Antonio Ratiios; y para la de Peñafiél á D. Isidro Preciado. Para…</t>
  </si>
  <si>
    <t>Ramos, Andrés</t>
  </si>
  <si>
    <t>Andrés Ramos</t>
  </si>
  <si>
    <t>sales, D. Diego.Carbonell,D. Antonio Bórdon$,D. Ignacio Velazquez,Don Andrés Ramos, D. . Josef Velez, D. Francisco Contreras, D. Manuel Auñon, Dt' Josef Palillos, D. Antonio Acosta, D» Francheo Menduiña, D. Julián Senessens^iD* Josef AraüjoyD. Antonio Rute, D. Manuel Santander, D. Josef Domínguez , D. Josef!Montero y D. Pedro .Trasierra , D…</t>
  </si>
  <si>
    <t>Ramos, Josef de Lucas</t>
  </si>
  <si>
    <t>Josef de Lucas Ramos</t>
  </si>
  <si>
    <t>…o, á D. Andrés Gómez Somorostro, racionero de la iglesia colegial de S. Ildefonso*, para la prestamera de Ragama, diócesis de Avila, que va có por muerte de D. Josef Sanz Negro, á D. Josef de Lucas Ramos: para el beneficio préstamo de Birbadiilo, diócesis de Salamanca, vacante por muerte de D. Josef Sancho Velasco, á D. Antonio González Benito, cura del lugar de Coca de Huebra en el mismo obispado: para otro beneficio servidero de Baños, en el obispado de Jaé…</t>
  </si>
  <si>
    <t>Rampon</t>
  </si>
  <si>
    <t>…Barral, arzobispo de Tours, el conde Boissi-de-Anglais , el duque de Cadore, el duque de Canclaux , el conde de Casablanca ,. el conde de Montesquiou, el conde de Pontecoulant, el conde Rampon, el conde de Segur, el conde de Valence y el conde Belliard-----De los sugetos nombrados se esceptuarán todos aquellos que justifiquen en el termino de un mes no haber tomado asiento en la cámara de los Paresó de haberse resistido al mandato que se les comuni…</t>
  </si>
  <si>
    <t>Ramsav</t>
  </si>
  <si>
    <t>…an noticia de la ratificación de la paz. Con este ob jeto se han comprado en Manchester inmensidad de mercancías para enviar á los mercados de la América septentrional. ‘ El mayor general Ramsav, gobernador de la isla dinamarquesa de San ta Cruz, publicó el 16 de Noviembre un cartel anunciando que la en trega de aquella isla á la Dinamarca, estipulada en el tratado de paz entre las dos potencias, no se efectuará hasta después que pongan en manos de d…</t>
  </si>
  <si>
    <t>Ranee, Domingo</t>
  </si>
  <si>
    <t>Domingo Ranee</t>
  </si>
  <si>
    <t>…sef Giraldo,D. Juan Carmqna, p. Josef Montes y Flores,;!). Pedro Bringas, D^ Bartolomé Amat, Don Mariano Albo, J). Salvador Mamullares , D. Antonio Lasauca, D. Pablo ipacdgalupi , D. Domingo Ranee! y D. Manuel Toro: grados de capitanes á los tenientes D. Josef Fernandez de Apero, D. Vicente Herrera y D. Lufs Garcíay. grados de tenientes; á los subtenientes D. Pedro* Pirez &gt; D.-Manuel Angusaao y D/ Francisco Luqub (- ** (Se continuara.) &gt; ■■ s t. i ■' i…</t>
  </si>
  <si>
    <t>Rantirezy, Juan</t>
  </si>
  <si>
    <t>Juan Rantirezy</t>
  </si>
  <si>
    <t>…radable noticia dé la completa dérrotá: dél nume^osd1 egército de los.insurgentes deLCuzco pór-la división deStácida del dé S. Af.i en él alto Perú, al mando del mariscal de eampo D. Juan Rantirezy de cuyaíí resultas emró trjunfante iy sin oposicionen aquélla capitalj y habiendq recibido ipos'teciorinente lai relación. detglládá de tán Whóv tete.,#• honor de acompañársela á V. E., quien desde luego comprenderá que éftf tojfófeao ck&gt;ixjf3iJorlánla/qÍK3cq…</t>
  </si>
  <si>
    <t>Ránz, Elias</t>
  </si>
  <si>
    <t>Elias Ránz</t>
  </si>
  <si>
    <t>…na Ramiro, naturales de la villa de Tresjuncos, en la provincia de Cuenca, que en el año de 1804 se Vino á esta corte. La persona que supiese de él se servirá avisarlo en Madrid á D. Elias Ránz, mercader de libros, calle de la Cruz. Se desea saber el paradero de Celestino Quintana , granadero provincial de Lo groño, que fue hecho prisionero en Cataluña. La persona que supiere de su falleci miento ó existencia se servirá comunicarlo en Viguera, parti…</t>
  </si>
  <si>
    <t>Ranz, Elias</t>
  </si>
  <si>
    <t>Elias Ranz</t>
  </si>
  <si>
    <t>…llecas, de donde pasó á tenicíite de voluntarios de caba llería de Madrid, y en caso de haber fallecido el de sus herederos. La persona que lo sepa se servirá avisarlo en Madrid á D. Elias Ranz, calle de la Cruz. Nueva edición de las poesías patrióticas de D. Juan Bautista de Arriaza, dis puestas en la forma dramática con que se han declamado y cantado en los teatros de la corte, y añadidas las que se han compuesto después de la feliz restitución de…</t>
  </si>
  <si>
    <t>Rao, Manuel Martínez</t>
  </si>
  <si>
    <t>Manuel Martínez Rao</t>
  </si>
  <si>
    <t>…rar para los curatos que resultan ^vacantes en el estado de Monte rey , á las personas siguientes: para el de S. Martin de Araujo, en la diócesis de Orense, vacante por ascenso de D. Manuel Martínez Rao ál arcédianato de Cerveira, en la catedral de Tuy, áoD- Alejo López Monteagudo, cura párroco de S. Martin de Pazo : para el de S. Salvador de Parada de Ribera , en la citada diócesis , vacante por ascen so de D. Juan Leandro López al de Sta. María de Villarda…</t>
  </si>
  <si>
    <t>Rapp</t>
  </si>
  <si>
    <t>3I3 Dixo al mariscal duque de Dalmacia: „ Mariscal, tenemos noticias sati fac torías.”, Al general Rapp: „No tendréis que defender á Dantzlck; pero cuento con vos.”__ Al mariscal Serrurier: ,, Creo mariscal que esteis con tento con los inválidos: estos antiguos soldados serán fieles.”__ Al general Marescot: ,, General, la opinión que tengo de vuestros sentimien…</t>
  </si>
  <si>
    <t>…n. ELpréfecto ¿,á vijta,hito, ha jnáni-, restado á sus subalternos y todos los Habitantes su satisVaccibn'por lapróntitud y buena voluntad con que acudieron á defender el país. El conde Rapp, general en ge fe de la A Isacia, luego qué llegó á su go bierno, recibió una multitud de cartas anónimas, denunciándole muchos ciu dadanos de Ios-mas recomendables de la provincia ; pero viendo-el conde que esta inania se aumentaba de dia en dia, la ha ataja…</t>
  </si>
  <si>
    <t>…ncias que había tomado, c El enemigo parece qué se acerca también a Sedan. EGERCITO DEL RHIN. Nada sabemos directamente; pero según el pliego del 24 el general Beliard dice que el general Rapp se vería probablemente atacado aquel mismo dia 6 al siguiente, y que los áústHacos y wurtemberguesés estaban pasando el Rhin desde el 20 por la mañana. EGERCITO DEL OESTE. El mariscal de campo Délaáge avisa, con fecha de 20 de Jimio, que ha arrojado á los ins…</t>
  </si>
  <si>
    <t>…tas de Básilea del 28 anuncian que el cuartel general de S. A. el Archiduque Fernando.se hallaba en Malhausen. ; . ! ; •• ••. ;&gt; 5 El Príncipe Real de Wurtemberg; ha« derrotado al general Rapp, que .-tuj* vo que encerrarse en:Strasburgb.;¿ c: :.•/!;/ -'o'«■&gt;■&gt;■ f; Noticias de los egércstos del cuartelgenérál d.)■■Sptrd£¿ka8¿de\\Jiinmt -i'.'s Los cuerpos 3.0 y 4.^ del egército .del alto Rhin., sostenidos por algunas" divisiones rusás * habiendo pasa…</t>
  </si>
  <si>
    <t>…bia enviado una diputa ción áJoa, Soberanos aliados, en cuyo supuesto pedia una suspensión de ar mas : casi al mismo tiempo S. A. el Príncipe de Wurtemberg recibió otra car ta del general Rapp que contenía lo mismo, y entrambos Príncipes contesta^ ron negándose á ello. El 25 el Príncipe de Wrede hizo que avanzase el general ruso Lambert por ei camino de S. Avold. Este general atacó al enemigo cerca d|e Courcelles , y le arrojó al otro lado del Nied…</t>
  </si>
  <si>
    <t>Rápp</t>
  </si>
  <si>
    <t>…landwéhrpque lian recibido órden de di rigirse hacia Kehl para cooperar ai bloqueo deStrasburgo, y particularmente para proteger - la- derecha del Rhin contra, las salidas que el general Rápp pueda intentar por aquella parte. Las fuerzas de la guarnición de Strasburgo dicátt ser de;35®homíbrc^. ? .«s!::-YT !=.[., 1«. c éfi^oitíeiotó¿‘íofd Stefwart desde el cusirte! general del Principe de Sch wattjfótíbérg, en Troyes, el i2 de JujUade 1815. ^ £1 C…</t>
  </si>
  <si>
    <t>…do y arrojado del bosque deHaguenau al enemigo: el teniente gene ral Walmoaen.lo habia arrojado también de Selz. El 26 habia pasado el Ar chiduque Fernando el Rhin por Basilea. Al general Rapp se le suponía en-, cerrado en Strasburgo. El 5.0 es del coronel Jenkinson al lord Stewart con fecha 2$ de Junio participándole la retirada del general Rapp á Strasburgo con ti® hombres, con los que se presumía intentaba reunirse á Suchet- en Besanzon., Rapp h…</t>
  </si>
  <si>
    <t>…entre muertos y heridos. El Archiduque Femando avanzó á Remiremont para operar en el flanco y retaguardia de Lecourve si permanecía cerca de Befort. Se dice que la Caballería del general Rapp, que se halla en Strasburgo con dos regimientos de infantería, intenta irse á reuir á Lecourve. El comandante de Toul ha rehusado rendirse: el de Mascall hizo una sa lida con 2óó hombres; pero fue rechazado con pérdida. Se halla completamente establecida la c…</t>
  </si>
  <si>
    <t>…onservándose en línea las cabezas de unas columnas con las cabezas de las otras. Al mismo tiempo el Príncipe Real de Wurtemberg obligó, después de varios encuentros brillantes, al general Rapp á encerrarse en Strasburgo ; y se dirigirá sobre Luneviile y esta ciudad por Ruon d’Etapes y Baccorat lue go que le releven los austríacos. El lord Stewart refiere menudamente los movimientos de los egércitos del Archiduque Fernando y del general Frimont, y d…</t>
  </si>
  <si>
    <t>…, y á cumplir exacta y fielmente todas las obligaciones que me impone mí destino.” El 26 llegó aquí para recibir órdenes dé S. M. una diputación del egército del Rhín que manda di general Rapp, presidida por el teniente general conde Molitor, y compuesta del mariscal de campo Goudin, de los corone les el Barón Marill&amp;o, de artillería; Montanier, del 11»° de dragones ; Groisart, der7.° ^e infantería ligera ; Cretet, del i.° de infantería ligera; Met…</t>
  </si>
  <si>
    <t>…s. El dia 2-2 no había tomado todavía la es carapela blanca, diciendo que esperaba ordenes, y que estaba pronto á pres tar Juramento de fidelidad al Rey. ; Él 22 se firmó entre el general Rapp, comandante del egército del Rhin, y el Príncipe de Hohenzollérn,, ectnandánte del egército austríaco en la cuy qs principales artículos consisten en que la sus pensión de. hostilidades; entre los dos egércitos será común á todas las pla zas del .Rhin, que so…</t>
  </si>
  <si>
    <t>…muchas municiones de guerra y bagages austríacos, y ademas varias divisiones de infantería húnga ra á las órdenes del general Mariasi. Parece que trata de establecerse en Suiza el general Rapp,á quien el Rey de Francia acaba de dar lisonjeras muestras de estimación por la conducta leal que ha observado en el egércíto del Rhin. Lausana 17 de Octubre. Los cuatro regimientos suizos que estuvieron al servicio de Francia se re unieron el 12 en Iverdun,…</t>
  </si>
  <si>
    <t>Rasero, Josef</t>
  </si>
  <si>
    <t>Josef Rasero</t>
  </si>
  <si>
    <t>…Josef Rovirat, D. Antonio Sierra , D, Josef María Lauquer, D. Josef Dá^ viía, ,D&lt;Antonio Alvare^, D, Joaquín Asensio, D. Benito Ibañez, D. Anto nio Casbas j D. Francisco Botella, D. Josef Rasero , D. Josef Joaquín de Corres, D. Manuel González la Madrid , D. Santiago Regoli, D. Pedro Moreno, D. Celedonio Navarro, D. Josef Faura, D. Juan Bengoechea, D. Ra fael Aleson, D. Santiago Mateos, D. Gregorio Mateo , D. Felipe Crespo, JuanAntonioRui?, 1^. ídigi…</t>
  </si>
  <si>
    <t>Ratiios, Félix Antonio</t>
  </si>
  <si>
    <t>Félix Antonio Ratiios</t>
  </si>
  <si>
    <t>…la de Za mora á D. Mariano Milla Fernandez : para la.de Valderas á Di Ramón An gel de las Cuevas: para la de Huesear de Baza á D. Cristóbal Benitez Campion: parala de A race na á D. Félix Antonio Ratiios; y para la de Peñafiél á D. Isidro Preciado. Para el corregimiento de Tnrazona dé la Mancha á D. Josef Catalan y Calderón: para el de Alcalá de los Gaztiles á D. Josef Roa Rodríguez: para el de Medinaceli á D. Roque Domingo de la Figuera: para el de Becerril…</t>
  </si>
  <si>
    <t>RaU</t>
  </si>
  <si>
    <t>…. Luis María Sarasti, D. Tomas Orive, 0. Ma« jnuel Cayaleri , D. Agustín del Barco, D. Francisco Andrada, D. Juan Ltí« »ás,D. Joaquín ALvarez Maldbnado, 0. Rodrigo Sánchez Airona, D. RaU* hiel Arango, D. Lean. Grl de Palacio, D. Joaquín Villaba, 0. Antonia ¡Sén quera, 0. Manuel Zacates, D. Pedro de la Llave, 0. Josef Mariano dél Puk ar, D. Josef Arias Saavedra, 0. Antonio Hoscoso , Salvador Moreno* Vicente Vázquez, D. Tomas Dolagaray, D. Silv…</t>
  </si>
  <si>
    <t>Ray</t>
  </si>
  <si>
    <t>trio, titulada dé la Inmaculada Concepción, y representada por sos individuos los Sres. D. Ray mundo Ettenhard y Salinas, del Consejo supremo de ja Inqui sición ; el Dr. D. Domingo de Arce, del gremio y claustro de la universidad de Alcalá, del Consejo de S. M., y su ministro jubilado de la chancillería de Granada; el Dr. D. Francisco Díaz Vardera, age…</t>
  </si>
  <si>
    <t>…to. Dios guarde á V. S. muchos años. Madrid 2 de Febrero de 1815. El Rey se ha servido nombrar para el beneficio simple servidero de Jodar, diócesis de Jaén, vacante por muerte de D. Ray mundo Bustillos , á D. Castor Antonio Suarez, beneficiado de la parroquial de Sta. María Magdalena de la expresada ciudad de Jaén: para el beneficio préstamo de Castro, obispado de Jaén, que vacó por muerte de D. Juan de Entrena, para el de Escañuela, que lo…</t>
  </si>
  <si>
    <t>Raya, Juan</t>
  </si>
  <si>
    <t>Juan Raya</t>
  </si>
  <si>
    <t>…mate está señalado el dia 24 del presen te mes i las 12 de la mañana en la audiencia del Sr. D. Joaquín Almazan, tenien te corregidor de esta villa, ante el escribano de su número D. Juan Raya. Respuesta de D. Pedro CebaUo$ y Guerra i la carta y papel que desde París le escribió el marques de Almenara en 27 de Setiembre último. Véndese á 5 rs. en el despacho de la imprenta Real. Su producto es á benefició-de los Reales hospitales General y Pasión d…</t>
  </si>
  <si>
    <t>…ha señalado el día ,10 del corriente á las 1 2 en la audiencia del Sr. D. Joaquín Almazan, del consejo de S. M.f teniente corregidor de esta villa, ante el escribano de su número D. Juan Raya. ' Se vende una escribanía del número de esta corte, tasada en 165® rs. vn. en moneda metálica', de que han de baxarse 880 rs. de un censo, y ademas otras car gas á qué e^tá afecta; y, ésta;hecha postura en iií0 rs. én'metálipo y 55© en vale*' Reales- bastido…</t>
  </si>
  <si>
    <t>…iguien tes comparezcany acreditcri sü derecljoáoté el Sr. í&gt;? Joaquín Aímazáh', del cón;iéjd dé S. M. / teméb^^cbrré'gid^ de^ti'Viilal por la es¿rifaPahía’d¿ Jsii numeroque excree D. Juan Raya en inte^geheiá,' que pasado / sinmas término ni emplaza miento, se procederá á la que corresponda/ y les parará etpéf juicio que haya lugar. 1* ^ ;En ¿i-correo deeáfaéorte de mediadbsde ¿Enero próiíiinopasado se extravió ' fe! tituló &lt;je cirujéno&lt;deL),Franc¡s…</t>
  </si>
  <si>
    <t>…úriíero 12039. Qu*en quisiere hacer postura acuda aiite el Sr. D*. Joaquín Almazan, el consejó de S. M., teniente corregidor de esta villa, por la escribanía de núme ro que exerce D. Juan Raya. Se vendé una escribanía del número de esta villa, tasada en 165$ rs. en. tn me* ueda metálica, de que han da baxarse 88® del capital de un censor y'demas cargas a que está afecta ; y cstá hecha postura en 1149 rs. en metílico y 5 $»í en: vafes Rea* les ba*od…</t>
  </si>
  <si>
    <t>…está afecta. Quien quisiere hacer mejora acuda: ante el Sr. IX Joaquín Almazan,; del consejo de S. M., teniente corregidor de esta villa, por la escribanía-de su'numero que exerce D. Juan Raya, dentro de 15 dias contados desde el 31 del pasado.Está vacante la plaza de maestro de primeras letras de la villa de Penal ver, pro vincia de Guadalajara, en la Alcarria: su dotación son 30 fanegas de trigo , 700 rs. de propios, pagado todo por la justicia p…</t>
  </si>
  <si>
    <t>…uo,y demás cargas que tenga, está señalado el día 20 de este mes á las 1 2 en la audiencia del Sr. D. Joaquín Almazan, teniente corregidor de ella, ante el escribano de su nú mero D. Juan Raya. En virtud de Real facultad se vende una casa solar sita en esta corte y su calle de la Puebla, señalada con los números 21 y 23 de la manzana 554, tasada en ¡ipo^d rs. vn. Quien quisiere hacer postura acuda ante el Sr. D. León de la Cámá* ra Cano, del consej…</t>
  </si>
  <si>
    <t>…s, tasa-^ da toda en 32240 rs. vn., acuda ante el Sr. D. León de la Cámara Cano, del con sejo de S. M. y teniente corregidor de esta villa , por la escribanía de número que egerce D. Juan Raya. Se vende una imposición de 50® rs. vn. de capital, los 34111 rs. 20 mrs. en* vales rs. ,y el resto en metálico, c.on réditos de 4 por toó, hecha por cuatro años en la diputación de. los Cinco gremios mayores en 15 de Junio de 1803, señalada con el número 120…</t>
  </si>
  <si>
    <t>…ánz: 448tasada en el año dé 1805 por 130271 rs. vn., y ahora se hará una considerable baja.. Quien quisiere hacer postura acuda á la escribanía del número de'esta villa que egerce D. Juan Raya. - ■ - &gt; * Se halla vacante la plaza de cirujano titular de la villa de Los Arcos, en Na varra, cuya dotación consiste en 1 2@frs»», que lo cobran anualmente los individuos de ayuntamiento. La persona que quisiere: hacer, pretensión á dicha plaza acudirá por…</t>
  </si>
  <si>
    <t>…sejo de S. M.,.teniente corregidor de es.ta villa; en cuya a\tdienr ■ cía se ha de celebrar el segundo remate en el día 15 del corriente á las 1 2 por ante el escribano del número D. Juan Raya. * • f ■ r Én virlu(d dé providencia dada en 30 del mes de Agosto del corriente año por el S-. D. Manuel Vicente Torres Cónsul, del consejo Real, y juez interventor por S. M. de los estados y rentas del Escmo. Sr. duque de TTamames, refrendada de ÍDoñ Luis Ló…</t>
  </si>
  <si>
    <t>…eñalado el día 16 del corriente á las 12 en Ja audiencia del Sr. D. León de la Cámara Cano, del consejo de S. M., teniente corregidor de esta villa» ante el escribano de su numero D. Juan Raya. En virtud de providencia del Sr. D. JoseT Salvador López dei Pan, del conse jo de S. M., su alcalde de casa y corte» dada en 23 del pasado mes de Agosto, to¡-k fvendada de 0. Luis López de Castro, escribano de provincia y comisiones de la Real casa y corte d…</t>
  </si>
  <si>
    <t>…el que quiera hacer postura ¿ ella acuda ante el Sr. D. León de la Cámara Cano, del consejo de S. M., teniente corregidor de esta villa, por la escri banía dé su número que égerce D. Juan Raya, dentro de 30 dias.^ Materia Criminal forense, ó tratado universal, teórico y práctico dé los delitos y delincuentes', en^género y especie para la segura y conforme éspedicioñ de las causas de esta naturaleza: obra útil y precisa á jueces de todas clases, fis…</t>
  </si>
  <si>
    <t>…o, con descuento del 8g por 1091. Quien quisiere hace rme jora acuda ante el Sr. D. Joaquín Aimazan, .teniente, corregidor de esta villa, por ía escribanía de su número que egerce D. Juan Raya, dentro de 15. dias, y está señalado para su remate.el aS de,este mesNá,las 12 en la_ audiencia del mismo señor. Se halla vacante el partido de cirujano de la villa de Yuncidlos, á nueve leguas, de esta corte, y tres de Toledo: su vecindario se compone de 130…</t>
  </si>
  <si>
    <t>…alado el dia 22 de este mes á las 1 2. en la audiencia. del Sr. D. León de la Cámara Cano, del consejo de S. M., teniente cor regidor de esta villa, ante el escribano de su número D. Juan Raya; En la villa de Reinosa, provincia de Patencia, se halla vacante la plaza de mó dico titular de la misma, con la dotación de 700 ducados anuales, que se pagan de sus propios por tercios; sobre cuya cantidad han disfrutado los que la han obtenido, especialment…</t>
  </si>
  <si>
    <t>Raya.-, Juan</t>
  </si>
  <si>
    <t>Juan Raya.-</t>
  </si>
  <si>
    <t>…y está tasada en 29234 rs* vn. Quien quisiere hacer postura acuda ante el Sr. D. Joaquín A. 1 mazan, teniente corregidor de esta villa, y por la escribana de su. número que cxctcc D. Juan Raya.-.... - u</t>
  </si>
  <si>
    <t>Re, Pablo</t>
  </si>
  <si>
    <t>Pablo Re</t>
  </si>
  <si>
    <t>…de D. Francisco Perez Sedaño , á D. Bernar do Alarcon, capellán de la Real capilla denominada de Reyes nuevos de To* ledo ; la canongía que vacó en la misma iglesia por muerte de D. Pablo Re cio y Tello á D. Bonifacio Tosantos, lectoral cíe la de Sto. Domingo de la Calzada; la capellanía Real que resulta vacante por promoción de D. Ber nardo Alarcon á D. Columbano de Poz y Gal indo, cura de la parroquial de S. Lorenzo de esta corte, y otra capell…</t>
  </si>
  <si>
    <t>Real, Felipe</t>
  </si>
  <si>
    <t>Felipe Real</t>
  </si>
  <si>
    <t>…él ilustrísimo cabildo eclesiástico 2200 rs.; el conde de Cervera 2® ; el subteniente de este cuerpo D. Antonio Castellano Cabrejano 2800; el presbítero D. Baltasar Requena 60, y D. Felipe Real 4 &gt;-• ~ : Granada: los gefes y oficiales de él costean ¿1 total importe ae la construc ción de I¿ bandera.__:Guadix: su ayuntamiento, ídem..__ La redo: su ayun tamiento* ídem._-León: el ayuntamiento* cabildo eclesiástica y el ae íá iglesia de S. Marcos 3300 r…</t>
  </si>
  <si>
    <t>Real, He</t>
  </si>
  <si>
    <t>He Real</t>
  </si>
  <si>
    <t>…e de la Real casa de moneda de $evilla. Honores .de intendentes de egército á los directores generales de Rentas D. Mateo G,il de Sola y D. Josef dé Imaz ¿ á Di Eugenio Domínguez, ministro He Real hacienda ‘de Menorca; á D. Manuel Oftiz, superintendente de la Real cása de moneda de esta corte; á D. Antonio López, ministro de hacienda mi litar de ésta plaza; á D. Francisco dé Iá Roca y Arredondo y D* Juan Jo sef. dé-Lesaca , contadores de la intéryencío…</t>
  </si>
  <si>
    <t>Real, Nicolis Timón y</t>
  </si>
  <si>
    <t>Nicolis Timón y Real</t>
  </si>
  <si>
    <t>…y saludables: en las inme diaciones hay müchos^pueblos con sola la distancia desde media hasta dos leguas. Los pretendientes dirigirán sus memoriales al escribano de ayuntamiento D. Nicolis Timón y Real , por Zafra á Bodonal; admitiénd ose hasta el 15 Julio de próxi mo, pues deberá proveerse la plaza el dia i.° de Agosto. ■ * : Se halla vatante la plaza de cirujano latino de la villa de'Qijon en el principa do'de Avtúrias: tiene 400 ducados de reglamento y s…</t>
  </si>
  <si>
    <t>Real, Presidente del Consejo la</t>
  </si>
  <si>
    <t>Presidente del Consejo la Real</t>
  </si>
  <si>
    <t>…ARTICULO DE OFICIO. iíií . , V;¿-{X:-:/&gt; :(fttculty^del: Consejó Real.' JK1 Excmo. 5r. Secretario de Estado y del ¿Despacho Universal de Gra cia y Justicia ha comunicado al Excmo. Sr. Presidente del Consejo la Real drden siguiente;</t>
  </si>
  <si>
    <t>Real, Secretario del Despacho de Hacienda la</t>
  </si>
  <si>
    <t>Secretario del Despacho de Hacienda la Real</t>
  </si>
  <si>
    <t>…ctivo territorio; y dé su recibo mé dará aviso. ^ Dios guarde á V. muchos años. Madrid y Enero 12 de 1815. Circular de la Tesorería general. Con fecha 10 del actual me comunica el Señor Secretario del Despacho de Hacienda la Real orden que stgué: „ El Señor Secretario de Estado y del Despacho de Guerra con fecha-4 del corriente loe dice ÍO sigiiiefité : Habiéñdo^hécho presente al; Rby una</t>
  </si>
  <si>
    <t>Rebo, Antonio Urueña y</t>
  </si>
  <si>
    <t>Antonio Urueña y Rebo</t>
  </si>
  <si>
    <t>…no hallará otra medida que la del mérito. _ Tuna 30 de Marzo de 181 Emamel” ESPAÑA. Colmenar de Oreja (provincia de Toledo) J ds Abril. El maestro de primeras letras de esta villa D. Antonio Urueña y Rebo llar, ansioso de promover por todos Iqs medios posibles la educajio i de la juventud que le está confiada, y de acreditar que tus desvelos correspoa-</t>
  </si>
  <si>
    <t>Rebollo, Vicente Pedio</t>
  </si>
  <si>
    <t>Vicente Pedio Rebollo</t>
  </si>
  <si>
    <t>…o nombrar para el corregimiento de Ledesma á Don Juan Yarza Marín: para e! de Illéscas á D. Isidro Preciado: para el de Bae-. xa á D. Vicente Ximenez Granados: para él de Orense á D. Vicente Pedio Rebollo: para el de Bilbao z D. Antonio Apellan!?, oidor de la, chan-, ciMéría dé Váíladolid: para el dé Guipúzcoa á D. Ramón Macla de Lieoart: para el de Paradas á D. Francisco Antonio Rodríguez: para el de Alacete á D. Jo .quin de la Escalera Benedicto: para el ae…</t>
  </si>
  <si>
    <t>Recalde, Juan</t>
  </si>
  <si>
    <t>Juan Recalde</t>
  </si>
  <si>
    <t>…ndo vitalicio : Fr. Francisco Cifuentes, á nombre del monas terio de S. Lorenzo del Escorial, 1.884293 rs. y 20 mrs. que le adeuda Ja Real hacienda, y ademas 100® rs. en efectivo: D. Juan Recalde 111549 rs. por intereses de 206 vales Reales de 150 pesos : D. Francisco García 4® rs. que se le deben por suministros que ha hecho al egército: D. Jósef Abentosa 3 rs. diarios para mantener un soldado durante la guerra: una persona, que h» pedido se le ocult…</t>
  </si>
  <si>
    <t>Recarte, Josef Antonio de Oscoz y</t>
  </si>
  <si>
    <t>Josef Antonio de Oscoz y Recarte</t>
  </si>
  <si>
    <t>…ara de Comptos D. Juan Ramón de Ibarra: de Mérida á D. Joaquín María de Egui^uren: de Dos-Barrios á D. Jorge Ferrer: de Segura de la Sierra á D. Diego Crespo de León! de Porcuna á D. Josef Antonio de Oscoz y Recarte: de Totana y Aledo á D. Ignacio María de Funes y Ulloa; y para el corregimiento de Guadalcanal á D. Gaspar Armengol.</t>
  </si>
  <si>
    <t>Recio, Diego Gómez</t>
  </si>
  <si>
    <t>Diego Gómez Recio</t>
  </si>
  <si>
    <t>…ia misma iglesia, vacante por muerte de D. Josef Monedero»i D. Ignacio Fernandez Fuentes. = La abadía que ha vacado en la iglesia colé-' gial dé Jerez de la Frontera por muerte de D. Diego Gómez Recio á D. Jo-1 sef María Alvarez de Palma, canónigo de la misma iglesia; y esta resulta á D. Mañud López Pizano.rrLa dignidad de tesorero de la colegiata de Rázaf vacante por fallecimiento de D, Antonio Mancebo, á D. Juan Antonio Ruiz de Mendoza, canónigo de la pr…</t>
  </si>
  <si>
    <t>Reckberg</t>
  </si>
  <si>
    <t>…el Hamilton. : &gt; : Ademas de los dichos se hallaron también el Príncipe Cárlos de Bavíera; el feld-mariscal Príncipe de Wrede, comandante en gefe del egército báva ro; el teniente general Reckberg; el teniente general Raglowich; el mayor general Deroy; el Príncipe de Loevenstein; el Príncipe Real de Wurtemberg; el Príncipe Federico de Saloma 5 el Príncipe Clemente de Saxoñia; el Príncipe de Saxonia-Cobourg; el Principe Emilio de HeSse , y el Príncipe d…</t>
  </si>
  <si>
    <t>Recuero, Julián Nicanor</t>
  </si>
  <si>
    <t>Julián Nicanor Recuero</t>
  </si>
  <si>
    <t>…rtagena , á,D. Sejcundino Alonso de Ozalia, cura párroco de la villa de Treviana. La canongía vacante en la catedral de Palencia por fallecimiento de Don Domingo Alonso Víctores á D. Julián Nicanor Recuero, capellán párroco del cuarto escuadrón de artillería ligera; la ración de la misma iglesia que ha vacado por muerte de D. Pédro Perdiguero á D. Bernardo María dé Ho mar; la canongía vacante en dicha catedral por promoción de D. Antonio Vidaurreta al aeanato d…</t>
  </si>
  <si>
    <t>Reding, Teodoro</t>
  </si>
  <si>
    <t>Teodoro Reding</t>
  </si>
  <si>
    <t>…y Gefes de loslque se hallaron en la batalla de Valls, eb Cataluña, dada por elprimer Exército en 25 de Febrero de &gt;1809 baxo las inmediatas órdenes de* suebizarro General en Gefe D. Teodoro Reding, han hecho presente al Rey nuestro Señor que por su fallecimiento, verifi cado de resultas de las heridas que recibió en dicha acción y quedaron sin la correspondiente recompensa; y eiTsu consecuencia solicitan que S. M. se digne concederles alguna distinción…</t>
  </si>
  <si>
    <t>Regañón, Santiago</t>
  </si>
  <si>
    <t>Santiago Regañón</t>
  </si>
  <si>
    <t>…el Calvo, D. Manuel Bar rientes; D. Juan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 D. Francisco Alameda, D.. Tomas Gómez Qui janó, Don Joaquín…</t>
  </si>
  <si>
    <t>Regente</t>
  </si>
  <si>
    <t>…n de que quejarse; pero si no es asi, entonces lo qne se quiere, atacar es la. independencia de la na ción francesa; mas la Francia sabrá rechazar una agresión .tan odiosa. . „ El príncipe Regente de.Inglaterra declara que quiere antes de empe zar á ‘obrar ponerse de acuerdo con las otras potencias» que estando todas armadas están ocupadas en deliberar; y la Francia ^excluidadeestas deliberaciones , de las quales es el objeto principal,... deíiheta&lt;soi…</t>
  </si>
  <si>
    <t>Regnaud</t>
  </si>
  <si>
    <t>…lo la operación al cargo del general Godinot con tres divi siones mandadas, la de la derecha por el general Semelé, la del centro por el mismo Godinot, y la de la izqu erda por el general Regnaud, componién dose todas estas fuerzas de 14© infantes, 700 caballos y ocho piezas de ar tillería; y el total de las nuestras de 5® infantes y la caballería referida con. cuatro piezas da á tres. El general Vallesteros para contrariar esta operación, y al mismo…</t>
  </si>
  <si>
    <t>Regoli, Santiago</t>
  </si>
  <si>
    <t>Santiago Regoli</t>
  </si>
  <si>
    <t>…, ,D&lt;Antonio Alvare^, D, Joaquín Asensio, D. Benito Ibañez, D. Anto nio Casbas j D. Francisco Botella, D. Josef Rasero , D. Josef Joaquín de Corres, D. Manuel González la Madrid , D. Santiago Regoli, D. Pedro Moreno, D. Celedonio Navarro, D. Josef Faura, D. Juan Bengoechea, D. Ra fael Aleson, D. Santiago Mateos, D. Gregorio Mateo , D. Felipe Crespo, JuanAntonioRui?, 1^. ídigiiel Ibañez, D. Lorenzo López, D. Francis co Cardeñes , D. Gerónimo ¿aborda , D,.…</t>
  </si>
  <si>
    <t>Reguera, Francisco</t>
  </si>
  <si>
    <t>Francisco Reguera</t>
  </si>
  <si>
    <t>…órdoba * P. Josef Ferrer, D. Ca yetano Vivar , P,; JqseJ de^fcuenca, EX Francisco Caso, D. Felipe Mendicuti, í). Baltasar Gonzajes* *&gt;¿X;FVancisep de Torres, D. Andrés Casainayer, D. Francisco Reguera , D. Antonio García, D. Pedro Pineda , D. Josef Co nejo, D^Ramon Agón', D. Manuel -Gá'stambide , D. Juan Palomero , D. Ra^ mon Oleína, D. Fernando Belarde,;D. Miguel Almagro, D. Manuel Ovan do , Ds. Bartolomé González , D. Antonio María; Mvuñoz , , Dr Miguel…</t>
  </si>
  <si>
    <t>Reguera, Josef Freyre y</t>
  </si>
  <si>
    <t>Josef Freyre y Reguera</t>
  </si>
  <si>
    <t>…al Rey y al estado; y para lá media ración que resulta vacante á D. Francisco Ro mero y Liñan, cura de S. Vicente de dicha ciudad de Sevilla. Y en consir deracion á los méritos de D. Josef Freyre y Reguera, y á los particulares que contraxó sü padre D. Manuel Frey re Castrillon mientras que estuvo dé diputado á las Cortes llamadas generales y extraordinarias, y después qüe cesó en esté encargo, se ha servido S. M. nombrar al primero para Ja ración vacante en la…</t>
  </si>
  <si>
    <t>Reille</t>
  </si>
  <si>
    <t>…hombres de infantería de ía guardia antigua, que no pereció enteramente comó se había dicho. L Las tropas del primero, segundo y sesto cuerpo que están reunidas bajo el mando del general Reille, acaban de recibir orden para marchar inmediataménteá Gompiegne. Otras tropas han tomado posición en Meaux. El ter cero y cuarto cuerpos mandados por el general v andamme han venido aquí á reemplazar lá tropa del general Reille* El general Corbineau trabaja m…</t>
  </si>
  <si>
    <t>…y Senlis. En este estado de cosas el mariscal Grouchy se encuentra en la necesidad de abreviar su movimiento hácia París, y situar su cuartel gene ra^ en Dammartin. El cuerpo del general Reille se apostará en Gónésse, y el del general Vandamme en Nanteuil. - : ' Se hallan interrumpidas l» comunicaciones telegráficas de Lila y Metz cóir;Pari&amp; i. ; n-‘ • ::í:■ Se asegura que en la sesión secreta de anoche, en la cámara de los repre4* sentantes, él gob…</t>
  </si>
  <si>
    <t>Reina, Gaspar de</t>
  </si>
  <si>
    <t>Gaspar de Reina</t>
  </si>
  <si>
    <t>…án D. Josef Car na 20, provincial de Fernando vií de Pueclafce D. Fernando Gortázar, 50 artilleros volantes y 30 catallós^d^Qbe^érflróicbn dbs piezas dé aítillería qíie mandaba el capitán Don Gaspar de Reina; todo á las Órdenes del"teniente coronel D. Pedro Zarzosa y dé sO •‘seguhdo el sargento mayor D. Josef María Travesí. jfReunrda toda la columna de la izquierda en el rancho deChililico, cin co lé^ía§rde Tulancingo y- ochó de Apan, el 24 al anochecer seguí la…</t>
  </si>
  <si>
    <t>Reina, Manuel de</t>
  </si>
  <si>
    <t>Manuel de Reina</t>
  </si>
  <si>
    <t>…y D. Cenon Gar cía: á los capitanes marques dé A-yerve , 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t>
  </si>
  <si>
    <t>…do el Rey de la causa criminal escrita en Sevilla con el motivo de la muerte violenta dada á Francisca Suarez, muger de Josef de Reina, y en que están indiciados este y su hermano D. Manuel de Reina, clérigo tonsura»* do y beneficiado &gt; y de las ocurrencias, que con el motivo del fuero eclesiás-</t>
  </si>
  <si>
    <t>…ios, que es lo único que hay en el caso pre sente; si la degradación ó deposición deberá tener solo lugar cuando se trata de imponer pena capital, ó si también cuando el reo, como D. Manuel de Reina, solo se ha condenado en 10 años de presidio; y últimamente tampo co se ha dicho cosa alguna sobre si habrá términos hábiles para el recurso de fuerza en conocer y proceder cuando el eclesiástico no declarase la de gradación ó deposición, pues no asi como pue…</t>
  </si>
  <si>
    <t>eclesiástico; qué la Sala del Crimen ponga á disposición de este la persona de D. Manuel de Reina , remitiendo testimonio de cuanto contra él resulte, para que sea corregido por él según derecho, quien avisará á* S. M. por jni mano de la sentencia que pronunciare; y que la Audiencia de Sevilla por lo que toca al Josef de Reina substancie y determine la ca…</t>
  </si>
  <si>
    <t>Reinoso, Josefa Manuela de</t>
  </si>
  <si>
    <t>Josefa Manuela de Reinoso</t>
  </si>
  <si>
    <t>…ta. María, y escribanía de! número de D. Rafael Reinoso, penden autos formados sobre la intervención al vínculo que fundó D. Vicente Gar cía Mayor de Londoño en nombre de su muger Doña Josefa Manuela de Reinoso, en los cuales se nombró de oficio defensor judicial al citado vínculo, á cuya ins tancia se libró exhorto á esta corte en 2 1 de Junio de 1814, que fue cumplimenta* do por el juzgado de esta capitanía general en 5 de Julio siguiente para que se pu siese en l…</t>
  </si>
  <si>
    <t>Reinoso, Rafael</t>
  </si>
  <si>
    <t>Rafael Reinoso</t>
  </si>
  <si>
    <t>…de Cádiz ; el obispo de Ceuta y el de Ibiza. En el juzgado del Sr. D. Dionisio Rodríguez González, alcalde mayor de la eludid del Puerto de Sta. María, y escribanía de! número de D. Rafael Reinoso, penden autos formados sobre la intervención al vínculo que fundó D. Vicente Gar cía Mayor de Londoño en nombre de su muger Doña Josefa Manuela de Reinoso, en los cuales se nombró de oficio defensor judicial al citado vínculo, á cuya ins tancia se libró exhor…</t>
  </si>
  <si>
    <t>Reitté</t>
  </si>
  <si>
    <t>…s numeroso, di cen los mismos franceses que es de Unos 6o8 hombres divididos en dos caer* pos, uno al mando del conde dé Erlon, cayo cuartel general está en Lila, y el otro al del general Reitté, que tiene el cuartel general en Valencíenes. El general Tirlet manda la artillería, y á los ingenieros el general Haxo. El exército que se opone á este entre el Mosa y el mar del Norte es ya de 130© hombres. «. Hamburgo t $ de Abril. La gaceta de Stockolmo d…</t>
  </si>
  <si>
    <t>Remacha, Miguel López</t>
  </si>
  <si>
    <t>Miguel López Remacha</t>
  </si>
  <si>
    <t>…a gaceta, que será á fines de Diciembre ó á principios de Enero de 1816. Se abre subscripción á una obra elemental de música teórica y práctica intitula da la Melopea, escrita por D. Miguel López Remacha, profesor de canto de la Real capilla. El título manifiesta su argumento, el cual ha deseado su autor desem peñar. Divídese la obra en tres partes: la primera contiene los principios teóricos y prácticos del solfeo: la segunda la teoría del buen gusto del can…</t>
  </si>
  <si>
    <t>Renau, Josef</t>
  </si>
  <si>
    <t>Josef Renau</t>
  </si>
  <si>
    <t>…o, D. Juan Calderón, y Di Juan Sierra, del primer Barallon de Voluntarios de Ciudad-Rodrigo; á D. Manuel Ri bero, D. Joaquín Quadrado, D. Francisco Escovar, D. Salvador S. Juan, y D. Josef Renau, del segundo Batallón de idem;á D. Joaquín Rodríguez, 0. Vicente González , D. Fabian de Saave4xa, D. Casimiro Vinuesa, y D. Santiago Gómez, del tercer Batallón de ídem; á D. Francisco Topete y D. Juan de Acuña , Ayudantes de dicha plaza ; á D. Juan Galeas ,…</t>
  </si>
  <si>
    <t>Rentas, Agustín de Samanoj Contador de</t>
  </si>
  <si>
    <t>Agustín de Samanoj Contador de Rentas</t>
  </si>
  <si>
    <t>…lamento y planta de oficinas de que debe componerse .ésta. Dirección general de Rentas nombrando para Directores generales á Doii Mateo Gil de Sola , D. Josef dé Iniáz Baquedanó y D. Agustín de Samanoj Contador de Rentas generales D. Higinio García de Burunda; Gefe del De partamento del Fomento y Balanza.D. León Gil Muñoz; Contador de Rentas Provinciales D. Tomas de Aja y Pellón; Contador de la Renta del Taba? co D. Gabriel López; Contador de la Renta de Salinas D. Francisco…</t>
  </si>
  <si>
    <t>Requejo, Domingo</t>
  </si>
  <si>
    <t>Domingo Requejo</t>
  </si>
  <si>
    <t>…tes á Doña Pau la de la Cruz y Mendoza, viuda del mariscal de campo D. Joaquin de Mendoza, gobernador político y militar que fue de la plaza de Gerona, se servirá presentar los al Sr. D. Domingo Requejo, que vive en Madrid, calle de S. Juan, núm. 4, quartó principal, en donde se justificará que dichos vales pertenecen á la indicada señora. Fundamento del vigor y elegancia de la lengua castellana, expuesto, en el pro pio y vario uso de sus partículas por el p…</t>
  </si>
  <si>
    <t>Requena, Baltasar</t>
  </si>
  <si>
    <t>Baltasar Requena</t>
  </si>
  <si>
    <t>…marca ción, idem._-Cuenca: él ilustrísimo cabildo eclesiástico 2200 rs.; el conde de Cervera 2® ; el subteniente de este cuerpo D. Antonio Castellano Cabrejano 2800; el presbítero D. Baltasar Requena 60, y D. Felipe Real 4 &gt;-• ~ : Granada: los gefes y oficiales de él costean ¿1 total importe ae la construc ción de I¿ bandera.__:Guadix: su ayuntamiento, ídem..__ La redo: su ayun tamiento* ídem._-León: el ayuntamiento* cabildo eclesiástica y el ae íá iglesi…</t>
  </si>
  <si>
    <t>Retámar, Miguel</t>
  </si>
  <si>
    <t>Miguel Retámar</t>
  </si>
  <si>
    <t>…te Tomes, del Provincial de Segovia; D. Pedro NuñeZ;, D. Manuel Calderón, D. Matías Frade, D.Francisco Antonio Ledesmá, y LF. Andrés .Muñoz, del primer Batallón de Ciudad-Rodrigo; D. Miguel Retámar, Don Juan Atienza, D. Isidoro Caballero* 0. Julián Avilé*, D¿! Juan Martin,</t>
  </si>
  <si>
    <t>Rétamero, Cándido García</t>
  </si>
  <si>
    <t>Cándido García Rétamero</t>
  </si>
  <si>
    <t>…upremo consejo -de Hacienda, y encargado por S. M. de la dirección y gobierno de los estados secuestrados par .muerte de la ultima se ñora duquesa de Alba, se ha dignado nombrar á D. Cándido García Rétamero para servir la vara de alcalde mayor de la villa del Barco de Avila en el estado de Piedrahita^ vacante por promoción de D. Joaquín Ruiz de Arechavateta áreprregiróiéntq'deflá óiudad de León.' Se avisa af ptíblico que por Real privilegio el ayuntamiento de la…</t>
  </si>
  <si>
    <t>Reus, Rafael</t>
  </si>
  <si>
    <t>Rafael Reus</t>
  </si>
  <si>
    <t>…é BéjárJ éldesubteniénte á tós cadetes D. Josef Bejar y Dt Férnahdo Moya^p/yídél Rey, y los sargentos primeros D. AntonioOrtiz y D. Teaquin Sánchez; no incluyéndose al subteniente D. Rafael Reus por haber obtenido el retiro con él sueldo correspondiente á su empleo eri el egército.Ádemas es la voluntad de S. M. que para los destinos de plaza y empleos dé las compañíasiijas de Mélilla y demas presidios menores, sean preferidos los oficiales,cadetes,y…</t>
  </si>
  <si>
    <t>Reve, Ignacio Thaon de</t>
  </si>
  <si>
    <t>Ignacio Thaon de Reve</t>
  </si>
  <si>
    <t>…. británica, quien ha pübíicado esta ma ñanarla orden siguiente:, * „ Vista mi proclama de 27 de Diciembre del año último, y habiéndo me hecho saber S. M. el rey de-Cerdeña que el caballero Ignacio Thaon de Reve!, conde de Prado. Lqngo&gt; teniente general de sus exércitós, ha sido nombrado gobernador'del estado genóves y dé los derechos imperiales compréhendidos eñ el gobierno provisional de él, ¡conforme á la resolución tomada eri el congreso de-V'iena, en 12. de Dici…</t>
  </si>
  <si>
    <t>ReveHar, Antonio</t>
  </si>
  <si>
    <t>Antonio ReveHar</t>
  </si>
  <si>
    <t>…arciprestazgo y canongía , que resultará va cante en la iglesia colegial de Ubeda, diócesis de Jaén, por promoción de D. Cristóbal Perez V íala á la iglesia y obispado de Jaca, á D. Antonio ReveHar. En atención á los distinguidos méritos y servicios de D. Eugenio García González , arcediano titular de la iglesia de Cartagena , se ha servido el Rey nuestro Señor concederle honores de auditor del tribunal de la Rota de la Nunciatura apostólica. El ayuntam…</t>
  </si>
  <si>
    <t>Revel</t>
  </si>
  <si>
    <t>…Ayer principio, aqui á prestarse el juramento de fidelidad al rey de Cerdeña, y las tropas genovesas que habían tomado ya la escarapela azul se juntaron en la plaza de palacio. El caballero Revel las dirigió una corta aren* ga , que hizo conocer la importancia del juramento que iban á prestar, y las ventajas que resultarían para ellas de pertenecer á un exército mayor; después de lo qual prestaron estas el juramento de fidelidad, y el caballero Revel…</t>
  </si>
  <si>
    <t>Reviila, Agustín</t>
  </si>
  <si>
    <t>Agustín Reviila</t>
  </si>
  <si>
    <t>…rahgo, y D. Estéban López, del Regi miento de Mallorca; á D. Félix Llano, D. Gregorio Martin, D. Gabriel Olgado, D. Josef Mela, D. Felipe San Alberto, D. Pedro García de Várgas ,y D. Agustín Reviila, del de Voluntarios de Avila; á D. Pedro Doz, D. Ignacio Fuerte , D. Josef Gacet, D. Guillermo Dot, y D. José f Villar de Francos, del Provincial de Segovia; á D. Santiago Muriedas, D, Isi doro Moreno, D. Antonio Gallego, D. Juan Calderón, y Di Juan Sierra, d…</t>
  </si>
  <si>
    <t>Revira, Pedro Josef</t>
  </si>
  <si>
    <t>Pedro Josef Revira</t>
  </si>
  <si>
    <t>…aldeorras á D. Josef Joaquín de Isla: para la de Gcon á b. Vicente García Olalla; y para la «de Bailen á D. Félix Alonso y Calzas; y; ha confirmado 5. M. en la vara de Ollvencia á D. Pedro Josef Revira ; en ía de Rlaza y Riofrio á D. Manuel del Pozo, y eft la'dé Palacios de da; Bal* duerna 'á D. Francisco Plácido Cabrera. ^ ' •* Asimismo se ha servido S. M. prorogar por seis años en la vara de a leal- ’ de mayor de 5. Cristóbal de la Laguna, en la isla de T…</t>
  </si>
  <si>
    <t>Rey, Antonio</t>
  </si>
  <si>
    <t>Antonio Rey</t>
  </si>
  <si>
    <t>…oletá, D, Josef Gáliano, D. Manuel Ayolo, D. Ignacio Cambil, D. Vicente. Dolz , D. Manuel Fernandez , D. Rafael Montemayor, D. Ga briel Villoría, D, Diego Latorre, D. Pedro Vidal, D. Antonio Rey, D. Pe dro Áhnabai, D. Manuel Lomar, D. Pablo Chamorro , :D, Josef Ckuñer. DvJosefGucrra, D. Juan Sevillano , H. Josef Fonseca, D. Sancho Estrada, ¡BJosefSoler , D. Diego Delgado* D* Rafael Vargas, D. Josef Llanzo, Don Josfef Astraudi ,.D. Juan de Sotomáy or,…</t>
  </si>
  <si>
    <t>Rey, Fernando</t>
  </si>
  <si>
    <t>Fernando Rey</t>
  </si>
  <si>
    <t>…, D. Manuel Sis— to . Dv Diego Crespo dé •Téjada'* * D. Manuel Moreda y D. Pedro Marcelino Blanco / individuos de la comisión para activar el préstamo voluntario reinída grablé; á D. Fernando Rey , administrador de las Reales gracias dél Nóvéiio y Escusado de la provincia de Orense ; á P. Manuel de Menoyó, tesorero principal de Rentas de la/provincia de Toledo; y empleo de comisario, orde nador con el sueldo de tal á. í). Manuel Fidaígo , comisario dé…</t>
  </si>
  <si>
    <t>….¡Román ? Martínez Montaos. En jCatíiz.a¿¿.¿¿i"i-jDá Benita de la Piedrav £n Canarias........ D. Francisco.*María Herrera. -En Malaga........ D¿ Francisco Escovar. En Orense.... . D. Fernando Rey. zEn Lugo.............. D. Josef María Gayoso. r£n Santiago.i...... D. Manuel de la Riva Moreno. En la Coruñaí...... D. Felipe Elorz. En Valladolid..... D. Luis Francisco de Luis. rEn Pamplona...... D. Miguel Echarri. En Barcelona...... D. Ramón Llordella. En…</t>
  </si>
  <si>
    <t>jEn Canarias........ D. Francisco María Herrera. Malaga......... D. Francisco Escovar. En Orense........ D. Fernando Rey. En Lugo............... D. Josef María Gayoso. En Santiago........ D. Manuel de la Riva Moreno. En la Coruña...... D. Felipe Elorz. En Valladolid..... D. Luis Francisco de Luís. 1 í‘„• En Pamplona...... ’D¿Miguel-Echarrí.o-.i'^:- •. r. á,, En Barcelona... D.…</t>
  </si>
  <si>
    <t>Reyes, Bernarda</t>
  </si>
  <si>
    <t>Bernarda Reyes</t>
  </si>
  <si>
    <t>…fallecimiento de Don Miguel Camacho á D. Juan Josef Perez González , cura párroco de la villa de Sta. Cruz de Tenerife, y la ración que ha vacado en la misma iglesia por muerte de D. Bernarda Reyes á D. Fernando FaLcon y Alvarez. La canongía de la catedral; de Orihuela vacante por fallecimiento de Don Andres;Bayon á D. Bernardo Mafiueco. . La canongía que ha vacado en la metropolitana de Granada por muerte . de D. Antonio Cervino á. D. Alejandro Perez y…</t>
  </si>
  <si>
    <t>Reynat, Francisco de</t>
  </si>
  <si>
    <t>Francisco de Reynat</t>
  </si>
  <si>
    <t>…, én virtud de nombramiento del administrador pet;;petuo de ella y su arzobispado,, á D. Jacobo de León So te lo, medio racio nero en la pEópki..-iglesia: para esta media ración á D. Francisco de Reynat con dimisión del. beneficio que obtierte en la iglesia mayor de StaV María de Carmona: para una capellanía de la iglesia parroquial de S.: Andrés de :1a - -villa de Carrton-tíe los Condes, vacante por fallecimiento de -D.- Ignacio ‘Izquierdo, á D. Juan Diégó,…</t>
  </si>
  <si>
    <t>Reynoso, Fernando de</t>
  </si>
  <si>
    <t>Fernando de Reynoso</t>
  </si>
  <si>
    <t>…e la ciudad y plaza de Almería á D. Ramón Conti, gobernador militar de ella: para el de Alcalá la Real á D. Francisco Gregorio de Vargas Machuca: para el de Xerez de la Frontera á D. Fernando de Reynoso: para el de Antequera á D. Juan de Dios Cevallos; y para el de Ronda á D. J^ef Gregorio Aragón. Para el corregimiento de letras de Mancha Real á Don Femando Segovia: para el de las Alpujarras del reyno de Granada, su ca-^ pita! Uxijar, á D. Joaquín Castells y…</t>
  </si>
  <si>
    <t>Ri, Luis Perez de</t>
  </si>
  <si>
    <t>Luis Perez de Ri</t>
  </si>
  <si>
    <t>…hallaba colocado el retrato del Reí nuestro Señor, cus todiado por los capitanes del regimiento infantería de Plasencia, hoy de Vi toria, según disposición de su gefé el teniente coronel D. Luis Perez de Ri bera: á los costados y balcones colaterales se hallaban muchos vasos de cris tal , que guardando la mas vistosa simetría con sus diversos colores, forma"bari una brillante iluminación. Al siguiente dia por la mañana fue trasladado á la iglesia mayor de esta v…</t>
  </si>
  <si>
    <t>Ri, Manuel</t>
  </si>
  <si>
    <t>Manuel Ri</t>
  </si>
  <si>
    <t>…Provincial de Segovia; á D. Santiago Muriedas, D, Isi doro Moreno, D. Antonio Gallego, D. Juan Calderón, y Di Juan Sierra, del primer Barallon de Voluntarios de Ciudad-Rodrigo; á D. Manuel Ri bero, D. Joaquín Quadrado, D. Francisco Escovar, D. Salvador S. Juan, y D. Josef Renau, del segundo Batallón de idem;á D. Joaquín Rodríguez, 0. Vicente González , D. Fabian de Saave4xa, D. Casimiro Vinuesa, y D. Santiago Gómez, del tercer Batallón de ídem; á…</t>
  </si>
  <si>
    <t>Ribera, Diego Suarez de</t>
  </si>
  <si>
    <t>Diego Suarez de Ribera</t>
  </si>
  <si>
    <t>…de Ginzo de Limia ; para la del partido del Ríos al Lie. D. Jósef Ma ría Lebrou; para la del partido de la Uiloa al Lie. D. Pedro Arias; para la del partiidó de Raeriz dé Veiga á D. Diego Suarez de Ribera ; para la del Í&gt;artido dé Abeancós á D. Josef Garea y Mato; para la del partido de Orce- Ion á D. Juan Romero ; para la del partido de villanueva ae los Infantes al Lie. D. Juan Francisco Arias; para la del partido de Baítar al Lie. D. An tonio de la Sierra y…</t>
  </si>
  <si>
    <t>Ribera, Hermenegildo Rodríguez de</t>
  </si>
  <si>
    <t>Hermenegildo Rodríguez de Ribera</t>
  </si>
  <si>
    <t>…os pagos sin cualidad de fianza de acreedor de mejor derecho, cancelándose las que se hubiesen dado, parándoles todo perjuicio en lo que se actuare. , En virtud de providencia del Sr. D. Hermenegildo Rodríguez de Ribera, del consejo de S. M., oidor de. la Real audiencia de Sevilla y juez civil en la plaza de Cádiz, á r 2 de Junio del corriente año se cita y emplaza á los herederos de la ca sa de Irrisarri, para que en el término de un mes comparezcan en aquel juzgado ci vil…</t>
  </si>
  <si>
    <t>…s créditos; bajo aper cibimiento de que pasados sin que, lo verifiquen , cualquier providencia que se dicte les parará el perjuicio qqéhayjjugar* '• t i _ ... Por. providencia de. D. Hermenegildo Rodríguez de Ribera, del consejo de S. M.',.su oidor en la Real audiencia de Sevilla, y juez de lo civil en la plaza de Cádiz, se cita, llama y emplaza á qualesquiéra personas que se consideren con dere cho contra la testamentaría de D. Estéban Baileras, vecino y del comercio qu…</t>
  </si>
  <si>
    <t>Ribera, Josef Verges Rodríguez de</t>
  </si>
  <si>
    <t>Josef Verges Rodríguez de Ribera</t>
  </si>
  <si>
    <t>…do S. M. pro moverlo á teniente coronel de infantería. ’ El Rey nuestro Señor ha visto con cómplacencia los sentimientos de lealtad y amor á su Real Persona que le han manifestado D. Josef Verges Rodríguez de Ribera, caballero de la Real y distinguida orden de Car los ni , y su hijo D. Josef María, que po satisfechos con haber dexado á favor de la Real Hacienda durante la pasada guerra cerca de 12® reales que produce anualmente la prestamera que disfruta este en ja igles…</t>
  </si>
  <si>
    <t>Ribera, Juan</t>
  </si>
  <si>
    <t>Juan Ribera</t>
  </si>
  <si>
    <t>…o López de Sagredo: para la de Alcañiz á D. Manuel Valonga Zaidin: para la de Casares y su ruebla de Manilva á D. Justo Rodríguez Hurtado de Bruna: para la de Sanlúcar la Ma yor á D. Juan Ribera: para la de Calasparra á D. Josef Antonio Picazo: para la de Jumilla á D. Francisco Morales de los Ríos: para la de Velorado á D. Cosme Moreno y Mérida: para la de la villa del Prado á D. Luis Fran cisco Sanz Teresa: para la de Belmonte á D. Pedro Antonio Mor…</t>
  </si>
  <si>
    <t>Ribera, Nicolao</t>
  </si>
  <si>
    <t>Nicolao Ribera</t>
  </si>
  <si>
    <t>…a i D. Pedro Albo, D. Nicolás Giezar, DvJuanVicente , D. Eduardo Paules , ,D. Francisco Sánchez, D. Josef de Castro, D. Venancio, Garnez , D. Nicolás Laborda, D. Manuel 1 aborda*, D. Nicolao Ribera, D. Gregorio Dalmao ; D. Francisco Navas., D. Filiberto Malus, D.;/Josef •¡Blanco*L). Mariano Córdoba * P. Josef Ferrer, D. Ca yetano Vivar , P,; JqseJ de^fcuenca, EX Francisco Caso, D. Felipe Mendicuti, í). Baltasar Gonzajes* *&gt;¿X;FVancisep de Torres, D. And…</t>
  </si>
  <si>
    <t>Ric, Pedro María</t>
  </si>
  <si>
    <t>Pedro María Ric</t>
  </si>
  <si>
    <t>…a á los 39 años , 7 meses y 12 dias de su edad la Sra. Doña María de la Consola* cion Azlor y VJIJavicencio, condesa viuda de Bureta» y al tiempo de su fallecimiento casada con el Sr. D. Pedro María Ric, barón de V aleteóla vos, regente de la Audiencia de Aragón, y ministro honorario del Real y su premo Consejo de Castilla. La firmeza de carácter', y aquel tesón y cons tancia en sostener sus deberes, dote de las almas privilegiadas, que nace del conocimiento…</t>
  </si>
  <si>
    <t>Rica, Josef Valentín</t>
  </si>
  <si>
    <t>Josef Valentín Rica</t>
  </si>
  <si>
    <t>…á D. Josef Catalan y Calderón: para el de Alcalá de los Gaztiles á D. Josef Roa Rodríguez: para el de Medinaceli á D. Roque Domingo de la Figuera: para el de Becerril de Campos á D. Josef Valentín Rica. Para la vara de alcalde mayor de Fortuna á D. Pedro Josef deíMasegpS*: para la de Rute á D. Manuel de Santo Domingo y Herrera: para la ae lq$. Velez á D. Juan Torrecilla de Robles: para la de Orgiva á D. josef Ruiz Manzano: para la de Huelva á D. Pedro Josef…</t>
  </si>
  <si>
    <t>Rica, Pablo</t>
  </si>
  <si>
    <t>Pablo Rica</t>
  </si>
  <si>
    <t>…gos de su Real generosidad con diferentes individuos, confirió las gradas del grado de coronel al tenien te coronel graduado D. Baltasar Sandóvaí, y el empleo de ayudante al sub-í teniente D. Pablo Rica, encargado del detall del mismo cuerpo: por ulti mo, en medio de un doro viento, incómodo por el mucho polvo que pro movía, tuvo la paciencia de ver formada, y maniobrar á su frente la oficia lidad y tropa que pudo reunirse en aquel momento: subsistió en todo…</t>
  </si>
  <si>
    <t>Ricafort, Mariano</t>
  </si>
  <si>
    <t>Mariano Ricafort</t>
  </si>
  <si>
    <t>…nvoy dieron todo el auxilio que puede imagi narse, y endo I en muchos de ellos oficiales del egército; habiéndose singulari zado entre todos el coronel de cazadores de Estremadura D. Mariano Ricafort, que con su egemplo y autoridad obligó á los botes á aproximarse cuan to era posible ál navio. Este se encuentra, según el reconocimiento hecho, hoy sobre sus cables, y no habiendo buzos, los he pedido por oficio al go bernador de Margarita, para aprovechar,…</t>
  </si>
  <si>
    <t>Ricardos-</t>
  </si>
  <si>
    <t>…de 93, 94 y.9f . Én Pontellas, en las llanuras de C^nons , sobre Perpiñan , en el Conflertt y én otros puntos del .Rosellon se distinguió muy. par ticular mente ,:y mereció que el general Ricardos- leí fiase' éi mandó; de úna vanguardia. En los críticos días én que los Franceses amenazaron envolver el campo del Boirlou defendió vigorosamente el reducto de Geretatacado f</t>
  </si>
  <si>
    <t>Rico, Francisco</t>
  </si>
  <si>
    <t>Francisco Rico</t>
  </si>
  <si>
    <t>…D. Josef Rubio ¡ B. 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 Zaballa , D. Juan Ilzalbe, D. Ventura Correjes, D. Agus…</t>
  </si>
  <si>
    <t>Ridoces, Juan Roza</t>
  </si>
  <si>
    <t>Juan Roza Ridoces</t>
  </si>
  <si>
    <t>…Miguel de Salazar y Sandobal: para la de Aguilar del Rio Alhama á D. Juan Ricardo Lozoyo: pa ra la de Castro del Rio á D. Antonio María Navarro: para la de Villarejo de Fuentes á D. Juan Roza Ridoces: para la de Lerin a D. Francisco Mi guel Lombardo: para la de Villalon á D. Saturnino Tablares: para la de Guernica á D. Josef Manuel dp Aizpuru: para la de Jerez de la Frontera ID. Juan de Dios Aguilar: para la de Cervera del Rio Alhama á D. Miguel Antonio R…</t>
  </si>
  <si>
    <t>Riegas, Josef</t>
  </si>
  <si>
    <t>Josef Riegas</t>
  </si>
  <si>
    <t>…ciller del consejo de Hacienda. Una persona, cuyo nombre no se publica, 300 rs. ca da año durante la guerra , y los recibos de préstamos y suministros que ha hecho en la anterior. D. Josef Riegas los sueldos que se le deben á razón de 400 ducados desde 9 de Julio de 1813 hasta 17 de Agosto de 1814. Una persona, cuy9 nombre no se publica, 3600 rs. y el sueldo de seis meses que</t>
  </si>
  <si>
    <t>Riego, Angel González del</t>
  </si>
  <si>
    <t>Angel González del Riego</t>
  </si>
  <si>
    <t>…. Ma riano Mateus: para tenencias en las mismas compañías á los alféreces Don Joaquín Gasteaburu y D. Pablo García Rivas; para una subtenencia de lás mismas al soldado distinguido D. Angel González del Riego: para dos ayu^&gt; dantías en el regimiento de caballería de Truxsilo á los tenientes D. Martín Josef Ostolaza y D. Josef Cíemente Merino; para otra en el de infantería de Caxámarca ai teniente D. Juan Francisco de Arana i para tres tenencias en el propio regimi…</t>
  </si>
  <si>
    <t>Riesco, Francisco María</t>
  </si>
  <si>
    <t>Francisco María Riesco</t>
  </si>
  <si>
    <t>…enito Josef de Casas, beneficiado de Peñafiel, y fiscal general del obispado de Paíencia: para otra canongía de la de Sala manca, vacante por muerte de D. Josef María Pichardo", á D. Francisco María Riesco, inquisidor de corte: para otra canongía de la catedral de Ciudad-Rodrigo, vacante por muerte de D. Manuel Blanco Cedrón , á Don Sebastian Gallardo, racionero de la misma catedral: para esta resulta á D011 Agapito Gallardo: para otra canongía de la catedral d…</t>
  </si>
  <si>
    <t>…racias por tan honrosa distinción. Posteriormente en el dia 18 pasó el Excmo. Sr. inquisidor general, acompañado de los tres inquisidores Dres. D. Francisco Xavier Sainz Escalera, D. Francisco María Riesco y D. Valentín Zorrilla de Velasco á besar su Real mano, y-manifestar su jus to reconocimiento á un favor tan singular , que siempre quedará grabado en sus corazones; en cuyo acto dixo S. E, lo siguiente: ,, Señor: Dios, que por Sus justos é* incomprehensibles juicios quiso que el t…</t>
  </si>
  <si>
    <t>…eal de Ronda , y regidor decano de la misma. • % f Ultimamente el día 21 de Julio se presentaron á cumplimentar á S. M. con igual motivo-á nombre de la ciudad de Llerena los Sres. D. Francisco María Riesco, del consejo de S. M., é inquisidor «del tribunal de corte, y J&gt;. Antonio María Izquierdo, del orden de S. Juan, su capellán de honor&gt; . y secretario de cámara del Sermo. Sr, Infante I). Carlos María, como gran prior, de la misma orden militar de S. Juan en l…</t>
  </si>
  <si>
    <t>Rigaud</t>
  </si>
  <si>
    <t>…las calles, y atacó á la infan tería francesa reunida en diferentes barrios, la dispersó completamente, y se hi zo dueño de la plaza, apoderándose de 600 infantes, entre ellos el general Rigaud y otros oficiales y seis piezas de artillería. El Archiduque Fernando refiere que ha creído necesario dejar toda la di visión austríaca de Mazzuchelli delante de Schlesttadt por tener el enemigo una guarnición de 6® hombres. El cuartel general de S. A. I. est…</t>
  </si>
  <si>
    <t>Rincón, Mauricio Justo del</t>
  </si>
  <si>
    <t>Mauricio Justo del Rincón</t>
  </si>
  <si>
    <t>…nción de la Real, alcaidía de corte7 qué está formada á pedimento de los.acreedores censua listas á la misma, se ha mandado que estos comparezcan en ia escribanía de provin cia de D. Mauricio Justo del Rincón á las cuatro en punto de la tarde del lúnes 31 del corriente mes, para formar Ja distribución que Jes corresponda del líquido de las cuentas presentadas por el alcaide; lo que se les hace saber para que llegue á su noticia, parándoles el perjuicio que haya lu…</t>
  </si>
  <si>
    <t>Rio, Fermín del</t>
  </si>
  <si>
    <t>Fermín del Rio</t>
  </si>
  <si>
    <t>…blo de Cuellar de la misma,' el Dr. D. Blas Ostolaza,confesor honorario de S. M., deán de la santa iglesia de Cartagena,é individuo de la condecoración de la Lealtad de Valencjay; D. Fermín del Rio, teniente de arcipreste del Cam po y cura de Ventosa, y D. Juan Josef Alvarez, vecino de dicho pueblo de Cuellar; el primero dixo el discurso siguiente: ,, Señor : el arciprestazgo del Campo , en la provincia de Soria , y el pue blo de Cuellar de la misma, no…</t>
  </si>
  <si>
    <t>Rio, Isidro del</t>
  </si>
  <si>
    <t>Isidro del Rio</t>
  </si>
  <si>
    <t>…Josef Guerrero, D. Juan de Castro, D. Juan López, Don Pedro Santistéban y D. Josef Novoa, del de Lugo; D. Luis Blanco, Don Pedro Iglesias, D. Pedro Ruiz Peña, D. Pedro Rodríguez, D. Isidro del Rio, D. Antonio Arias, D. Manuel Quiñones, D. Carlos Mota, D. Auto-</t>
  </si>
  <si>
    <t>Rio, Josef del</t>
  </si>
  <si>
    <t>Josef del Rio</t>
  </si>
  <si>
    <t>…llero;, D. Juári. Villavrcencio, D. Alejandro Beyens, D. Vi-, pente Méndez-, ,D..Ántontp del- Corro, Di Antonio Roso, D. Juan Robion, I&gt;. Josef Car rabedo, D. Francisco: del Moyo, D. Josef del Rio, D. Domin go Monduiña , D. Manuel Diaz Herrera, D. Josef del Calvo, D. Manuel Bar rientes; D. Juan Robles , D. Fráncisco de los Hoyos, D. Gerónimo Fuen-?, mayor, D. Juan Becerra, D. Bernardo Tacón, D. Francisco Boneo, D. Jo sef Zorrilla, D. Santiago Regañón,…</t>
  </si>
  <si>
    <t>Rio, Josefa del</t>
  </si>
  <si>
    <t>Josefa del Rio</t>
  </si>
  <si>
    <t>…o$ parí' verificar la qúsma de las qúe cor respondiese según ordenanza , fueron'reservados'dé ¿Ha los Vales y documentos si guientes 1 un vale de g6ó:pesos r(úm;'44Í2O9 i fívór de Doña Josefa del Rio y- Zarate, que debió presentarse para sd1 retiovacim¿ en Abril de 1809í obro idéin; núint. 4360.4 $: otro ,de 150 pesos núm.449458:/i Favor de D. Antonio Pablo de Udaeta, quedebió presentarse parasuTenovacíoh en Diciembre de 1808 : otro¡demonárh.. 258345/: ot…</t>
  </si>
  <si>
    <t>Rio, Luís Gonzalo del</t>
  </si>
  <si>
    <t>Luís Gonzalo del Rio</t>
  </si>
  <si>
    <t>…Sr. D. Tadeo Soler ,, del consejo de S. M., alcalde decano de la Real casay corte, se lia servido convocar ;í junta general á todos los acreedores á la casa-co mercio del difunto D. Luís Gonzalo del Rio para el domingo 10 de Diciembre pró ximo á la» nueve de su mañana en su posada» caite de Fuencarraljunto á ia casa de Astrearena. Lo. que se avisa por el presente á todas las. personas, que sean acreedores á dicha casa , para que comparezcan por sí ó persona…</t>
  </si>
  <si>
    <t>Rio, Pedro del</t>
  </si>
  <si>
    <t>Pedro del Rio</t>
  </si>
  <si>
    <t>…Aguilera, comisario ordenador honorario, caballero maestrante de Ronda, y regidor decano de la villa de Cabra , 52701 rs. y los,de nativos que hizo hasta 31 de Diciembre de 1809. D. Pedro del Rio, vecino y labrador de esta corte, 491923 rs. en créditos. S. M. se^ha servido admitir dichos donativos, mandando seden gracias á los interesados, y que se publiquen en la gaceta estos rasgos de generosidad. El comisario general de los Reales egércitos de S. M…</t>
  </si>
  <si>
    <t>Riol, Benito Estaun de</t>
  </si>
  <si>
    <t>Benito Estaun de Riol</t>
  </si>
  <si>
    <t>…ongregación del Oratorio, y de la academia de las ciencia de Lisboa; traducida y exornada con un compendio histórico, un mapa geográficos otras notas, y estampas finas, por,el Dr. D. Benito Estaun de Riol, presbítero, tres tomos en 8.° mirquiUa. Se hallará en la librería de Calleja, calle de las Car-,, retís, frente á la imprenta Real, á 45 ra. en' pasta. El Duelo de la Inquisición, ó pésame que un filósofo Táñelo de la América septentrional di á sus amados co…</t>
  </si>
  <si>
    <t>Ríos, Antonio</t>
  </si>
  <si>
    <t>Antonio Ríos</t>
  </si>
  <si>
    <t>j ^ 2 MURCIA. Capellanía de D. Antonio Ríos. Una-casita en.Murcia, ca lle de Baeza, num. 4: otra en id. callejón de Huertas, núm, 13: otra casa en id. plazuela de Rubio, núm. 10 : otra en id. calle la Herradura, arruinaT da: otra y 13 tahulias en el partido, del Rincón de Secas, jurisdicción de Murcia:…</t>
  </si>
  <si>
    <t>Riosoto, Antonio</t>
  </si>
  <si>
    <t>Antonio Riosoto</t>
  </si>
  <si>
    <t>…arza , D. Andrés ArtiatyD. Josef Dalpy D. Josef Navarro, 0; Baltasar Co&gt; mellas, 0. Juan Brayo, D. Josef González Merino, D. Joaquín Aguado , Bou Ramón Palacio, D. Josef Meneses , D. Antonio Riosoto , 0. Manuel Monde* toro, D. Manuel Crespa, D. Luis María Sarasti, D. Tomas Orive, 0. Ma« jnuel Cayaleri , D. Agustín del Barco, D. Francisco Andrada, D. Juan Ltí« »ás,D. Joaquín ALvarez Maldbnado, 0. Rodrigo Sánchez Airona, D. RaU* hiel Arango, D. Lean. Grl d…</t>
  </si>
  <si>
    <t>Riozo, Antonio</t>
  </si>
  <si>
    <t>Antonio Riozo</t>
  </si>
  <si>
    <t>…Maya y D. Antonio Suarez, y al subteniente D. Antonio Rosada, del regimiento de Barbastro, al sargento mayor de milicias D. Josef Olasarra, al comandante accidental de artillería D. Antonio Riozo, al teniente del mismo cuerpo D. Agustín Rodríguez , á un pardo comandante del escuadrón de Gorrín, y al comandante Vargas del batallón de infantería. Todo lo quede-* vo ai superior conocimiento de V. E. para su inteligencia y satisfacción.” Por Real resoluci…</t>
  </si>
  <si>
    <t>Risel, Ramón</t>
  </si>
  <si>
    <t>Ramón Risel</t>
  </si>
  <si>
    <t>socio protector de la misma D. Ramón Risel leyó un discurso relativo á las utilidades y ventajas de este arte. , Concluidos los exáipenes se procedió á la .adjudicación de premios en la forma siguente: el i.° á D. Fernando Arranz de la Torre: el 2.° á D. Juan Fíepomuceno Magan: el 3.0 á D. Pascual Ase…</t>
  </si>
  <si>
    <t>Rivadeneyra, Ignacio Yañez</t>
  </si>
  <si>
    <t>Ignacio Yañez Rivadeneyra</t>
  </si>
  <si>
    <t>…i Y' ' • ; * 1 "? ' ■': &gt; • 1 &lt; *í&gt; A instancia de los procuradores generales de los partidos de Zamora , ,y á consulta de la cámara, seiba servido el Rey prorogar por seis años á Don Ignacio Yañez Rivadeneyra en el corregimiento de aquella ciudad. , , Articulo comunicado por la primera secretaría de Estado. Atendiendo el Rey nuestro Señor-á que el establecimiento botánico:d¿ esta corte produzca baxo todos sus aspectos toda la utilidad y ventajas á que es capaz de…</t>
  </si>
  <si>
    <t>…: para el de Olmedo á Don Gil de S. Juan Benito: para la vara de alcalde mayor de Málaga á D. Vicen te de Tormo y Pont: para la de la Isla de León , de tercera ó superior clase, á D. Ignacio Yañez Rivadeneyra; y para la de Badajoz á D. Antonio Jo sef Galindo: y últimamente se ha servido S. M. reponer á D. Autoría Pier nas en el corregimiento de Montilla para que le sírva por seis años: á Don Josef Pascual Bayot para que continué sirviendo por otros seis la vara de…</t>
  </si>
  <si>
    <t>…Orde nes: á. D, Manuel Antonio Caballero del Pozorhonores de fiscali.de! crimen de la audiencia dé Sevilla, y le ha; nombrado S. M. para que sirva &lt;en comi sión dicha fiscalía: á D. Ignacio Yañez Rivadeneyra, alcaide mayor de la Isla de León, se ha servido concederle, á consulta de la cámara, Honores de alcalde del crimen de la chancillería de Valladolid: de alcalde.del crimen de la de Granada á D. Ignacio Mariano de Mendoza, alcalde mayor de Murcia* y á D. Juliá…</t>
  </si>
  <si>
    <t>Rivarola, Agustín de</t>
  </si>
  <si>
    <t>Agustín de Rivarola</t>
  </si>
  <si>
    <t>…e Sevilla, beneficia-» do de la parroquia de S. Juan de Málaga.= La canongía de ia iglesia primalda de Toledo, que ha vacado por fallecimiento de D. Pablo Nicolás de San Pedro , á D. Agustín de Rivarola, prelado doméstico de S. S.; y la capella-1 nía de coro de ia misma iglesia, vacante por muerte de D. Josef Monedero»i D. Ignacio Fernandez Fuentes. = La abadía que ha vacado en la iglesia colé-' gial dé Jerez de la Frontera por muerte de D. Diego Gómez Recio…</t>
  </si>
  <si>
    <t>Rivas, Josef</t>
  </si>
  <si>
    <t>Josef Rivas</t>
  </si>
  <si>
    <t>…leros D.^ Miguel Román, D. Francisco Josef Miura y D. JoSef Céspedes: ¿ subtenientes de fusileros á los de bandera D. Antonio Saez, D» Franciscó Caro, D. Juan Tomas de la Torre y D. Josef Rivas: á subtenientes de ban dera ¿ los cadetes D. Josef María Arroyo, D. Pedro Safazar, D. Diego Li atón, y kl sargento primero de granaderos D. Serafín Adrián. En consideración al mérito contraído en la Florida Oriental en las últi mas ocurrencias por los milicia…</t>
  </si>
  <si>
    <t>Rivas, Juan Bautista Higinio de</t>
  </si>
  <si>
    <t>Juan Bautista Higinio de Rivas</t>
  </si>
  <si>
    <t>…n., por cuyo me dio podrán lograr los jugadores cualesquiera de las tres indicadas suertes. Y se participa al público para su noticia é inteligencia. Se desea saber el paradero de D. Juan Bautista Higinio de Rivas, natural del reino de Aragón, hijo legítimo de D. Tomas de Rivas y de Doña Micaela Andrés, que nació en Enero de 1758, el que hace algunos años pasó á las Américas espa ñolas. El que supiese de su existencia Ó fallecimiento se dignará avisar en Madrid i D. Ma…</t>
  </si>
  <si>
    <t>Rivas, Manuel López de</t>
  </si>
  <si>
    <t>Manuel López de Rivas</t>
  </si>
  <si>
    <t>…cto, tiene de sitio 9186 pies de area plana quadrados, y está tasada en 42164 rs. Quien quisiere hacer postura á ella acuda ante dicho señor juez por la escribanía de provincia de D. Manuel López de Rivas, donde se admi tirán siendo arregladas. Se halla vacante la plaza demaestro de primeras letras de la villa de Morata, del partido de Ocaña, .en la provincia de Toledo: su dotación son 300 ducados anuales, 14 fanegas de trigo por la obligación de enseñar sin i…</t>
  </si>
  <si>
    <t>1124 Hallándose radicados en el juzgado dcTseííor alcalde de casa y corte D. Josef Manuel de Arjona, y escribanía de provincia de D. Manuel López de Rivas, los autos de testamentaría formados por los respectivos fallecimientos de Braulio Alcá zar, su muger Martina Barragan, y María García, madre de esta, vecinos que fue ron de los lugares de Carabanchel alto y bajo, á instancia de sus herederos se ha mandado ci…</t>
  </si>
  <si>
    <t>…le ni emplazarle, le parará el perjuicio que haya lugar. En virtud de providencia del Sr. D. Josef Manuel de Arjona, del consejo deS. M , su alcalde de casa y corte, refrendada de D. Manuel López de Rivas, es cribano de provincia y comisiones de la misma, se ha mandado celebrar junta ge neral á la presencia judicial de los acreedores é interesados á la testamentaría de Don Manuel Itíescas, vecino que fue de esta corte, señalando para ella el sábado 28 de Octub…</t>
  </si>
  <si>
    <t>…poca no serán admitidas por motivo alguno. Por la audiencia civil dél Sr. D. Josef Manuel de Arjona, del-consejo de S. M.f su alcalde de casa y corte, y escribanía de provincia de D. Manuel López de Rivas, .se están siguiendo autos de abintestato á los bienes que han quedado por el fa llecimiento acaecido en esta corte en 7 de Agosto del presente año de D¿ Santiago Bomfils, natural que fue de la ciudad dé Nápoles, en Italia, i los que ha salido una hermana del…</t>
  </si>
  <si>
    <t>Rivas, Miguel de</t>
  </si>
  <si>
    <t>Miguel de Rivas</t>
  </si>
  <si>
    <t>…etario con exercicio de decretos, y comisario ordenador de sus Reales exércitos, ha venido en condecorarlo con la cruz supernumeraria de la Real y distinguida orden de Carlos iii. D. Miguel de Rivas, cura y beneficiado propio de la iglesia mayor de Sta. Cruz de la ciudad de Ecija, penetrado del mas vivo sentimiento por las urgencias del estado, ha hecho á S. M. la oferta de los frutos vencidos y depositados en el administrador de vacantes de aquel arzobi…</t>
  </si>
  <si>
    <t>Rivas, Tomas de</t>
  </si>
  <si>
    <t>Tomas de Rivas</t>
  </si>
  <si>
    <t>…s suertes. Y se participa al público para su noticia é inteligencia. Se desea saber el paradero de D. Juan Bautista Higinio de Rivas, natural del reino de Aragón, hijo legítimo de D. Tomas de Rivas y de Doña Micaela Andrés, que nació en Enero de 1758, el que hace algunos años pasó á las Américas espa ñolas. El que supiese de su existencia Ó fallecimiento se dignará avisar en Madrid i D. Manuel de Uliarté, del comercio, en la plaza Mayor, y en Daroca á D…</t>
  </si>
  <si>
    <t>Rivas, Vicente Ailíon y</t>
  </si>
  <si>
    <t>Vicente Ailíon y Rivas</t>
  </si>
  <si>
    <t>…o ’de D. Bernardo Octavia, á 0. Est^baa García», cur# párroco del lugar de Almasaño. , ; f • r La media-ración vacante en la catedral dé Cuenca por muerte de DJuan ' Pablo Muñoz * D. Vicente Ailíon y Rivas. r „ . -. ^ La canongía que ha vacado en la Colegiata .de Baza por fallecimiento de 0. Wolfango Vicente de Hore á D. Manuel López Morcillo. . . , Vr La canongía vacante en Ia: colegiata dé Sta. Mana de irianavia/ctel Pa— dron, arzobispado de Santiago, por mue…</t>
  </si>
  <si>
    <t>Rivaud, Conde</t>
  </si>
  <si>
    <t>Conde Rivaud</t>
  </si>
  <si>
    <t>XI37 prefecto que por su jurisdicción yan á pasar muchas tropas, y que espera le proporcione auxilios para que no carezcan de nada. Nantes 15 de Setiembre. , El comandante general Conde Rivaud de la Raffimiere, comandante de Ja 12.a división militar , ha mandado que en conformidad á las licencias con cedidas á las tropas francesas, deben atravesar los departamentos del Vendee, de Deux-Sevres y del Loira inferior, para irá su destino, varios destaca…</t>
  </si>
  <si>
    <t>Rizó, Josef</t>
  </si>
  <si>
    <t>Josef Rizó</t>
  </si>
  <si>
    <t>…Victoríno,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Sayago, D. Jldef…</t>
  </si>
  <si>
    <t>Rníz, Pío</t>
  </si>
  <si>
    <t>Pío Rníz</t>
  </si>
  <si>
    <t>…. Juan Amonio Barona y D. Josef León de Madrazb , montero de cámara de S. M.; regidores perpetuos D. Jacinto. Cilleruelo , D. Josef Rodrí guez Cermeño, D. Juan? Alonso de Prado, y D. Pío Rníz; diputados del común D. Manuel de Quevedo y D. Manuel Ignacio López; procuradores síndicos generales; El. Vicente de Mariscal y £&gt;.. Francisco Sanz Escolar, escribanos propietario y teniente del ¡lustre ayuntamiento, y los señores D. Josef María Roxas, corone…</t>
  </si>
  <si>
    <t>Ro, Francisco</t>
  </si>
  <si>
    <t>Francisco Ro</t>
  </si>
  <si>
    <t>…dríguez de la Barcena, medio racionero de la misma iglesia, en premio de sus distinguidos servicios á la religión, al Rey y al estado; y para lá media ración que resulta vacante á D. Francisco Ro mero y Liñan, cura de S. Vicente de dicha ciudad de Sevilla. Y en consir deracion á los méritos de D. Josef Freyre y Reguera, y á los particulares que contraxó sü padre D. Manuel Frey re Castrillon mientras que estuvo dé diputado á las Cortes llamadas general…</t>
  </si>
  <si>
    <t>Ro, Manuel de</t>
  </si>
  <si>
    <t>Manuel de Ro</t>
  </si>
  <si>
    <t>…; á 0. Fernando Alcocer, D. Josef Gines de Zamora, 0. Joaquín. Esoatolero, y D. Rafael Pizarro , Capitanes del Regimiento de Mallorca; á D. Ildefonso Prieta, D. Angel Castellanos, D. Manuel de Ro— xas, y D. Segundo García, Capitanes de Voluntarios de Avila ; á D. Pas cual Coca , D. Cenon López, 0. Bernabé Porián, y D. Josef Diaz, del primer Batallón de Ciudad-Rodrigo; á D. Antonio Echenique, D. Domin go García , D. Hénrique Arias, D. Vicente Xerez , y…</t>
  </si>
  <si>
    <t>Ro, Silvestre</t>
  </si>
  <si>
    <t>Silvestre Ro</t>
  </si>
  <si>
    <t>…ta de Sta. Ana en la misma ciudad dé Barcelona, vacante pot muerte de D. Ramón Besart, á D. Juan Gerardo Fosch. = En ia cate dral de.Mondoñedo una canongía, que vacó por muerte de D. Silvestre Ro dríguez, á D. Juan de Ceñal, cura de la parroquial de Sta. María de Pinera, diócesis de Oviedo; y la que obtuvo D. Manuel de la Fuente en la propia cate dral á D. Josef Antonio Díaz Pallarás, canónigo de la colegiata de Iría Flavia. = La canongía vacante en l…</t>
  </si>
  <si>
    <t>Ro-, AÍaria</t>
  </si>
  <si>
    <t>AÍaria Ro-</t>
  </si>
  <si>
    <t>…^d -^cendia ^O/vdas, ni quáles/eran síw números; pero no se dudaqueera,CQ$a &lt;^e mupha consideración, y que los ,en-’ «fosos serian a favor del mismo D. Antonio ó de su madre viuda Doña AÍaria Ro- ¿ «a; y como lia podido acontecer que estos vales se extraviasen de la casa del difuiir to, ó del parage donde estaban, sé suplica á quálquierá que sepa su paradero, o pue-~ da dar alguriar noticia sobre cllÓ, qué se sitvd^a.visarlo á D. (daspar.Borráá ^ribld…</t>
  </si>
  <si>
    <t>Ro-, Manuel</t>
  </si>
  <si>
    <t>Manuel Ro-</t>
  </si>
  <si>
    <t>…awolomé Pombo, D. F rancisco Ortega , D. Miguel Polidoro y D. Josef Trillo, D. Manuel* Diez tarabilla , D. Francisco Estrada, D, Manud Lebony D. AntonioiMangas ,;D. Alonso García, D. Manuel Ro-</t>
  </si>
  <si>
    <t>Ro-í, Braulio</t>
  </si>
  <si>
    <t>Braulio Ro-í</t>
  </si>
  <si>
    <t>…ría : grado de tenientes á los guardias Dori Juan Nepbmuceno Roldan, D. Laureano Melena, D. Josef Sandoval, t). An&gt; • tonio Megía, É). • Eugenio Ábergoza , D. Francisco Aguírre , D. Braulio Ro-í drigo, D. Manuel Medina , D: Josef Ria ño y D. Benito Coca. (Se continuará.) t , Artículo de, .oficio del ministerio de la Guerra. &gt; , ;[ En el despacho de hoy he hecho presente al Rey nuestro Señor lo qué ■ : 1'• - ‘■:r' ,r •sigue: "v , „ Señor : Cuando guia…</t>
  </si>
  <si>
    <t>Robert</t>
  </si>
  <si>
    <t>…- -;•. r, I Por dos veces* se- ha repetido? la órden de que* la escasa guarnición de Pérpiñan sé trasladase 'á 1o interior de Francia f reemplazándola la guardia nacional; pero el general Robert, que manda allí, persiste representando pa ra retenerlay antes de ayer no habia salido todavía. Los administradores de rentas 'han recibidoórden de procurar reunir al exérdfcildáós los empleados eh el resguardo, aun quando con esra medida no pueda hnpedivséel…</t>
  </si>
  <si>
    <t>…de un armamento naval, que mandará Sidney Smith. ESPAÑA. Barcelona 10 de Mayo. El día ó del corriente llegó á Perpman un correo con orden para apear del mando de aquella plaza al general Robert, con cuyo motivo el pueblo alborozado arrancó de las esquinas todos los edictos que ha bia firmados por él, y manifestó un entusiasmo extraordinario á favor de Luis xvm. r . &lt;&gt; Los jóvenes comprehendidos en la conscripción de este año manifiestan de cada dia…</t>
  </si>
  <si>
    <t>Roberto</t>
  </si>
  <si>
    <t>…ber en esta capital ó demás pueblosT del Reyeo de las casas ‘de. lqs comer ciantes contra los que se siguen los referidos pleytos, particular píente cle^o? principales demandados D. Roberto y^D, Joan Oliver, y D. David P.arish,/ á fin de que puedan asistir al eximen legal de testigos y documentos. Lo que se hace saber por medio de los papeles públicos para lo&amp; efectos con venientes. ■ ~; * día jrcTdé teniente de granaderos del regimiento de infa…</t>
  </si>
  <si>
    <t>Robinson</t>
  </si>
  <si>
    <t>…austríaco barón Lauer supo vencer todos los obstáculos que presentaban las baterías; y ha biéndose puesto de acuerdo con el comandante de marina ingles, sostenido pór el valiente coronel Robinson, empezó en la mañana del 17 el bombar deo por todos los puntos. —Mas de 200 bocas de fuego batían por todas partes y arruinaban la ciudad, y entre varios de sus edificios se ha incendia do la famosa torre de Orlando.__»El general y las tropas austríacas, tosc…</t>
  </si>
  <si>
    <t>Robion, Juan</t>
  </si>
  <si>
    <t>Juan Robion</t>
  </si>
  <si>
    <t>…acio de Rojas, D¿ Antonio Garrapedo, D. Fran-t pisco Ruiz Caballero;, D. Juári. Villavrcencio, D. Alejandro Beyens, D. Vi-, pente Méndez-, ,D..Ántontp del- Corro, Di Antonio Roso, D. Juan Robion, I&gt;. Josef Car rabedo, D. Francisco: del Moyo, D. Josef del Rio, D. Domin go Monduiña , D. Manuel Diaz Herrera, D. Josef del Calvo, D. Manuel Bar rientes; D. Juan Robles , D. Fráncisco de los Hoyos, D. Gerónimo Fuen-?, mayor, D. Juan Becerra, D. Bernardo Tacó…</t>
  </si>
  <si>
    <t>Robledo, Josef</t>
  </si>
  <si>
    <t>Josef Robledo</t>
  </si>
  <si>
    <t>…n go García , D. Hénrique Arias, D. Vicente Xerez , y D. Juan Ferrero, Sargento mayor y Capitanes del segundo Batallón de Ciudad- Rodrigo; á 0. Patricio Iñiguez, D. Blas Carrasco, D. Josef Robledo, y D. Antonio Garrido, Capitanes dél tercer Batallón de la misma denominación, y á Don Francisco Huerta, Ayudante de la Plaza de Ciudad Rodrigo: al grado de Capitán á los Tenientes D. Pablo Baza, del Real Cuerpo de Artillería, 0. Tomas Yarto, D. Santiago Oter…</t>
  </si>
  <si>
    <t>Robles', Josef de</t>
  </si>
  <si>
    <t>Josef de Robles'</t>
  </si>
  <si>
    <t>…apilla, vacante por muerte dé D. Antonio Terri, á D. Josef Zorrilla de la Roería. La dignidad de maestrescuela que vacó en la iglesia metropolitana de Granada por fallecimiento de D. Josef de Robles' á D. Francisco Plácido Bocanegra, canónigo doctoral de la misma iglesia; la dignidad de prior, vacante por muerte de D. Geroteó Bringas de la Torre, á D. Andrés García Mellado, canó nigo de la iglesia colegial de S. Isidro de esta corte, y la canongía que ha…</t>
  </si>
  <si>
    <t>Robles, Josef Amat y</t>
  </si>
  <si>
    <t>Josef Amat y Robles</t>
  </si>
  <si>
    <t>…El Rey nuestro Señor ha venido en conceder cruz supernumeraria de la Real y distinguida orden española de Carlos m á D. Cários Do wnie, te niente coronel de la Legión extremeña; á D. Josef Amat y Robles, corre gidor de la ciudad de Alcántara ; á D. Alonso González Sotro, maestrante de la Real de Ronda,, y á D. Josef Atanasio de la Rosa, en atención á sus respectivos méritos y servicios. Atendiendo S. M. á los méritos literarios y servicios patrióticos con qu…</t>
  </si>
  <si>
    <t>Robles, Juan</t>
  </si>
  <si>
    <t>Juan Robles</t>
  </si>
  <si>
    <t>…nio Roso, D. Juan Robion, I&gt;. Josef Car rabedo, D. Francisco: del Moyo, D. Josef del Rio, D. Domin go Monduiña , D. Manuel Diaz Herrera, D. Josef del Calvo, D. Manuel Bar rientes; D. Juan Robles , D. Fráncisco de los Hoyos, D. Gerónimo Fuen-?, mayor, D. Juan Becerra, D. Bernardo Tacón, D. Francisco Boneo, D. Jo sef Zorrilla, D. Santiago Regañón, D. Josef Maestre, D. Josef Olaeta■, Don Andrés Pitadaveyga, D. Ramón Bañuelos, -D. ♦ Juan Duran, D. Simón…</t>
  </si>
  <si>
    <t>Robles, Juan Torrecilla de</t>
  </si>
  <si>
    <t>Juan Torrecilla de Robles</t>
  </si>
  <si>
    <t>…os á D. Josef Valentín Rica. Para la vara de alcalde mayor de Fortuna á D. Pedro Josef deíMasegpS*: para la de Rute á D. Manuel de Santo Domingo y Herrera: para la ae lq$. Velez á D. Juan Torrecilla de Robles: para la de Orgiva á D. josef Ruiz Manzano: para la de Huelva á D. Pedro Josef Moyano y Díaz :{ pára la de Valíadolid á D. Fé lix Gallego: para la de Tarifa á~D. Manuel González Pintp: para la de Moguer á D. Pascual Félix Pui; y para la de Ífernan-Nufiez i D.…</t>
  </si>
  <si>
    <t>Robles, Manuel de</t>
  </si>
  <si>
    <t>Manuel de Robles</t>
  </si>
  <si>
    <t>…á D. Joan Bau tista de Arana, cura de la villa de Ataquines en el obispado de Avila: pa ra la abadía de la iglesia colegial de Lorca, diócesis de Cartagena, vacan te por muerte de D. Manuel de Robles , á D. Vicente Agustín Prieto, ca nónigo de la misma colegial; y para una canongía de la iglesia colegial de S. Felipe de Xátiva en el arzobispado de Valencia, vacante por muerte de D. Vicente Eiíin, á Fr. D. Josef Rives y Alonso. En atención á los distinguid…</t>
  </si>
  <si>
    <t>Robles, Miguel María</t>
  </si>
  <si>
    <t>Miguel María Robles</t>
  </si>
  <si>
    <t>…Cazadores del Rey; D. Rainon Maurin, del de Zaragoza; D. Gregorio Flores, D. Juan Miguel Rodríguez, D. Eusebio Rodríguez, D. Francisco Masías, D. Pedro Rodríguez, D. Manuel Diez, D. Miguel María Robles, D. Pedro Maratino, D. Francisco Antonio Pe rez y D. Manuel Martínez, del de Voluntarios de León; D. Raymundo Provedo, D. Cipriano Alvarez, D. Mariano López y D. Andrés Garrido, del de Voluntarios del Ribero: de Subteniente á D. Pedro Losada, D. Jo sef Novale…</t>
  </si>
  <si>
    <t>Roca, Bernardo</t>
  </si>
  <si>
    <t>Bernardo Roca</t>
  </si>
  <si>
    <t>…á los asun tos que dexó pendientes el citado conde, se presenten á deducirla con la compe tente justificación , ó en Cádiz á la casa de Aguado y Guruzeta, ó en Guayaquil en la de D. Bernardo Roca; pues habiendo fallecido D. Antonio Divicia, que que dó hecho cargo de ellos, dexando varias materias pendientes, se necesita allí para 8ü arreglo una persona de legítima representación. El Diablo cojuelo: verdades soñadas y novelas de la otra vida: traducida…</t>
  </si>
  <si>
    <t>Roca, Jóséf de</t>
  </si>
  <si>
    <t>Jóséf de Roca</t>
  </si>
  <si>
    <t>…Francisco Boneo, D. Jo sef Zorrilla, D. Santiago Regañón, D. Josef Maestre, D. Josef Olaeta■, Don Andrés Pitadaveyga, D. Ramón Bañuelos, -D. ♦ Juan Duran, D. Simón Poncé pjeLeón, D. Jóséf de Roca, D. Francisco de la Rosa, D. Alonso Tiscar* P. Manuel Tosta, D. Francisco Alameda, D.. Tomas Gómez Qui janó, Don Joaquín Vial ,’D. Francisco Sirera, D. Antonio dé la Rosa y D. Juan Bermuy.' ^ Ascenso á alféreces de navio á los dé fragata D. Manuel Arechevala,…</t>
  </si>
  <si>
    <t>Roca, Juan</t>
  </si>
  <si>
    <t>Juan Roca</t>
  </si>
  <si>
    <t>…sado tuvo la honra de felicitar á S. M. á nombre del cabildo de la santa iglesia de Urgel D. Jayme Creux, canóni go doctoral de la misma, y electo obispo de Menorca, acompañado de Don Juan Roca, canónigo de la colegiata de Guisona,en los términos siguientes: „Señor: tarde podria parecer que llega el cabildo de Urgel á manifestar á V. M. sus sentimientos de respeto, fidelidad y amor, si producidos antes por carta luego del feliz regreso y restitución…</t>
  </si>
  <si>
    <t>Roca, Salvador</t>
  </si>
  <si>
    <t>Salvador Roca</t>
  </si>
  <si>
    <t>…as £ la de la Cabeza, y de su producto satisfacer por su orden lósxréditos de.clarados-y[ graduados ¿n Ja sentencia que éri 7 dé Julio del año de i 798 se pronunció por el Sr. Dr. D. Salvador Roca, presbítero, teniente vicario de esta villa dte Madrid y. su partido , y penden por el oficio del notario del número de la misma audiencia D. Ju^n Francisco de Piélagos, para que en el término de un mes, con tado desde-el dia de la pubjicacion^de este aviso,…</t>
  </si>
  <si>
    <t>Rochel, Gaspar Antero</t>
  </si>
  <si>
    <t>Gaspar Antero Rochel</t>
  </si>
  <si>
    <t>…rtos: para la de Moron á D. Manuel Sotillos Montijo: para la de Medinasidonia á D. Leo nardo Talens de la Riva: para la de Berlanga á D. Josef Codina y Gómez: para la de Cuellar á D. Gaspar Antero Rochel: para la de Luque á D. Jo sef Carrillo; y para el corregimiento de la Puebla de Alcocer á D. Rafael Mogollon y Negrillo. El Rey ha tenido á bien prorogar hasta el dia 8 de Abril próximo la apertura del concurso 'para la plaza de ayudante del Real estudio de m…</t>
  </si>
  <si>
    <t>Roco, Félix</t>
  </si>
  <si>
    <t>Félix Roco</t>
  </si>
  <si>
    <t>…ciudad de Burgos se dispersó un joven de 16 años llamado Julián María de Ozejo, natural de Madrid-, se desea saber su paradero. La persona que supiere de él dará razón al canónigo D. Félix Roco en la misma ciudad de Burgos, ó en Madrid en la impren ta Real á D. Juan Lázaro. Se desea saber el paradero ó existencia del soldado ó guardia de artillería An tonio Correa Lorente, que agregado á ella fue hecho prisionero en la toma de Va lencia, y conducido…</t>
  </si>
  <si>
    <t>Roda, Juan de</t>
  </si>
  <si>
    <t>Juan de Roda</t>
  </si>
  <si>
    <t>…á D. Antortio MaeHa , director del seminario' sacerdotal de S. Cárlosde la expresada ciudad de Zara goza : para lina ración» vacante en la catedral de Córdoba pór fallecimientó de D. Juan de Roda, á D. Juan Miguel Gómez de Mora, cura del hospital dé la sangeedé Sevilla r para otra: ración en b misma catedral, vacante por muerte de D. Josef Mazuelo» á D. Manuel Ximenez del Hóyó» médio racióneto de ella; para "esta mediad ración á JD. Pablo Romero y Cas…</t>
  </si>
  <si>
    <t>Rodea, Norberto</t>
  </si>
  <si>
    <t>Norberto Rodea</t>
  </si>
  <si>
    <t>…nuestro Señor atendiendo al particular mérito que ha hecho pre sente contraxo en la gloriosa defensa de la plaza de Ciudad-Rodrigo el sub teniente que era de voluntarios de Avila D. Norberto Rodea, hoy teniente del de Truxillo, ha venido S. M. en concederle el grado de tal teniente con la antigüedad del io de Julio de 1810. El Rey nuestro Señor se ha servido conceder á D. Tomas Valarino el permiso de llevar la condecoración de la fíor de Lis con que S.…</t>
  </si>
  <si>
    <t>Rodenas, Benignode</t>
  </si>
  <si>
    <t>Benignode Rodenas</t>
  </si>
  <si>
    <t>…ancisco Fernandez, Di Josef Manuel de Casas, Don* Miguel Perez de la Quintana , D. Nicolás Hernández, D. Salvador de Otero, D. Francisco Fernandez NavarreteD. Juan Manuel Maurat y D. Benignode Rodenas. .. Grado de comisario de guerra al oficial primero D. Juan del Pico. • „Jiscenso X oficiales primeros á los segundos D. Juan de Sierra, D. Estéban Sánchez Martin, D. Agustín Perez de Lérma, D. Gregorio La Bustay p, Gabriel Azpilcueta , D. Josef Alfonso' Pant…</t>
  </si>
  <si>
    <t>Rodero, Francisco Antonio de Velasco y</t>
  </si>
  <si>
    <t>Francisco Antonio de Velasco y Rodero</t>
  </si>
  <si>
    <t>*414 Asimismo se ha servido’ S. M. nombrar jira una plaza de alcalde del cri men de la Reai audiencia de México á D. Francisco Antonio de Velasco y Rodero. ■ ■■'■v ' 0i~' Mercurid'de España. NoviembreJde í 8 fg. Véndese á‘4 rs. en el despacho de la imprenta Real. Se subscribe en dicho despacho, ye a las provincias en todas lasádÉainistraciones principales y agregadas de correos. r ) ' Por providencia del Sr. DI…</t>
  </si>
  <si>
    <t>Rodrí, Josef</t>
  </si>
  <si>
    <t>Josef Rodrí</t>
  </si>
  <si>
    <t>…Lucio, y coronel de caballería de los Reales exérciro:; D. Juan Amonio Barona y D. Josef León de Madrazb , montero de cámara de S. M.; regidores perpetuos D. Jacinto. Cilleruelo , D. Josef Rodrí guez Cermeño, D. Juan? Alonso de Prado, y D. Pío Rníz; diputados del común D. Manuel de Quevedo y D. Manuel Ignacio López; procuradores síndicos generales; El. Vicente de Mariscal y £&gt;.. Francisco Sanz Escolar, escribanos propietario y teniente del ¡lustre ay…</t>
  </si>
  <si>
    <t>Rodrí, Julián Antonio</t>
  </si>
  <si>
    <t>Julián Antonio Rodrí</t>
  </si>
  <si>
    <t>…sica, fundados en los conocimientos mas ciertos, asi antiguos como modernos, y confirmados por la experiencia: escritos eri francés por Mr. Brisson, y traducidos al castellano por D. Julián Antonio Rodrí guez: tres tomos, y el 4.0, que contiene los elementos físico-químicos, y que sirve de continuación al tratado de física, todos ellos en 4.0 Mas de 15© egemplares en francés de esta obra se Habían despachado ya á fines de 1810, eri que se concluyó la tercera…</t>
  </si>
  <si>
    <t>Rodrigalvarez, Juan Antonio</t>
  </si>
  <si>
    <t>Juan Antonio Rodrigalvarez</t>
  </si>
  <si>
    <t>…a catedral de León, en prueba de no haber incurrido en su Real desagrado siendo vica rio eclesiástico de Madrid en el año de 1798, por el reconocimiento que practicó de la casa ds D. Juan Antonio Rodrigalvarez, por orden del go-</t>
  </si>
  <si>
    <t>Rodrigo, Carlos</t>
  </si>
  <si>
    <t>Carlos Rodrigo</t>
  </si>
  <si>
    <t>…o por hijo á fin y muerte D. Nicolás Prietotde la Fuente, escribano Real en Madrid, quien parece tenia un hermano también es cribano en la ciudád de Ecija, acudirá en esta corte á D. Carlos Rodrigo, que vive calle Imperial^ iíúm. 8, cuarto tercero, el cual la entregará. Se halla vacante el magisterio de primeras letras de la villa de Benavénte, pro vincia de Valladolid, cuya dotación consiste en ¿oo'ducados, pagados de los fon dos de propios, sin el aum…</t>
  </si>
  <si>
    <t>Rodrigo, Gerónimo</t>
  </si>
  <si>
    <t>Gerónimo Rodrigo</t>
  </si>
  <si>
    <t>…Celestino Rodrigue* y D. Joaquín Collado: al de volunta* ríos de Avila D. Josef Aíárcon: á los del regimiento provincial de Segovia 1). Nicolás de Torres, D. Bernardo Miravalles , D. Gerónimo Rodrigo, D. Domingo Chaves y D&lt; Fernando Mateos Mettdez : á los de los batalló-» nes de Ciudad-Rodrigo D. Ramón ViMate, D. Marcelo Sicilia , D. Ju?ndé Sahtgun Vicente, D. Tomas PefeZ, D. Juan Orejas , D. Antonio García, D Josef Noguera, D. Josef Zoyíó Calvo, D. Manue…</t>
  </si>
  <si>
    <t>Rodrigo, Miguel Antonio</t>
  </si>
  <si>
    <t>Miguel Antonio Rodrigo</t>
  </si>
  <si>
    <t>…e Villalon á D. Saturnino Tablares: para la de Guernica á D. Josef Manuel dp Aizpuru: para la de Jerez de la Frontera ID. Juan de Dios Aguilar: para la de Cervera del Rio Alhama á D. Miguel Antonio Rodrigo; y para la de Bórnos á D. Josef Martínez Lorenzo. En atención á los distinguidos méritos y constante lealtad de D. Andrés Ararisay, cáptllan de honor y doctoral de la Real capilla, se ha servida S. M. concedértelos honores de auditor del tribunal de la Rota d…</t>
  </si>
  <si>
    <t>Rodrigó, Roque</t>
  </si>
  <si>
    <t>Roque Rodrigó</t>
  </si>
  <si>
    <t>…D. Isidro Montero, á D. Atanasio Salcedo, con retención de los que obtiene: para el beneficio simple dé S. Estéban de Balvas, en el arzobispado de Burgos , va cante por muerte de D. Roque Rodrigó, á D. Tomas Moyano Díaz: para la pfestamera de Huelva, que ha vacado en el de Sevilla r por fallecimiento de D. Luis Martínez Toledano, á D. Simón Bayon Díaz : para el beneficio servidero de la parroquial de la villa de Viuuesa, vacante por fallecimiento de D…</t>
  </si>
  <si>
    <t>Rodrigue, Celestino</t>
  </si>
  <si>
    <t>Celestino Rodrigue</t>
  </si>
  <si>
    <t>Llórente, D. Celestino Rodrigue* y D. Joaquín Collado: al de volunta* ríos de Avila D. Josef Aíárcon: á los del regimiento provincial de Segovia 1). Nicolás de Torres, D. Bernardo Miravalles , D. Gerónimo Rodrigo, D. Domingo Chaves y D&lt; Fernando Mateos Mettdez : á los de los batalló-» nes d…</t>
  </si>
  <si>
    <t>Rodriguéis, Hermenegildo</t>
  </si>
  <si>
    <t>Hermenegildo Rodriguéis</t>
  </si>
  <si>
    <t>…rá alcaldes de la qnadra de 'éUa’á ■ D. josef Santa 1 María, Don Eugenio de Larrumbide y- D. Manuel "Victoriano Moyaíios. Asimismo' ha conferido el empleo de juez civil de Cádiz á D. Hermenegildo Rodriguéis oidor de la audiencia de Sevilla; y la alcaldía mayor criminal y dé pólibía dé aquella ciudad I D. Diego de la Peña;: el corregimiento de Velez&gt;Má laga á D. 'Jiian Pedro Talasac &gt; y él deGuadixá D, Agustín Tosamos y Laprada r é igualmente se ha 'servido repon…</t>
  </si>
  <si>
    <t>Rodríguez, Agustín</t>
  </si>
  <si>
    <t>Agustín Rodríguez</t>
  </si>
  <si>
    <t>…Antonio Rosada, del regimiento de Barbastro, al sargento mayor de milicias D. Josef Olasarra, al comandante accidental de artillería D. Antonio Riozo, al teniente del mismo cuerpo D. Agustín Rodríguez , á un pardo comandante del escuadrón de Gorrín, y al comandante Vargas del batallón de infantería. Todo lo quede-* vo ai superior conocimiento de V. E. para su inteligencia y satisfacción.” Por Real resolución, á consulta de la Cámara, se ha servido S. M. co…</t>
  </si>
  <si>
    <t>Rodríguez, Antonio</t>
  </si>
  <si>
    <t>Antonio Rodríguez</t>
  </si>
  <si>
    <t>…de Mages al capitán D. Josef Villegas i para sargen to mayor en el de Andahuaylas ai capitán £). Alonso Nuñez García : para igual empleó en el de caballería de Luya y Chillaos al capitán D. Antonio Rodríguez; para teniente coronel en ei de dragones de Azangafo al coronel graduado de milicias y comandante dé esquadron D. Sebastian'Benavente: para las compañías tercera y de granaderos én el de infantería de Caxamarca ai teniente D. Gregorio Bobadilla , y al capitan…</t>
  </si>
  <si>
    <t>…sef Antonio de Oscoz y D. Antonio Fernando Briz, se ha dignado S. M. nombrar, á consulta de dicho tribunal, para las varas de S. Vicente á Don Santiago Amatrtain: de Pedro Muñoz á D. Antonio Rodríguez fsscovar : de ViHaest/usa de Haro á D. Gínes Muiría Serrano: de Ceclavin á D. Andrés Torrente de Vilíena; y de Bienvenida á D, Manuel Josef de Valenzuela. El Rey nuestro Señor se lia servido conceder al Excmo. Sr- conde de Maceda, grande de España de primera…</t>
  </si>
  <si>
    <t>Rodríguez, Basilio</t>
  </si>
  <si>
    <t>Basilio Rodríguez</t>
  </si>
  <si>
    <t>…l camino de Pamplicga á Bur gos , y si está pagada, y á quién. Se suplica á las personas que esto sepan , ó que tengan en su poder dinero del dicho González, lo avisen en Madrid á D. Basilio Rodríguez, que vive Postigo de S. Martin, números 25 y 26, quarto tercero. A la librería de Castillo, frente á las gradas de S. Felipe, acaban de llegar va rios juegos de la bella edición hecha en Londres de las poesías de D. Juan Bautista de Arriaza: constan de dos to…</t>
  </si>
  <si>
    <t>Rodríguez, Domingo</t>
  </si>
  <si>
    <t>Domingo Rodríguez</t>
  </si>
  <si>
    <t>…Vales Baamonde á la metropolitana de Santiago á D. Joa quín de Arévalo.= La canongía que ha vacado en la catedral de Orense por traslación de D. Matías González á la de Ségovia á D. Domingo Rodríguez. = El medio préstamo de Marchámalo, en la diócesis de Toledo, vacante por promoción de D. Vicente de Vega y Castillo á canongía de aquella iglesia</t>
  </si>
  <si>
    <t>Rodríguez, Eugenio</t>
  </si>
  <si>
    <t>Eugenio Rodríguez</t>
  </si>
  <si>
    <t>…anuel de la Vega, á D. Manuel Elvira: para otra ración de la de Segovia, que resultará vacante pbr promoción de D. Manuel Martin Mauriz. a canongía dé la misma iglesia catedral, á D. Eugenio Rodríguez, capellán de coro de la Real iglesia colegial de S. Ildefonso: para otra ración de la iglesia cole gial de Sancti Spiritus de la ciudad de Santiago * que resultará vacante por promoción de D. Mariano Gil Fernandez, ¿ D. Josef de Florez y García: para otra rac…</t>
  </si>
  <si>
    <t>Rodríguez, Eusebio</t>
  </si>
  <si>
    <t>Eusebio Rodríguez</t>
  </si>
  <si>
    <t>…ugo; D. Baltasar Valcárcel, del segundo de Asturias; Don Josef Martínez, del de Cazadores del Rey; D. Rainon Maurin, del de Zaragoza; D. Gregorio Flores, D. Juan Miguel Rodríguez, D. Eusebio Rodríguez, D. Francisco Masías, D. Pedro Rodríguez, D. Manuel Diez, D. Miguel María Robles, D. Pedro Maratino, D. Francisco Antonio Pe rez y D. Manuel Martínez, del de Voluntarios de León; D. Raymundo Provedo, D. Cipriano Alvarez, D. Mariano López y D. Andrés Garrido,…</t>
  </si>
  <si>
    <t>Rodríguez, Francisco</t>
  </si>
  <si>
    <t>Francisco Rodríguez</t>
  </si>
  <si>
    <t>…ignidad de arcediano de S, Felipe de Xátiva en la iglesia metropolitanada? Valencia : para el medio pontificalrde. Peña flor en ¿1 arzobispado de Sevim lia, vacante: por muerte de D. Francisco Rodríguez: Gampomanes * á DoirAiitonio Alloe , capellán de ?, honor^enlaiReáfc capilla &gt;y y pafca el beneficio^ jkésramoMe Mezqukil^vaeanfepor ftlletítmentode D. PedooJoSefiGeiir-/ fote í y ét beneficio'dé Horbaéhuélos yqué ’h^ -yac^tib por ladé Di Apoli-* ifar Máríáf…</t>
  </si>
  <si>
    <t>…superioridad,del Escmo. Sr. virey, y muy en particular á los tenientes de ¡ fragata D&gt; JoaquínSantaolay a, y el de dragones de. S. Luis D. Nicolás Acosta, al subteniente deTampico D. Francisco Rodríguez, y á los alféreces de fragata í&gt;- Juan Montenegro y D. Rafael Cortés, destacados por mí estos últimos con su infantería á ponerse en la barranca y acábar con los rebeldes que se habían guarecido en ella, como en efecto murieron muchos á sus manos, ínterin yo…</t>
  </si>
  <si>
    <t>Rodríguez, Francisco Antonio</t>
  </si>
  <si>
    <t>Francisco Antonio Rodríguez</t>
  </si>
  <si>
    <t>…Vicente Pedio Rebollo: para el de Bilbao z D. Antonio Apellan!?, oidor de la, chan-, ciMéría dé Váíladolid: para el dé Guipúzcoa á D. Ramón Macla de Lieoart: para el de Paradas á D. Francisco Antonio Rodríguez: para el de Alacete á D. Jo .quin de la Escalera Benedicto: para el ae Toledo á D. MaE nuel Ortiz de^Pinedo:para él de Jaén á D. Rafael Amat y Sala: para el de Iniesta y VUlanuevade la Xará á D. Francisco del Castillo Valero: para el de Huete á I). Rafael Abr…</t>
  </si>
  <si>
    <t>Rodríguez, Francisco de Sales</t>
  </si>
  <si>
    <t>Francisco de Sales Rodríguez</t>
  </si>
  <si>
    <t>…ina del Campo: para otrá canongía, vacante en la iglesia metropolitana de Sevilla por promoción de 15. Juan Acisclo de Vera y Delgado, arzobispo de Laodicea, al obispado de Cádiz, D. Francisco de Sales Rodríguez de la Barcena, medio racionero de la misma iglesia, en premio de sus distinguidos servicios á la religión, al Rey y al estado; y para lá media ración que resulta vacante á D. Francisco Ro mero y Liñan, cura de S. Vicente de dicha ciudad de Sevilla. Y en consi…</t>
  </si>
  <si>
    <t>Rodríguez, Joaquín</t>
  </si>
  <si>
    <t>Joaquín Rodríguez</t>
  </si>
  <si>
    <t>…er Barallon de Voluntarios de Ciudad-Rodrigo; á D. Manuel Ri bero, D. Joaquín Quadrado, D. Francisco Escovar, D. Salvador S. Juan, y D. Josef Renau, del segundo Batallón de idem;á D. Joaquín Rodríguez, 0. Vicente González , D. Fabian de Saave4xa, D. Casimiro Vinuesa, y D. Santiago Gómez, del tercer Batallón de ídem; á D. Francisco Topete y D. Juan de Acuña , Ayudantes de dicha plaza ; á D. Juan Galeas , agre gado al Estado Mayor de la misma', y á D. Josef…</t>
  </si>
  <si>
    <t>I&gt;. Miguel Pavat, y D. Francisco Qnadrado , dei segando Batallón de ídem; D. Braulio Crespo, D. Juan Zaragoza, D. Josef González, D. Pedro Iribarren, D. Joaquín Rodríguez, y JX Francisco Manso, del tercer Batallo.n de ídem; D. Francisco Picado, Ayudante de U plaza dé. Ciudad-?Ro drigo, y D. Josef Borgara y D. Jqaa Fermín Castillejo., del Batallen de Urbanos de la misma: al de Subtenientes á los Sargentos Ó. Francisco Ca lleja,…</t>
  </si>
  <si>
    <t>Rodríguez, Josef</t>
  </si>
  <si>
    <t>Josef Rodríguez</t>
  </si>
  <si>
    <t>…nte Zaragoza, D* Manuel Sánchez y D. Manuel Sarasa : al de Zapadores D. Manuel Calleja; á los del regimiento de infantería de Mallor ca D. Joaquín. Canseco, D. Patricio Fernandez, D. Josef Rodríguez de</t>
  </si>
  <si>
    <t>…helena y D. Rafael Quesadaí - - Pita gfado de teniente de navio al que lo era de fragata D. Josef Carrizosa,y Riquélme- ; ^ Ascenso á tenientes de fragata A los alféreces de navio D. Josef Rodríguez, D. Francisco.; Guiral, D. Ignacio de Rojas, D¿ Antonio Garrapedo, D. Fran-t pisco Ruiz Caballero;, D. Juári. Villavrcencio, D. Alejandro Beyens, D. Vi-, pente Méndez-, ,D..Ántontp del- Corro, Di Antonio Roso, D. Juan Robion, I&gt;. Josef Car rabedo, D. Francisc…</t>
  </si>
  <si>
    <t>Rodríguez, Josef Antunio</t>
  </si>
  <si>
    <t>Josef Antunio Rodríguez</t>
  </si>
  <si>
    <t>…del Provincial de Santiago; D. Andrés González, D. Josef Valcárcel, D. Ber nardo Amado, D. Manuel Martínez y D. Francisco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Francisco Sillero, D. Juan Sánchez, D. Alexandro…</t>
  </si>
  <si>
    <t>Rodríguez, Josef Roa</t>
  </si>
  <si>
    <t>Josef Roa Rodríguez</t>
  </si>
  <si>
    <t>…élix Antonio Ratiios; y para la de Peñafiél á D. Isidro Preciado. Para el corregimiento de Tnrazona dé la Mancha á D. Josef Catalan y Calderón: para el de Alcalá de los Gaztiles á D. Josef Roa Rodríguez: para el de Medinaceli á D. Roque Domingo de la Figuera: para el de Becerril de Campos á D. Josef Valentín Rica. Para la vara de alcalde mayor de Fortuna á D. Pedro Josef deíMasegpS*: para la de Rute á D. Manuel de Santo Domingo y Herrera: para la ae lq$. Vel…</t>
  </si>
  <si>
    <t>Rodríguez, Juan</t>
  </si>
  <si>
    <t>Juan Rodríguez</t>
  </si>
  <si>
    <t>…facción que le causaba un acontecimiento tan fausto, determinó dirigir á los pies de él uir tes timonio de su lealtad , y á este efecto el dia 5 del corriente los individuos de él D. Juan Rodríguez "Valcárcei, D. Lorenzo Josef Barbacho, D. Leandro Josef Gutiérrez, D. Manuel Gonzalc-z, D. Esteban Iglesias, D. Dionisio Melendez y D. Rafael Santiso firmaron un escrito; en eicual, al mismo tiimpO' que felicitan á S. M. por so restitución al trono, esponen l…</t>
  </si>
  <si>
    <t>Rodríguez, Juan Antonio</t>
  </si>
  <si>
    <t>Juan Antonio Rodríguez</t>
  </si>
  <si>
    <t>…ronce. La persona que supiere de su paradero se.servirá avi sarlo en el expresado pueblo de Sta. María de los Llanos á D. Josef Liafio 7 Var gas, cura párroco de él, y en Madrid á D. Juan Antonio Rodríguez , calle del Carbón, núm. 9, quienes ofrecen en nombre de los vecinos de aquel pueblo un ha llazgo, si no correspondiente á la devoción á esta imágen y á los deseos que tienen de volverla i poseer, conforme i lo menos al estado en que se hallan después de lo m…</t>
  </si>
  <si>
    <t>Rodríguez, Juan Miguel</t>
  </si>
  <si>
    <t>Juan Miguel Rodríguez</t>
  </si>
  <si>
    <t>…D. Josef Sansiz, del de Lugo; D. Baltasar Valcárcel, del segundo de Asturias; Don Josef Martínez, del de Cazadores del Rey; D. Rainon Maurin, del de Zaragoza; D. Gregorio Flores, D. Juan Miguel Rodríguez, D. Eusebio Rodríguez, D. Francisco Masías, D. Pedro Rodríguez, D. Manuel Diez, D. Miguel María Robles, D. Pedro Maratino, D. Francisco Antonio Pe rez y D. Manuel Martínez, del de Voluntarios de León; D. Raymundo Provedo, D. Cipriano Alvarez, D. Mariano López…</t>
  </si>
  <si>
    <t>Rodríguez, Juana</t>
  </si>
  <si>
    <t>Juana Rodríguez</t>
  </si>
  <si>
    <t>…D. Josef Veladiez, sobre rescisión del con trato de dicha encomienda; y siendovpartes én los referidos autos el Lie. D. Juan Josef Goriiez Palenzuele , D. Pedro Manuel Folgueras, Doña Juana Rodríguez , viu da de D. Pedro Tegeiro, D. Gaspar Eugeni, D. Juan Ruiz Morales, D. Josef, D. Joaquín y D. Bernabé VcladieZ, como herederos del difunto D. Josef Veladiezj</t>
  </si>
  <si>
    <t>Rodríguez, Maniiel</t>
  </si>
  <si>
    <t>Maniiel Rodríguez</t>
  </si>
  <si>
    <t>…D.”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 y D. Andrés Leqnor. Grado Je capitanes ád…</t>
  </si>
  <si>
    <t>Rodríguez, Manuel</t>
  </si>
  <si>
    <t>Manuel Rodríguez</t>
  </si>
  <si>
    <t>…iel'Solano, 0.' Juan Alverico, D. Ramón Narvaez, D. Salvador Gallard, 0. Lorenzo Zarate, D. Josef Odriozola, 0. Pe dro Fuenmayor, p. Juan de Dios Gil de Lara., D. Anastasio Navas, Don Manuel Rodríguez, 0. Fernando López, 0. Juan Sénovilla, 0. Santiago Pereira, D. Sabas Marín, D.1 Manuel dét Castillo * 0 Juiuin Benita,' 0. Jñari González deL Castfllo, D. Francisco Jouy D- Juan Alaminos#, D* Pedro Gar cía ,JX Juan" Sánchez Illescas-, D. Antonio González.* 0.…</t>
  </si>
  <si>
    <t>…dictar las providencias que correspondan. A voluntad de su dueño se vende un oficio de regidor perpetuo de esta heroica villa, libre dé toda carga, y podrá tratarse al efecto con D. Manuel Rodríguez, agente de negocios de Indias, que vivé en la callé de Cuchilleros á Puerta Cerrada,1 casa niim. 27, cuarto 3J0 5 ' ' , 1 Discursos preliminares para la formación de un plan de estudios de fflosofTa, teoló-' gía, leyes y cánones, que evite los inconvenientes…</t>
  </si>
  <si>
    <t>Rodríguez, Manuel Josef</t>
  </si>
  <si>
    <t>Manuel Josef Rodríguez</t>
  </si>
  <si>
    <t>…enamegí á D. Cristóbal María Auton: para la de Cervera del Rio-Pisuergá á D. Roque Naranjo: para la de Astudillo á D. Eustaquio Manuel de Irala y Zavala: para la de Lora del Rio á D. Manuel Josef Rodríguez: para la de Colmenar de Oreja á D. Pedro Carbonero: para la de Roa á D. Josef Fernandez Almansa: para la de Ronda, á D. Fernando López de Sagredo: para la de Alcañiz á D. Manuel Valonga Zaidin: para la de Casares y su ruebla de Manilva á D. Justo Rodríguez Hu…</t>
  </si>
  <si>
    <t>Rodríguez, Mariano</t>
  </si>
  <si>
    <t>Mariano Rodríguez</t>
  </si>
  <si>
    <t>…sef Ibardó, H; Gabriel Calabaza Casimiro Quesada^D.** Josef Arcos, Don Fermín Moza, DPAnjgel Villa, JL Florentino García., D. Rafael Alcalde, D, Ambrosio Doz, D. Vicente Guisber, D. Mariano Rodríguez, D. Eusebio Gavilanes, D. Juan Polo, D. Josef Baeza, D; Josef Dávila , D. Francis co Frades., D* Josef Urbiña, D. Antoiiio Valdivieso, D. Juan Sánchez , Don Manuel Laso, D. Domingo Cepeda, D. Mariano Mayor&gt; D*5Juan Bastos,</t>
  </si>
  <si>
    <t>Rodríguez, Pedro</t>
  </si>
  <si>
    <t>Pedro Rodríguez</t>
  </si>
  <si>
    <t>…Antonio Guerrero, D. Josef Guerrero, D. Juan de Castro, D. Juan López, Don Pedro Santistéban y D. Josef Novoa, del de Lugo; D. Luis Blanco, Don Pedro Iglesias, D. Pedro Ruiz Peña, D. Pedro Rodríguez, D. Isidro del Rio, D. Antonio Arias, D. Manuel Quiñones, D. Carlos Mota, D. Auto-</t>
  </si>
  <si>
    <t>…Asturias; Don Josef Martínez, del de Cazadores del Rey; D. Rainon Maurin, del de Zaragoza; D. Gregorio Flores, D. Juan Miguel Rodríguez, D. Eusebio Rodríguez, D. Francisco Masías, D. Pedro Rodríguez, D. Manuel Diez, D. Miguel María Robles, D. Pedro Maratino, D. Francisco Antonio Pe rez y D. Manuel Martínez, del de Voluntarios de León; D. Raymundo Provedo, D. Cipriano Alvarez, D. Mariano López y D. Andrés Garrido, del de Voluntarios del Ribero: de Subteni…</t>
  </si>
  <si>
    <t>Rodríguez, Rafael</t>
  </si>
  <si>
    <t>Rafael Rodríguez</t>
  </si>
  <si>
    <t>…itan D, Miguel López Varéla: para compañías en el de dragones de Mages á los tenientes D. Eusebio y D. Matias Pacheco: para igual empleo en el de caballería de Cañete ai te niente D. Rafael Rodríguez: para el mismo en el de dragones de Atidahuaylas ai teniente D. Juan Beingoolea : para la compañía de granaderos dél propio regimiento al capitán D. Fabian López Pecero: para el empleo de ayudante en las compañías sueltas de caballería de Santa al teniente D.…</t>
  </si>
  <si>
    <t>Rodríguez, Ruperto González</t>
  </si>
  <si>
    <t>Ruperto González Rodríguez</t>
  </si>
  <si>
    <t>…pUdiad'rde,viudas , por lo cual se le pagan 88 rs. Los pre tendientes dirigirán sus memo ría les eh todo el corriente mes al ayuntamiento de di cha villa por medio de su escribanp D. Ruperto González Rodríguez. Habiéndose aprobado por él Real consejo de las Ordenes el remate celebrado en esta corte de ios frutos y rentas de la, encomienda de Belvis y Navarra, orden dé Alcántara, qué sé arriendan por tres anos, desde 8 dé Setiembre de 1814 hasta y •de igual mes cfel…</t>
  </si>
  <si>
    <t>Rodríguez, Santiago Diez</t>
  </si>
  <si>
    <t>Santiago Diez Rodríguez</t>
  </si>
  <si>
    <t>…poner en la vara de alcalde mayor segundo de la ciudad de Zaragoza á D. Antonio Caro y Cini. Nota de las ofertas que han hecho al Rey nuestro Señor, y S. M. se ha dignado aceptar. D. Santiago Diez Rodríguez, beneficiado rector de Martiaeo , 417635 rs. vn. que importan los suministros que ha hecho para la subsistencia de los egércitos : D. Miguel Villacastiri 34© rs. en seis acciones del Real emprés tito de ióo millones; Doña María Alvarez 22210 rs. y 14 mrs. que…</t>
  </si>
  <si>
    <t>Rodríguez, Severiano Antonio</t>
  </si>
  <si>
    <t>Severiano Antonio Rodríguez</t>
  </si>
  <si>
    <t>…r guerra. D. Ma nuel Tobar 5600 rs. en una acción é intereses del empréstito de 160 millones. Una persona, cuyo nombre no se publica, el 10 por 100 de una casa que posee en^Cádiz. D. Severiano Antonio Rodríguez 1500 rs. que en 1S11 en tregó para el egército. Ei marques de la Rasubla, vecino y regidor decano de la de Ubeda , 10766 rs. que se le adeudan de suministros. El duque de Montemar, conde de Garciez, 93300 rs. anuales por el tiempo ¡que dure la guerra y un año…</t>
  </si>
  <si>
    <t>Rodrtgúézr, Ramón</t>
  </si>
  <si>
    <t>Ramón Rodrtgúézr</t>
  </si>
  <si>
    <t>…idro Astudillo: de Martos á D. Josef Fe* lipe Alaminos y Ooton: de Almodovar del Campo:;¿. D.: Fernando María Barrionüevo: de Arjonai áD.Bemarde josef de Hcrvas^ deiS^iVíicefitedt D. Ramón Rodrtgúézr de íVebsco t ade iVIHaescusadeHaro iBíjoió An* tonio Mqrcjón :r deSocuéllamós.í&lt; R :CristdbalrBQZfy Lo£Cz íí.de Viltmii deiAlcántara ¿D.Aedres R^rLguez delRio: dé Bienvenida i Do» Antonio Fernandez Briz; y del Campo deCriptana á D. Eugenio Miiguet Fernandez M…</t>
  </si>
  <si>
    <t>Roget</t>
  </si>
  <si>
    <t>…rque, por sí y en nombré de los ingenieros de aquel puer to; del teniente general barón Fauconnet , comandante de las guardias nacio nales de la misma plaza ; del teniente general barón Roget, en Caen; del ma riscal de campo, en el departamento ael Yonne; del mariscal de campoDesnoyers, en Aire ; del; mariscal de campo Argencc ,enel dcpartameiritoldee Nievre; del teniente generál conde de Lapóipe, gobernador de Lila y. de su guarnición ; del tenie…</t>
  </si>
  <si>
    <t>Roiríeu, Felipe Sánchez y</t>
  </si>
  <si>
    <t>Felipe Sánchez y Roiríeu</t>
  </si>
  <si>
    <t>…Valle de Ceta á D. Gregorio Moran y Cavanes: para la de Xerica á D. Josef Cabezas; y á D. Miguel Sanz Aparicio para la de Villalonga, partido de Deriia. , Donativos hechos d S. M. D. Felipe Sánchez y Roiríeu ha ofrecido los préstamos que hizo al egér cito en los sitios de Zaragoza, entre los que hay uno de 15® rs. El ayunta miento y prohombres de la villa de Cervera 400® rs., que deben descontarse de los suministros que ha hecho á las tropas. Los camareros de los…</t>
  </si>
  <si>
    <t>Rojas, Ignacio de</t>
  </si>
  <si>
    <t>Ignacio de Rojas</t>
  </si>
  <si>
    <t>…de teniente de navio al que lo era de fragata D. Josef Carrizosa,y Riquélme- ; ^ Ascenso á tenientes de fragata A los alféreces de navio D. Josef Rodríguez, D. Francisco.; Guiral, D. Ignacio de Rojas, D¿ Antonio Garrapedo, D. Fran-t pisco Ruiz Caballero;, D. Juári. Villavrcencio, D. Alejandro Beyens, D. Vi-, pente Méndez-, ,D..Ántontp del- Corro, Di Antonio Roso, D. Juan Robion, I&gt;. Josef Car rabedo, D. Francisco: del Moyo, D. Josef del Rio, D. Domin go M…</t>
  </si>
  <si>
    <t>Roldan, Antonio</t>
  </si>
  <si>
    <t>Antonio Roldan</t>
  </si>
  <si>
    <t>…ro Caballero Huertos, á D. Antonio Pantoja, cura párroco de la villa de S. Vicente en la orden de Alcántara.rrLa canongía vacante en la catedral de Salamanca por fallecimien to de D. Antonio Roldan á D.Henrique Felipe Pottier,con retención del arcedianato de Monleon que obtiene en la misma iglesia: la canongía que ha vacado en la propia catedral por muerte de D. Josef Cartagena á D. Manuel Mena, cura párroco de Sta. María de la villa de Alaejos en aquel…</t>
  </si>
  <si>
    <t>Roldan, Gregorio</t>
  </si>
  <si>
    <t>Gregorio Roldan</t>
  </si>
  <si>
    <t>…itanes de fragata á los tenientes de navio D. Ramón de Eulate , D. Tomas Cortés, D. Pedro Bucheli, D. Sebastian Paez de la Cadena, D. Francisco Lafita » D. Joaquín Gil de Bernabé, D. Gregorio Roldan , Don Redro de Nava, iD; Miguel Araoz, D.: Juan Echenique, *6/ Vicente Varela, D. Agustín Blondo, D. Agustwt Wautersy D. Ramón Allendey-D» BenitoOirtiz, D/ Manuel Soli$y D. Nieblas Meñaca, D¿ 'Ignacio ValleMarimon; Don Antonio Gastón, D. Vicente’ Bauzáy&lt;D¿ Pe…</t>
  </si>
  <si>
    <t>Roldan, Miguel</t>
  </si>
  <si>
    <t>Miguel Roldan</t>
  </si>
  <si>
    <t>…Maymo, D&lt; Clemente Gutiérrez, D, Vicente Rodríguez, D. Pedro Pilón; D: Luis Polo de Bernabé , D. Josef García Ibarguen, D. Juan Soüoso, D. Francisco Garnica , D. Rafael Legpbien, D. Miguel Roldan , D, Rafael Aristegui y Don Josef Estrada. - Grado de. intendente de marina á los comisarios ordenadores D, Domingo CarruagatovD; Juan Nieto y D. Antonio Ventura Cincúnegui. 1 Gradó; de. comisarios de marina ordenadores á lps de guerra D. Antonio Camilo de Va…</t>
  </si>
  <si>
    <t>Rolh</t>
  </si>
  <si>
    <t>…l egército, y marchan por Nuremberg:sobre Maouheim. . ; La reservada CormaniaiSégu^da divisioniidev granaderos al mando del te niente general Laskewitz. 3.a división ídem,teniente general Rolh. „ 2.a di visión de coraceros', teniente general fKretoff.-í-i. 3.adivision id. 4 teniente gene ral Dauka.___2.a división de huíanos, teniente general, conde Orousko.——3.a</t>
  </si>
  <si>
    <t>Romanzow</t>
  </si>
  <si>
    <t>…cesario, para desempeñar mejor el objeto de la espedicion , cuyo plati ha sido proyectado por Mr. de Krusenstern. Es de esperar que esta espedi cion dé nonor á nuestra patria y al conde Romanzow, á quien tanto ha acreditado el zelo por el bien público *y por el progreso de las ciencias y de las artes. Petersburgo 18 de Agosto. ? ; S. M. I por un manifiesto, de fecha en Saarburgo á 20 de Junio, ha mandado que se haga un censo general de la población d…</t>
  </si>
  <si>
    <t>Romanzow, Nicolás Petrowitsch</t>
  </si>
  <si>
    <t>Nicolás Petrowitsch Romanzow</t>
  </si>
  <si>
    <t>…cuatro de la tarde levó el ancla el na vio Rurik, y dio la vela con destino á hacer descubrimientos. Este bu que ha sido construido y equipado á espensas del canciller del imperio conde Nicolás Petrowitsch Romanzow, con el fin de contribuir á la estension de Las ciencias; y este objeto de utilidad general ha determinado ai go bierno á permitirle llevar la bandera militar rusa. Va mandado el navio por el teniente de la armada imperial Kotzebue, hijo del célebre escritor…</t>
  </si>
  <si>
    <t>Romasanta, Benito</t>
  </si>
  <si>
    <t>Benito Romasanta</t>
  </si>
  <si>
    <t>…Francisco íFerr&amp;Éidez, D. Josef Casulla, D. Juan Fernandez ,D.Gil Garande, D. Josef Castro, Don Josef Morales, D. Joaquín Soravilla , D. Francisco,Mora , D* Gabriel Bala-r giier, D. Benito Romasanta , D. Mariano Gómez , D. Juan: Antonio Berdia, D. Josef Alonso , D. Pedro Cortés , D. Francisco Mareli, D. Francisco Doyega , D. Agustín Berlanga y D. Manuel Serrano. . ^ ¡1 En el regimiento Real de Zapado resMinadores«?1 ¡ 1 ‘ Grados también de subtenientes á…</t>
  </si>
  <si>
    <t>Romeo, Genoveva</t>
  </si>
  <si>
    <t>Genoveva Romeo</t>
  </si>
  <si>
    <t>…ones i una de las huérfanasde los militara* ó patriotas que hubieren muerto en defensa de la justa causa de la nación, ha cabido en suerte del primer extracto de la: de este dia á Doña Genoveva Romeo , luja del patriota IX Francisco San tiago , muerto en el campo del honor.- ¡d; . , Xa extracción siguiente se externará el 28 de Febrero próximo viniente. r . - articulo ub oficio. ; r£Í Re/mestroSt^orseha 'se^a0L&gt;e^efirJl Real, decreto siguiente:, „ Penetra…</t>
  </si>
  <si>
    <t>Romero, Alejandro Perez y</t>
  </si>
  <si>
    <t>Alejandro Perez y Romero</t>
  </si>
  <si>
    <t>…de Orihuela vacante por fallecimiento de Don Andres;Bayon á D. Bernardo Mafiueco. . La canongía que ha vacado en la metropolitana de Granada por muerte . de D. Antonio Cervino á. D. Alejandro Perez y Romero» cura propio de la colegiata de Osuna. . El arcedianato y canongía vacantes en la colegiata dé Vitoria por falle cimiento de D.-Juan Prudencio de Verástegui á D. Feliciano Josef Áúiz Maumonv '■ •• :: - u* La ración vacante eñ ía metropolitana de Sevilla por-…</t>
  </si>
  <si>
    <t>Romero, Josef María Rodríguez y</t>
  </si>
  <si>
    <t>Josef María Rodríguez y Romero</t>
  </si>
  <si>
    <t>…oncedido S. M. la gracia de cruz supernumera-r ria de la Real y distinguida orden de Cárlos m. En atención al distinguido mérito, literatura: y demas qualidades que adornan al Dr. D. Josef María Rodríguez y Romero, presbítero de la ciu dad de Sevilla, teólogo consultor y examinador de la Nunciatura apostólica, ha venido S. M. en nombrarle por su predicador supernumerario. Deseando el P E*r nuestro Señor premiar los méritos, singulares servi cios y constante lealtad de…</t>
  </si>
  <si>
    <t>Romero, Juan</t>
  </si>
  <si>
    <t>Juan Romero</t>
  </si>
  <si>
    <t>…D. Pedro Arias; para la del partiidó de Raeriz dé Veiga á D. Diego Suarez de Ribera ; para la del Í&gt;artido dé Abeancós á D. Josef Garea y Mato; para la del partido de Orce- Ion á D. Juan Romero ; para la del partido de villanueva ae los Infantes al Lie. D. Juan Francisco Arias; para la del partido de Baítar al Lie. D. An tonio de la Sierra y Lamas; para la del partido de Puente-Cástrelo á Don Juan Varela del Corral; para la del partido de Cambados á…</t>
  </si>
  <si>
    <t>Romero, Mateo Casado y</t>
  </si>
  <si>
    <t>Mateo Casado y Romero</t>
  </si>
  <si>
    <t>…D. Manuel palomares. Én Guqddlajara. D. Joaquín Veladiéfc. Eti TáiedoJ.......... D. Francisco Perez. En Murcia........ D. Josef TJbach. En Oviedo:.lD. Juan Pérez. En Ciudad*Real. D. Mateo Casado y Romero. En Jaén..... ......... D. Francisco López Zavala. En Ségüvia......^.: Señores viuda de Ramiro y Mesa. En6Cühicá.l.i ..líil 'D. Josef Escolar yNóriega. D- trenzo Gibert, : i1SLÍ En Palenda........D. Marcelino de la Torre. En Burgos..........: T). Román Martín…</t>
  </si>
  <si>
    <t>Romero, Rosalía</t>
  </si>
  <si>
    <t>Rosalía Romero</t>
  </si>
  <si>
    <t>…irán sus memoriales á la justicia y ayuntamiento hasta el dia 25 del corriente. Se desea saber el paradero de los hijos ó herederos de D. Josef lírruela y Montiano, y de su esposa Doña Rosalía Romero, para entregarles unos papeles intere santes á dichos herederos. El que supiere podrá acudir para reintegro al mesón del Peine, almacén de mantas que está á cargo de Josef Antonio Fernandez, que sa biendo son legítimos dueños se le entregarán. Cirugía forense…</t>
  </si>
  <si>
    <t>Romero, Vicente</t>
  </si>
  <si>
    <t>Vicente Romero</t>
  </si>
  <si>
    <t>…rre tas , á 2 rs. vn. - - ■ ■ Continuación de la Historia de España del P. Mariana, escrita en latín por el P. Fr. Manuel Miñana, trinitario calzado, y traducida en castellano por D. Vicente Romero , oficial segundo primero de la secretaría del despacho universal de Indias: un tomo en folio , que hace juego coh las edicionesde la misma forma hecha én es ta corte y en Valencia: es inútil recomendar una obra recibida por el publico con mucha aceptación qu…</t>
  </si>
  <si>
    <t>Romo, Josef</t>
  </si>
  <si>
    <t>Josef Romo</t>
  </si>
  <si>
    <t>…Or 4a promoción del éspreíádo Atoareis Cienfaegósá 'í&gt;; Mattih Mituróvies: pára la dignidad de ¡arcediano de Cáceres de la iglesia catedral de Coria , vacante por fallecimiento de D. Josef Romo ,á D. Matías -dé Sók y Beltráh,, Cáfróhfgo -péniéenckrió de la catedral de Ibiza: pára una canongía de la iglesia metropolitana de Sevilla, VáCante-pOr falleóimíento*de D. Francisco Vicente Venesas f á D. Mieuel de Vargas Fernandez, racio%féro&lt;:dé-4a^nismanig…</t>
  </si>
  <si>
    <t>Ronciere</t>
  </si>
  <si>
    <t>…nacio nales de la misma plaza; del teniente general conde Lemarrois, comandante superior de las divisiones militares 14.a y 15.a; dél teniente general conde Leclerc; del teniente general Ronciere, inspector de caballería, ; comandante de los depósitos de Poitiers y de Niort, y de ótrosvarios.' ' m Las personas de la familia de Bonaparte que habián quedado en París ; se • .v r.v ,a . ¿por:lian-ausentado'al: finí •' - ^ v; La ciudad de León capituló el…</t>
  </si>
  <si>
    <t>Rosada, Antonio</t>
  </si>
  <si>
    <t>Antonio Rosada</t>
  </si>
  <si>
    <t>…el parte oficial de D. Nicolás María Geruti á la compañía de negros de Esquibo, al capitán D. Juan Malveche, á los tenientes D. Ma nuel Maya y D. Antonio Suarez, y al subteniente D. Antonio Rosada, del regimiento de Barbastro, al sargento mayor de milicias D. Josef Olasarra, al comandante accidental de artillería D. Antonio Riozo, al teniente del mismo cuerpo D. Agustín Rodríguez , á un pardo comandante del escuadrón de Gorrín, y al comandante Vargas d…</t>
  </si>
  <si>
    <t>Rosas, Mariano</t>
  </si>
  <si>
    <t>Mariano Rosas</t>
  </si>
  <si>
    <t>…Artir!ería ; D. Agustín Vicente y D. Ramón de Alcalá, auxiliares dei mismo Cuerpo; D. Josef de Canga, agregado al de Zapadores; D. Josef Bena, 0. Manuel Hueso, D. Fránciscp-Yarto, D. Mariano Rosas,. D. Henrique Puga, y D. Carlos ViHarejo, del Regimiento de Mallorca; D. Ignacio Llánderas , D. Miguel Moretid, D. Gregorio del Pozo, D. Fabian de Lastra, 0. Ricardo Rey roso, Don Víctor Cabeza de Vaca, D. Casimiro Salcedo, y D. Miguel González, del de Volunt…</t>
  </si>
  <si>
    <t>Rose, Jorge Henrique</t>
  </si>
  <si>
    <t>Jorge Henrique Rose</t>
  </si>
  <si>
    <t>…to' próximo.,j ' . ‘ . - Idem jij. Se han recibido por el ministerio de Guerra los oficios siguientes relativos, d las operaciones militares. . - . j..° Estracto del oficio qué el caballero Jorge Henrique Rose,; enviado e$-; traordinario de S. M. Británica perca de la corte de" Baviera, remitió de,sde Munich el 5 de JuBó'de1815,^ 4UCeilsubstanciadicer , &gt; ; - No sé han recibido aquí noticias do progresos hechos por elf Príncipe de , Wrede mas allá de Nanci y Toul.…</t>
  </si>
  <si>
    <t>Rosendo, Antonio</t>
  </si>
  <si>
    <t>Antonio Rosendo</t>
  </si>
  <si>
    <t>…la justa causa de la nación, ha cabido en suerte del primer extracto de la de este dia á Doña María Rosendo , hija del primer condestable de las bri gadas de artillería de marina D. Antonio Rosendo, muerto en el campo del honor. ■ •""r/■ Xa extracción figMÍente sje executár.^ él de Marzo próximo. ^RcÁl lotería moderna* En el sorteo de lat Real lotería moderna celebrado el dia 18 de este mes salieron sorteados con ios premios mayores los números siguient…</t>
  </si>
  <si>
    <t>Rosendo, María</t>
  </si>
  <si>
    <t>María Rosendo</t>
  </si>
  <si>
    <t>…ones á una de las huérfanas de ios militares ó patriotas que hubieren muerto en defensa de la justa causa de la nación, ha cabido en suerte del primer extracto de la de este dia á Doña María Rosendo , hija del primer condestable de las bri gadas de artillería de marina D. Antonio Rosendo, muerto en el campo del honor. ■ •""r/■ Xa extracción figMÍente sje executár.^ él de Marzo próximo. ^RcÁl lotería moderna* En el sorteo de lat Real lotería moderna celeb…</t>
  </si>
  <si>
    <t>Rósete, Juan</t>
  </si>
  <si>
    <t>Juan Rósete</t>
  </si>
  <si>
    <t>…D. Francisco Alaja, cura de la parroquial de Sta. Bárbara de Ecija: en la expresada iglesia colegiata de S. Hipólito una canongía,vacante por muerte de D. Antonio de la Iglesia, á D. Juan Rósete: otra canongía vacante por muerte de D. Joaquin Calero y Pedrajas á Don Manuel de la Fuente y Dávila. = Hn la catedral de Barcelona la dignidad de sacristán mayor, vacante por muerte de D. Esteban Pinos,á D. Félix Torres Amat, canónigo de la iglesia colegial…</t>
  </si>
  <si>
    <t>RosíL</t>
  </si>
  <si>
    <t>…Lacketl._ 12.* división de infantería;*■ 1 u ' u general el conde Woronzóff.-i-15 .a división id.,í teniente general MarkofE— 26.a división id., general Emme._-2.a de dragones, el general RosíL — Ciento veinte piezas de artillería. Este cuerpo forma el centro , y marcha por Bamberg sobre Oppenheim, el cuartel general marcha con.ellos. Sesto cuerpo de egército , general coirde Laugereau -8.a división de infanteríai teniente general Esfen/^—i 9.a rdiv…</t>
  </si>
  <si>
    <t>Rosillo, Juan Antonio</t>
  </si>
  <si>
    <t>Juan Antonio Rosillo</t>
  </si>
  <si>
    <t>…á la iglesia y obispado de Pamplona, á D. Juan Bau tista Reta, rector del seminario conciliar de dicha ciudad. Las canongías vacantes en la metropolitana de Zaragoza por muerte de D. Juan Antonio Rosillo y D. Josef María Azpiazo á D, Josef Asensio de Ocon, canónigo de la catedral de Huesca, y á D. Francisco Amar, doctoral ¿e la de Albarracin, y la canongía que debe resultar vacante en Huesca por</t>
  </si>
  <si>
    <t>Ross, Daniel</t>
  </si>
  <si>
    <t>Daniel Ross</t>
  </si>
  <si>
    <t>…530" norte, deducida del promedio de observaciones hechas al medio dia del ci tado 22 de Enero, y en longitud de 16o 31' al O. de Cádiz por su estima desde las islas Canarias. El capitán Daniel Ross, de la fragata Discorvery, de la compañía in-glesa de la India, reconoció en Junio de 1813 el baxo del Espíritu Santo, y lo sitúa en latitud observada sobre el mismo de 19o 3o7 15/r N. j y lonitud calculada con 4 cronómetros 9 millas al O. de ia isla llamada…</t>
  </si>
  <si>
    <t>Rossi</t>
  </si>
  <si>
    <t>…rff—h £ernstorff. =; Hannóver. s= El conde Munster. = Él cande de Hardemberg. =£ Países-Bajos. == El barón de Spaen.zzEl barm de Gagern. =Cerdeña. = El marques de St. Marean. = El conde Rossi. == Sajorna. — El conde de SchuJemburg. = Sicilias (Dos). = El comendador Ruffo.zzW urtemberg.= El cunde de Wintzingerode.=El barón de Linden” ' ESPAÑA. ‘ . Madrid 30 de Junio. • . « El dia 26 de Junio se presentaron á besar la mano 4 S.,M. y al Sr. In fante…</t>
  </si>
  <si>
    <t>Rotnarate, Jacinto</t>
  </si>
  <si>
    <t>Jacinto Rotnarate</t>
  </si>
  <si>
    <t>…y D. Francisco de Paula Osorio. -Ascenso á capitanes de navio áTos de fragata D. Francisco Man¡on, Don Faustino Gnimii,: D. Rafael• Lobo, D. Pedro Acevedo, D. Juan de Vargas Lana, D. Jacinto Rotnarate,: ¡ DJ Eduardo Briant, D. Ramón Ortiz Otañez, Dv Miguel Palacios Ruiz, D^ Ramón Aguí lar, D. • Josef del:Camino y Cami no, D. Felipe Perez Acevedo, D. Ramón de la Sierra , D. Alejo Gutiérrez de Rübalcava, D. Luís Moreno ,D. Ignacio Acedo , D. Antonio Miranda…</t>
  </si>
  <si>
    <t>Rotruu, Felipe Sánchez y</t>
  </si>
  <si>
    <t>Felipe Sánchez y Rotruu</t>
  </si>
  <si>
    <t>…de las Carretas; de la viuda de Alonso, Puerta del Sol, y de Laborda, portal de manguiteros. Nota. En la gaceta del jueves último 2 del corriente,, pág. 1256, lío, 41, donde dice D. Felipe Sánchez y Rotruu, léase Felipe Sánele mente y Romeu. - ; * 1n LA IMPRENTA REAL</t>
  </si>
  <si>
    <t>Rouvien</t>
  </si>
  <si>
    <t>…Los compañeros de Bonaparte qué vanVpresos áf la .isla de Malta , son Savary y Lallemand , los tenientes coroneles Pla«or¿ Rosigny y Schultz, los capitanes Autrie y Mercier, y el teniente Rouvien El navio que los lleva, llegó á Gibraltar el 2 de Setiembre, y volvió á dar la vela al dia siguiente. .¡ , : ! ESPAÑA. . ■ . ; ' Madrid 2g de Octubre. ; . Los individuos de la diputación de caridad del.barrio de la plazuela del. Gato , cuartel de Afligidosen cum…</t>
  </si>
  <si>
    <t>Rovira, Francisco</t>
  </si>
  <si>
    <t>Francisco Rovira</t>
  </si>
  <si>
    <t>…ha servido nombrar para el arcedianato titular de la iglesia snetrppolitana de Valencia, vacante por muerte de D. Antonio Despuig y Paméto, cardenal de la santa iglesia romana, á D. Francisco Rovira, con dimisión de la dignidad de capiscol que obtiene en la catedral de Vich, en premio dé la constancia heroyca y servicios gloriosos con que ha defendido la causa santa de la religión, los derechos de la corona y el honor de las armas ¿españolas mientras ha…</t>
  </si>
  <si>
    <t>…n de la Palma al arzobis pado de Granada, á D. Felipe Montoya, canónigo lectoral de la iglesia de Plasencia: .para la capiscolía de la catedral de Vique, vacante por promo ción de D. Francisco Rovira al arcedianato titular de la iglesia metropolita na de Valencia, á D. Francisco Moros, cura párroco déla villa de Iguala da: para una canongía de la iglesia metropolitana de Zaragoza, vacante por promoción de D. Pedro Valero á’la iglesia y obispado de Gerona,…</t>
  </si>
  <si>
    <t>Rovira, Pedro Josef</t>
  </si>
  <si>
    <t>Pedro Josef Rovira</t>
  </si>
  <si>
    <t>…tes de la ma yor alegría, no pudieron menos de hacer las mayores demostraciones por tari feliz y lisonjera nueva, y á este efecto propuso su presidente, que ío,e$ el alcalde mayor D. Pedro Josef Rovira, que se colocase en las salas consisr toriales el retrato de S. M.; y acordado asi, llegado que fue este de la corte, se séñaló para su colocación el dia 27 de Marzo último; y convidadas de antemano las primeras autoridades de la provincia, la noche del dia a…</t>
  </si>
  <si>
    <t>Rowley</t>
  </si>
  <si>
    <t>…ón. El domingo último celebró S. S. la misa en el monasterio de Sto. Do mingo, en Monte-Magnapoli, y &lt;£espues entraron los fieles á cumplimentarle como, se acostumbra. Idem 26. El almirante Rowley, caballero de la orden del Baño, y comandante ingles en el Mediterráneo, se presentó el jueves último á S. S., quien le reci bió con la mayor distinción. Antes de ayer se celebró el nacimiento del Rey de los Países-Bajos. Su enviado estraordinario y ministro…</t>
  </si>
  <si>
    <t>Roxas, Josef María</t>
  </si>
  <si>
    <t>Josef María Roxas</t>
  </si>
  <si>
    <t>…el Ignacio López; procuradores síndicos generales; El. Vicente de Mariscal y £&gt;.. Francisco Sanz Escolar, escribanos propietario y teniente del ¡lustre ayuntamiento, y los señores D. Josef María Roxas, coronel del regimiento de caballería húsares de Ex tremadura, y D. Prudencio,Fernandez de la Pelilla, alcalde mayor, con vidados atan augusto acto , se tomó el pendón Real, y salió formada la ciu dad; con sus maceros , yendo delante según costumbre antigua l…</t>
  </si>
  <si>
    <t>Roxo, Gerónimo</t>
  </si>
  <si>
    <t>Gerónimo Roxo</t>
  </si>
  <si>
    <t>…de León; D. Pedro Valcárcel, D. Manuel González Campillo, D. Juan Villapaderna, D. Juan Manuel Mancebo, D. Francis co Diez Sopeña, D. Josef Provedo, del de Voluntarios del Ribero; Don Gerónimo Roxo, del de Cazadores del Rey; D. Cesar Tournel, d¿l Real Cuerpo de Artillería , y D. Gerónimo Alvarez , del de Húsares extinguidos de León: de Teniente á D. Felipe Castro, D. Ramón Cespon, D. Jacinto Arteaga y D. Bernardo de Castro, del Provincial de Santiago; D…</t>
  </si>
  <si>
    <t>Roxo, Valentín</t>
  </si>
  <si>
    <t>Valentín Roxo</t>
  </si>
  <si>
    <t>4^4 nio Perez, D. Fidel Provecho, D. Francisco Masías, D. Antonio Fernan dez, D. Valentín Roxo, D* Carlos Osorio y D. Josef Laso de la Vega, del de Voluntarios de León; D. Pedro Valcárcel, D. Manuel González Campillo, D. Juan Villapaderna, D. Juan Manuel Mancebo, D. Francis co Diez Sopeña, D. Josef Provedo, del de Voluntarios del Ribero; Don Gerónimo R…</t>
  </si>
  <si>
    <t>Royo, Antonio Josef</t>
  </si>
  <si>
    <t>Antonio Josef Royo</t>
  </si>
  <si>
    <t>…de' la Cruz;, .Di Cárlos Viü&amp;padierna^ D- Bernabé Arjranz^ D* Juair derMetidie^í.1^. Aatóriioíde Castro y Tovar, D. Josef 01mo,D. Juan de Arcos ,D.Pedro Recaudo!,pon Miguel Rabe, D. Antonio Josef Royo , D. Domingo Cheli y D. Cenon Gar cía: á los capitanes marques dé A-yerve , D. Josef Rubio ¡ B. Aníbal Chela, D. Antonio Melgarejo, D. Miguel María Campero, D. Baltasar Belmohte, D. Manuel Mendoza, D. Manuel de Reina; D. Josef Navarro, D. Miguel Mauduit, D. F…</t>
  </si>
  <si>
    <t>Rozas, Josef Saiz de</t>
  </si>
  <si>
    <t>Josef Saiz de Rozas</t>
  </si>
  <si>
    <t>…stro jubilado de la chancillería de Granada; el Dr. D. Francisco Díaz Vardera, agente fiscal del Supremo Consejo de Hacienda, del gremio y claustro de |a misma universidad; el Dr. D. Josef Saiz de Rozas, presbítero, y del de la universidad de Osma; el Dr. D. Mauricio Baradat, del de la de Salamanca, y abogado de los Rea les Consejos; el Lie. D. Francisco de Sales Hernández de A riza, abogado, y teniente del Real cuerpo de Zapadores; el Lie. D. Juan García de…</t>
  </si>
  <si>
    <t>Rpaudlin</t>
  </si>
  <si>
    <t>…nte al país de Vaud algu-í nos dias há, fue arrestado en la noche del 3 al 4 de este mes, en la casa dé campo-de ALlamand , que está1 cerca de Rolles. La orden vino de Berna, y el coronel Rpaudlin la egecútó con una compañía de carabineros de San Galo. Josef Bonaparte quiso salvarse por una puerta escusada; mas habiendo ob— servado que toda lia casa estaba rodeada de tropas, volvió á entrar en ella para esconderse. Un soldado, que.entró :á'obscuras en…</t>
  </si>
  <si>
    <t>Rpcker</t>
  </si>
  <si>
    <t>…te inglés y con el pre^ fecto -de maripa resulta que Napoleón llegó el. 3 á Rochefbrt, y que pe miañe*» ció ep .esta prefectura hasta el o * en que á instancias que le hicieron el general Rpcker ^encafgádo de eseo 1 tarjo. á bordo , «y ¿el barón. Connefoux, prefecto marítimo, para¡c|ue se aprovechase de la proporción favorable que ofrecían las, maceas y los vientos, se decidió en fíq á embarcarse en las barcas que le esperaban, y marchó á las 10 de l…</t>
  </si>
  <si>
    <t>Rramíréz, Juan</t>
  </si>
  <si>
    <t>Juan Rramíréz</t>
  </si>
  <si>
    <t>sitio: 22J dichos en&lt;id. id.: otra haza, 10 marjales en id. id.: otra id. de 10 id. id. id.: otra id, 10 id. id. id.: otra id. 4id. id. Capellanía de D. Juan Rramíréz deí Arco. Una haza, 33 fanegas tierra^ pagodel barranco. d£.Iá$ Caleras, Montefrio: 3. id. ¿dé 50 fanegas 3- celemi nes tierra, pago de los pe chos.de Aguila r nid • iiobo de'1 feo fanegas de tiefrá eñ idl ; Capellanía de D. Francisco Ruiz Santofiinia. Uña ca…</t>
  </si>
  <si>
    <t>Ru, Antonia</t>
  </si>
  <si>
    <t>Antonia Ru</t>
  </si>
  <si>
    <t>…Mariano García, sus dueños, quienes informarán de las demas circunstancias. José María Maza, natural de la ciudad de S. Fernando, y domiciliado en Cá diz, hijo de IX Domingo y de Doña Antonia Ru iz, entró de voluntario en el año ¿z 1808 en el regimiento provincial de Xerez de la Frontera, y fu« hecho cabo de la quarta compañía; fue herido en el ataque de Somosierra, y desde entonces su familia ignora su paradero. Algunos han informado haber muerto en…</t>
  </si>
  <si>
    <t>Ruá, Angel</t>
  </si>
  <si>
    <t>Angel Ruá</t>
  </si>
  <si>
    <t>…non ie Cárlos, 0, RafaelCisneros., 0. Joaquín Antíllon, D. Josef Oimedllía , 0. Luis.Cortey, 0. Manuel Montero., .0. Manuel Pío Moreno, D. Andrés Carbáileiro, B. Manuel de Mutiasy D. Angel Ruá?^Don</t>
  </si>
  <si>
    <t>Ruano, Francisco Mana</t>
  </si>
  <si>
    <t>Francisco Mana Ruano</t>
  </si>
  <si>
    <t>…permiso del ordinario eclesiástico para que declarase este dia festivo en aquella ciudad y su término. En su consecuencia el 6 de Mayo Último , despues hecho el corregidor de ella D. Francisco Mana Ruano una ^visita-se ^reunieron con el ayuntamiento en las casas .ca]pit^lares las cAorporaeipnes y sugetos distinguidos de aquel pueblo y su término , y "formado en la plaza el destacamento del regimiento provincial de la misma ciudad, se dirigió toda la comitiva,…</t>
  </si>
  <si>
    <t>Ruano, Juan Antonio</t>
  </si>
  <si>
    <t>Juan Antonio Ruano</t>
  </si>
  <si>
    <t>…or general de milicias ha hecho presente al Rey nuestro Señor, que el general ministro de Seguridad pública habla puesto á su disposición la cantidad de 6® rs. vfi. que le remitió D. Juan Antonio Ruano, vecino de ia villa de Cabra , con destino ái vestuario de las divisiones de granaderos y ca-</t>
  </si>
  <si>
    <t>Ruano, Juan María</t>
  </si>
  <si>
    <t>Juan María Ruano</t>
  </si>
  <si>
    <t>…ovia: para el de las Alpujarras del reyno de Granada, su ca-^ pita! Uxijar, á D. Joaquín Castells y de Montaner: para el de Loxa á Don Juan Víctor Navarro: para el de Chinchilla á D. Juan María Ruano: para el de Marbella á D. Marcos Cachapero:. para la vara de Purchena á Don Francisco Fernandez: para la de Tobarra á D. Antonio Roca y Bayot: para la de Adra, Berja y Dalias á D. Ramón Rodríguez Vélaseos para la de Puerto Real á D. Joaquín Pardiñas de Soto:…</t>
  </si>
  <si>
    <t>Rübalcava, Alejo Gutiérrez de</t>
  </si>
  <si>
    <t>Alejo Gutiérrez de Rübalcava</t>
  </si>
  <si>
    <t>…tnarate,: ¡ DJ Eduardo Briant, D. Ramón Ortiz Otañez, Dv Miguel Palacios Ruiz, D^ Ramón Aguí lar, D. • Josef del:Camino y Cami no, D. Felipe Perez Acevedo, D. Ramón de la Sierra , D. Alejo Gutiérrez de Rübalcava, D. Luís Moreno ,D. Ignacio Acedo , D. Antonio Miranda , Don Manuel Lobo , D. Joaquín Delgado , D. Benito Basabe, D.Márcos Guruceta, D. Roque Guruceta ,D. Pedro Nuñez , D: Tomas Urreclia, D. 'Joaquín Blan co oMaldoñádoy;D. - Tobías Blanco Cabrera, D. Francisc…</t>
  </si>
  <si>
    <t>Rubín, Manuel Antonio Blanco y</t>
  </si>
  <si>
    <t>Manuel Antonio Blanco y Rubín</t>
  </si>
  <si>
    <t>…en su virtud no podía ser considerado sino como un bandido (brigand) puesto fuera de la ley de las naciones. ESPAÑA. Madrid 24 de Marzo, El día 5 de Noviembre último tuvo el honor D. Manuel Antonio Blanco y Rubín, presbítero, vecino de la jurisdicción de Montes en Galicia, de felicitar á S. M. á nombre de dicha jurisdicción en los términos siguientes: ,,Señor: los habitantes de la jurisdicción de Montes, desde la época en que han comenzado á experimentar los males que…</t>
  </si>
  <si>
    <t>Rubio, Basilio</t>
  </si>
  <si>
    <t>Basilio Rubio</t>
  </si>
  <si>
    <t>…melo, del mismo Regimiento Provincial de Santiago; D. Ramón Taboada, del Provincial de Betanzos; O. Antonio García, del de Lugo; D. Francisco García, del de Orense; D. Josef Orus, D. Basilio Rubio, D Antonio Cermeño , D. Alon so Puebla y D. Antonio Alonso Isla, del de Voluntarios de León; D. Ma riano Alonso y D. Francisco Osorio, del Depósito general de Infantería; P. Alexandro Benisia, de la escuela militar de Santiago; D. Francisco Julia, de Cazadore…</t>
  </si>
  <si>
    <t>Rubio, Blas</t>
  </si>
  <si>
    <t>Blas Rubio</t>
  </si>
  <si>
    <t>…r de Abion, que jo está por muerte de D. Diego Bernardo Oruña, y el beneficio simple de Castrilio de lá Vega, que se halla también vacante, y todos tres en el obis pado de Osma, á D. Blas Rubio, presbítero, en premio de sus servicios en la última guerra contra el usurpador del trono. Habiéndose dignado S. M. admitir los donativos que hanhhecho D. Lá zaro Carvajal, asentista de varias brigadas de los Reales exércitos, de 580 reales'vellón, y D. Alons…</t>
  </si>
  <si>
    <t>Rubio, Estéban</t>
  </si>
  <si>
    <t>Estéban Rubio</t>
  </si>
  <si>
    <t>…, D. Francisco Sierra, D. Diego Osorio y D. Gregorio Diez, del de Voluntarios de León; D. Josef Yanguas, D. Josef Osorio, D. Francisco Sillero, D. Juan Sánchez, D. Alexandro Saez, D. Estéban Rubio y D. Gabriel Yanguas, del de Cazadores de León ; D. Ramón Mo reno, de la escuela militar de Santiago; D. Manuel Moreno y D. Andrés Pierola, del Cuerpo de Artillería; D. Antonio Freyre, del de Zaragoza, y D. León Ovalle, del de Cazadores del Rey; y grado y sueldo de Subte niente á…</t>
  </si>
  <si>
    <t>Rubio, Felipe</t>
  </si>
  <si>
    <t>Felipe Rubio</t>
  </si>
  <si>
    <t>…Ciríaco de Eito, natural de Zarago za, y de D. Vicente Gascón y Aguirrc, oficial que fue de la contaduría de egército de aquella ciudad , ó de sus herederos, se servirá avisarlo á D. Felipe Rubio, vecino de la villa de Cáceres, D. Josef de Prada López, en Madrid, calle dé las Infantas, núm, 14, cuarto principal, los cuales tienen que comunicarles hoticias interesantes. ... ■■■ '•&gt; .• i La lengua de los cálculos, escrita por el abate Condillac: impresa…</t>
  </si>
  <si>
    <t>Rubio, Josef</t>
  </si>
  <si>
    <t>Josef Rubio</t>
  </si>
  <si>
    <t>…Castro y Tovar, D. Josef 01mo,D. Juan de Arcos ,D.Pedro Recaudo!,pon Miguel Rabe, D. Antonio Josef Royo , D. Domingo Cheli y D. Cenon Gar cía: á los capitanes marques dé A-yerve , D. Josef Rubio ¡ B. Aníbal Chela, D. Antonio Melgarejo, D. Miguel María Campero, D. Baltasar Belmohte, D. Manuel Mendoza, D. Manuel de Reina; D. Josef Navarro, D. Miguel Mauduit, D. Francisco Rico., D. Ramón de Tuertólas *D. Antonio Gállarza^ -D. Luis Campos, D. Josef Serón…</t>
  </si>
  <si>
    <t>Rubio, Manuel</t>
  </si>
  <si>
    <t>Manuel Rubio</t>
  </si>
  <si>
    <t>fenfado.- en- équel juzgado, eti el que podrin hacerlo por U escribanía del húmero de D. Manuel Rubio de: Tejada* r . j Se cita y emplaza por último término 4 los acreedores á los bienes de Dofia Juatía María de Rozas, difunta, vecina &lt;que fue de Búrgoa,y últimamente de csta corte , y se aeñala el término de 30 dfas, dentro de los cuales deberán dicho* acreed…</t>
  </si>
  <si>
    <t>Rubio, Victoriano Aznar y</t>
  </si>
  <si>
    <t>Victoriano Aznar y Rubio</t>
  </si>
  <si>
    <t>IOIO ' la de Tortosa á D. Victoriano Aznar y Rubio: para la de Jaca á D. Josef Ibarlueea: para la de Lérida á D. Josef Ruiz Manzanopara la de Alcira á D. -Lorenzo Ventura de Dueñas : pira la de Vique á D. Mahuel Frutos: pa ra la de Tárrega á D. Gregorio Sancho Granado r para la de Segorve á Don josef Tomas Ap…</t>
  </si>
  <si>
    <t>Rueda, Juan Josef Gutiérrez de</t>
  </si>
  <si>
    <t>Juan Josef Gutiérrez de Rueda</t>
  </si>
  <si>
    <t>…al egército en la pasada guerra.__ D. Manuel de Zeca y Galan, capitán re tirado del Real cuerpo de arriliería, 16759 rs. y 26 mrs. resto de un crédi to contra la- Real hacienda. _D. Juan Josef Gutiérrez de Rueda 17237 rs. vn. que íe debe la Real hacienda. —£1 cuerpo y particulares del cabildo eclesiástico de la iglesia de Urgel 913966 rs. y 31 mrs. que dieron de dona tivo y prestado, para las urgencias de la última guerra.__ El conde de Cer rera los réditos devengado…</t>
  </si>
  <si>
    <t>Ruesgas, Vicente Diez</t>
  </si>
  <si>
    <t>Vicente Diez Ruesgas</t>
  </si>
  <si>
    <t>…o Marzo y Torres pa ra la vara de alcalde mayor de la villa de Mbmblanch: para la de la ciudad de Balaguer á D. Agustín Velasco Calleja: para la de la villa de Callosa de Segura á D. Vicente Diez Ruesgas: para la de Lombay á D. Manuel Polar y Clemente: para la de Bicon y Quesa á D. Francisco de Paula Villareal: para la de Enguerá á D. Manuel Alonso Hernández: para la de Castellón de Nules á D. Luis Castroverde: para la de Ayelo de Maiférit á D. Antonio !Lorca…</t>
  </si>
  <si>
    <t>Rufi, Mariano</t>
  </si>
  <si>
    <t>Mariano Rufi</t>
  </si>
  <si>
    <t>…Marcos Nuñez y Ábreu, gobernador militar y político del partido- dé Infantes , en la provincia de lá Mahcha ; yén ribm-2 bre de la villa de Tarazona, en la misma provincia, el Dr.D. Mariano Rufi no González, corregidor que fue de la misma, y electo alcalde de corte eri el. consejo Real de Navarra, haciendo entrambos por su parte presente á S.'M. los servicios que hicieron aquellos pueblos én su firme resolución de sacrificarse en su defensa, y de per…</t>
  </si>
  <si>
    <t>Rui, Pedro</t>
  </si>
  <si>
    <t>Pedro Rui</t>
  </si>
  <si>
    <t>…el gran Carlos 111. * * , Madrid 27 de Enero. ¿ - i ■ " • * / ■ L * 1 ¡. - * " * ‘1 - ‘' ... El día 24 de'Setiembre^último tuvieron el honor de presentarse y besar la mapo á S. M, D. Pedro Rui* Ledradoteniente de cura de la villa de IJuerta de Valdecarabanos, y JÓ. Juan Nepomucenp Moreno, ve.cino de ella, los que felicitaron á S. M. á nombre del clero y villa en los térmi nos síjgtiientes i ¡ „Señor: el ckro y villa de Huerta se presenta íV. M. por…</t>
  </si>
  <si>
    <t>Rui, Ramón</t>
  </si>
  <si>
    <t>Ramón Rui</t>
  </si>
  <si>
    <t>San Pedro y D. Ramón déla Cartera; y en la qnarta D. Ramón Rui* de Egullaz'y Pe redo y D. Pedro Rosi Todo ha merecido la aprobación del pÚbliOó qué no ceso en todo el día y aun el siguiehte de reconocer y ad mirar las ob*^ as de los premi..dos, y otras de los que no lo fueron, pero que dan esperanzas dé que llegarán á se…</t>
  </si>
  <si>
    <t>Ruiperez, Francisco Calvo</t>
  </si>
  <si>
    <t>Francisco Calvo Ruiperez</t>
  </si>
  <si>
    <t>…a, en consideración á sus mé ritos y dilatados servicios: para una ración, que se halla también vacante en dicha iglesia metropolitana por muerte de D. Julián García de Paredes, á D. Francisco Calvo Ruiperez; y para una media ración de esta propia igle sia , vacante por muerte de D. Rafael del Mármol, á D. Josef Larena. El Rey nuestro Señor se ha dignado conceder grado de coronel de exército al teniente coronel D. Msteo Ballesteros, comandante del tercer batallón…</t>
  </si>
  <si>
    <t>Ruis, Pedro</t>
  </si>
  <si>
    <t>Pedro Ruis</t>
  </si>
  <si>
    <t>…lá déTlíé^cáé'losíSreáiíiD. ’JRtfrtiort^QiiinteroiGómez , corregidor ^ranóísCóbXavifer- dé Valdésy piíesbítero; D. Viéenre FBrñárid^^e Soto ^Tégidór décaho por su estado libbJev y D. Pedro Ruis:; ^éF'ié^lidp^é^élló^dixó'V' *'^ 77 - *. •.&gt; &lt;.r-'rí “^J/SéñÓr'Hafmuy fióble y muy leal Vuestra villa de Illescas tiene el .há-nór-dé- presentarse: pór inedio de su comisión á L. R. P. de V¿ Mv* y ofrér^^f^lós^míí ré^p'etúoíbsbbóáienages dé lealtad, y felicit…</t>
  </si>
  <si>
    <t>Ruiz, Alonso</t>
  </si>
  <si>
    <t>Alonso Ruiz</t>
  </si>
  <si>
    <t>…era hasta el 18 del mismo. ! . ^ ■ Del conocimiento de Dios y de sí mismo óbra póstiiina del Timo. ,SÍr. -D. Jácóbo Benigno Bossuet, obispo de Meaux, y traducida al castelIanb pór D. Alonso Ruiz de la Pina. Son bien conocidas en el orbe literario las obras ae ésfe célebre autor, y por lo tanto no necesita esta de recomendación, pues sütitulo basta pata conocer el mérito de ella, en la cual trata exactamente que toda la sabiduría del hombre consiste e…</t>
  </si>
  <si>
    <t>Ruiz, Angel Casimiro</t>
  </si>
  <si>
    <t>Angel Casimiro Ruiz</t>
  </si>
  <si>
    <t>…e su existencia Ó fallecimiento se dignará avisar en Madrid i D. Manuel de Uliarté, del comercio, en la plaza Mayor, y en Daroca á D. Estékan Eznarcegá. El que sepa donde se halla D. Angel Casimiro Ruiz, natural de Aranda de Duero, y capitán de cazadores del regimiento de Cantabria, se servirá avisarlo en Madrid, á p. Manuel de Trasviña, del comercio, calle de Postas, ó en ValladoliJ á loS'Srs. D. Remigio Diaz y compañía. Sé desea. saber el paradero ó fallec…</t>
  </si>
  <si>
    <t>Ruiz, Epifánio Ignacio de</t>
  </si>
  <si>
    <t>Epifánio Ignacio de Ruiz</t>
  </si>
  <si>
    <t>…sos dte la crea ción de Mayo, números 385620, 385619, 385618,385617, 385616, 385612, 385609, 385601, 385600, 385595, 385556, 385547, 385546, 385545 y 385544, que mor*r debió dexar D. Epifánio Ignacio de Ruiz, comisario de guerra de los Reales exércitos en la ciudad de Cádiz, pertenecientes á Doña Pau la de la Cruz y Mendoza, viuda del mariscal de campo D. Joaquin de Mendoza, gobernador político y militar que fue de la plaza de Gerona, se servirá presentar los al…</t>
  </si>
  <si>
    <t>Ruiz, Gerónimo</t>
  </si>
  <si>
    <t>Gerónimo Ruiz</t>
  </si>
  <si>
    <t>…ario de la iglesia de Málaga. = La canongía que ha resultado vacante en la catedral de Lérida por promoción de D. Josef Abela y Caba llero á la dignidad de-prior de la de Coria, á D. Gerónimo Ruiz, con dimi sión de la capellanía doctoral que obtiene en el Real convento de la Encarna ción, conservándole los honores y prerogativas de esta plaza. = La canongía vacante en la catedral de Orihuela por fallecimiento de D. Josef Pujante á D. Josef Vivas de Ara…</t>
  </si>
  <si>
    <t>Ruiz, Juan</t>
  </si>
  <si>
    <t>Juan Ruiz</t>
  </si>
  <si>
    <t>…D. Mariano Al-* dama, D. Pablo Estogui, D. Policarpo Aldama, D. Josef Guerrero , D. Jo^.ef Torrubiai, Di Gabriel del Rio, D. Juan Gutiérrez, D. Tornas de Codes, Di Josef Navarro; D. Juan Ruiz &gt; D. Salvador González, D. Rafael Solano, Di Josef; Majríaí Prieto , Q¿ Fráncisco Cervera &gt; D. Francisco , Cascos, D. Juan Tejadár, DvBasilioBayoni, D.Joaquin Dolz, D. Salvador Arnardo, D. An tonio Marcoletá, D, Josef Gáliano, D. Manuel Ayolo, D. Ignacio Camb…</t>
  </si>
  <si>
    <t>Ruiz, Simón</t>
  </si>
  <si>
    <t>Simón Ruiz</t>
  </si>
  <si>
    <t>…adrillo, tasádo todo con el arboladoide dicha huerta en 178092. rs. vn. Quien quisiere hacer postura, acuda ante el citado-señor .juez,-y por-la escribanía dé provincia que egerce D. Simón Ruiz,que se admitirá sieiido arreglada á derecho. Se desea saber el paradero de Vicente Este lies y Fabrá, natural de Godella, sol dado de la tercera compañía del Segundo regimiento de Valencia , que filé hecho pri sionero en Uldecona á fines del año de 181 o ó pr…</t>
  </si>
  <si>
    <t>Ruiz, Vicente</t>
  </si>
  <si>
    <t>Vicente Ruiz</t>
  </si>
  <si>
    <t>…L&gt;. Benito Reehel, D. Gaspar Nogueruela, Don Luis Medinilla , D. Pedro Medinilia, D, Joaquín García., D. Gregorio Arta-r cho, D. Josef Aguilar, D. Antonio Quadra, D. Felipe Doria, D. Vicente Ruiz)jD. ^Ramón-Quinan^ &amp; Geróriimq»dé G.éus, IX Josef Carrasco , Don josef Rae^a f ,D. Miguel Sánchez,,¡ D. Litis Vidarte, D. Tiburcio Martínez, IX Rufino; Andinql IX Antonio la Rosa i D. Pedro Albo, D. Nicolás Giezar, DvJuanVicente , D. Eduardo Paules , ,D. Fran…</t>
  </si>
  <si>
    <t>Ruper</t>
  </si>
  <si>
    <t>…n la de la Nava del! Rey á D. Juan Amó* nio Bernal hasta que cumpla el suyo: en la de .Odiar de Baza a D. CárloS Co va rubias hasta que cumpla los seis años; y en la de Alinonte-á D. Ruper* to de Orozco hasta cumpfir seis años. El Rey nuestro Señor se ha servido conceder los honores de su secretarlo ’ orden dei D. Joaquín Hidalgo González., caballero dé la Real y distinguida Carlos ni, y oficial mayor de la secretaría de comercio, moneda y mina…</t>
  </si>
  <si>
    <t>Rusia, Algarotti'sobre'la</t>
  </si>
  <si>
    <t>Algarotti'sobre'la Rusia</t>
  </si>
  <si>
    <t>…Se hallara en la librería de González, ~ífente á los Gremios; en la de Sánchez, calle de Toledo, y en la de Rodríguez, calle de las Carretas: su precio 3 rs. vn. :' !' .Cartas del conde Algarotti'sobre'la Rusia, traducidas por D. Ramón Tamayo: • un tomo en 8.® Véndese en la librería de Escribano, calle de las Carretas: su pre cio 5 rs. Letrilla sagrada al nacimiento del Hijo de Dios: por D. Benito Iñiguez de Heredia, presbítero. Véndese en la librería de Gómez , cai…</t>
  </si>
  <si>
    <t>Ruspini</t>
  </si>
  <si>
    <t>…a junta general de accionistas del Banco ha determinado que se pagué lín dividendo de 6 por íóo por él semestre qué concluye en 5 efe Octubre. El Emperador de Rusia ha regalado al caballero Ruspini, que vive en la dallé de Pall Malí, un anillo adornado dé un gran diamante, en muestra de SO aptdbacioh por el instrumento que há inventado para extraer las balas tfé^as-héridáS¡--&lt;Ky:.; ;y: 0 "/r: '''■%• 1 - • '■V"-'" ■ ^^ Está ya^féstíelto ^ué lás tropas In…</t>
  </si>
  <si>
    <t>Ruvial, Josef</t>
  </si>
  <si>
    <t>Josef Ruvial</t>
  </si>
  <si>
    <t>…: para la de Gimena á D. Josef Mateos y Valle: para la de Garrobillas á D. Dionisio Marcelino Angulo: para la de Cuevas de Vera á D. Josef Vicente de Castro: para la de Benvipre á Don Josef Ruvial: para la de Orgiva á D. Gines Muñoz Paíao: para la de Revi lla á Juan Bautista Loperraez: para la de Ardales á D. Miguel Plácido Cañete: para la de Cañete á D. Manuel Díaz del Castillo: para la de Montoro á D. Josef Vaceda y Gómez: para la de Tolox y Monda á…</t>
  </si>
  <si>
    <t>S, A.</t>
  </si>
  <si>
    <t>A. S</t>
  </si>
  <si>
    <t>…que se hizo de esta obra bastante recomendable, asi por el mérito del original como por el de la traducción. Polinice ó los hijos de Edipo, tragedia en cinco actos, traducida por D. A. S.; executada por primera vez en el teatro de los Caños del Peral en 15 de Abril de 1806. Se hallará en la librería de Gila, calle de las Carretas. EN LA IMPRENTA REAL.</t>
  </si>
  <si>
    <t>S, G. G. G.</t>
  </si>
  <si>
    <t>G. G. G. S</t>
  </si>
  <si>
    <t>…viva la nación española &gt;* y viva nuestra fiel pro* viñeta. : . ' (, . ; ■■ r ’ :■ r0 » Inmediatamente se publicó el bando con la solemnidad militar que cor* responde, mandando el Sr. G. G. G. S. obedecer el decreto, que fae de mera fórmula para lo jurídico, pues toda la ciudad salió acompañándolo tú tprjunfo, siendo el mejor pregonero de los derechos del Rey. A pesar de la incomodidad de¿Ia hora, las señoras"de la primera gerarquía salieron én sus vo…</t>
  </si>
  <si>
    <t>S, Nuncio de S.</t>
  </si>
  <si>
    <t>Nuncio de S. S</t>
  </si>
  <si>
    <t>. 1404 misa solemne de Concepción en que celebro de pontiíicial el Excmo. Señor Nuncio de S. S. en calidad de prelado de la misma Orden; y concluida la función se retiró S. M. con el mismo acompañamiento, observándose las for malidades acostumbradas. ARTICULO DE OFICIOEl Sr. ministro de Rusia en esta corte ha participado de oficio el estable» cimiento d…</t>
  </si>
  <si>
    <t>S., Blucher y</t>
  </si>
  <si>
    <t>Blucher y S.</t>
  </si>
  <si>
    <t>…el egército. ingles de la otra, han convenido en los artículos se guientes: art. i.® Habrá una suspensión de armas entre los egércitos aliados man dados por S. A. el feld-mariscal príncipe Blucher y S. E. el duque de We llington y el egército francés que se halla á las murallas de París. art. 2.0 En el dia de mañana el egército francés empezará á ponerse en marcha para acantonarse á la otra orilla del Loira., Dentro de tres dias París quedará enteramente evacu…</t>
  </si>
  <si>
    <t>Sa, Juian González</t>
  </si>
  <si>
    <t>Juian González Sa</t>
  </si>
  <si>
    <t>…e iuéiasiía'^eh, vbtúa-'^a¿ Real facultad p¡ t U audiencia del Sr. D. León de la Cámara C ¡no , uniente primero de corregidor de esta villa, por la escri ba ní,i yacanteque sirvió D. Juian González Sa¿z, y despa cha D. Jacobo Manuel Manrique , ff,,ha|&gt;,eqaÍado p^ra su remete .el jdiá 29 deí cor,Tiente a lás í"2 de su mañ^na^en la audiencia de di*hó señor í lo que se anuncia al público pata,su inteligencia* t; , v ¡ vJ. 1 Por sentencia de la’chmciííjeria dé…</t>
  </si>
  <si>
    <t>Saave, Fabian de</t>
  </si>
  <si>
    <t>Fabian de Saave</t>
  </si>
  <si>
    <t>…; á D. Manuel Ri bero, D. Joaquín Quadrado, D. Francisco Escovar, D. Salvador S. Juan, y D. Josef Renau, del segundo Batallón de idem;á D. Joaquín Rodríguez, 0. Vicente González , D. Fabian de Saave4xa, D. Casimiro Vinuesa, y D. Santiago Gómez, del tercer Batallón de ídem; á D. Francisco Topete y D. Juan de Acuña , Ayudantes de dicha plaza ; á D. Juan Galeas , agre gado al Estado Mayor de la misma', y á D. Josef Bérmudez, del Batallón de Urbanos : al gra…</t>
  </si>
  <si>
    <t>Saavedra, Francisco Eleuterio Abad y</t>
  </si>
  <si>
    <t>Francisco Eleuterio Abad y Saavedra</t>
  </si>
  <si>
    <t>…va de su muerte, tenga la bondad de comunicarla ó á su mu ger Doña Josefa Almoyna de Cora, residente en la villa de Vivero , obispado de Mondoñedo, reyno de Galicia, ó en Madrid á D. Francisco Eleuterio Abad y Saavedra, que vive calle de las Carretas, núm. 11, pues conviene mucho, y hará un favor grande á su familia, y el gobierno lo apreciará para el arreglo de ciertas providencias que le están solicitadas. Los subscriptores á la geografía universal descriptiva , histórica…</t>
  </si>
  <si>
    <t>Saavedra, Josef Arias</t>
  </si>
  <si>
    <t>Josef Arias Saavedra</t>
  </si>
  <si>
    <t>…rigo Sánchez Airona, D. RaU* hiel Arango, D. Lean. Grl de Palacio, D. Joaquín Villaba, 0. Antonia ¡Sén quera, 0. Manuel Zacates, D. Pedro de la Llave, 0. Josef Mariano dél Puk ar, D. Josef Arias Saavedra, 0. Antonio Hoscoso , Salvador Moreno* Vicente Vázquez, D. Tomas Dolagaray, D. Silvestre Blanco , D.&lt; Pedrof Valera, D. Santiago Piñeiro, D. Juan de Mata Marina, 0. Fernando Ruiz&gt; 0, Fulgencio de Toro, D. Andrés Costa, 0.: Manuel Guillelmi ;0.^Jüañ Pé rez Dd…</t>
  </si>
  <si>
    <t>Sabés</t>
  </si>
  <si>
    <t>…ngers vaí iguálmi^t^ córtónao1 lá^ comunicacióne¿ por aquel lado. Asimismodicenque los álíádos én'Wúinéro deioo^ hombresfian/ penetrado en Francia por las frónterá^del Norte! ^ El general Sabés, que viene á exercer las funciones del geíe de! estado mayor, ha llegado esta madrugadaá esfa ciudad &gt; y en todo este dia se espe ra ai teniente generabLamothé,nombradocopandan te general de esta pla-: •ti. aa y ciudadela.’* u-&lt;y- • t; ^ r; £ * . i . ■■ : r ■…</t>
  </si>
  <si>
    <t>Sachen</t>
  </si>
  <si>
    <t>…arán desde luego en campaña , y uno de reserva * que. se situará en el ducado de Varsovia á las órdenes del general Szachowsky para reforzar-1 i los otros en caso de necesidad. El general Sachen permanece todavía en Bamberg; pero el general Woronzow, que manda su vanguardia, ha establecido ya su cuartel general en Namur cerca del alto Mein. En&gt;F&lt;ancoaia esperan en -breve al Emperador, de Rusia, que debe ir allá</t>
  </si>
  <si>
    <t>Sacken</t>
  </si>
  <si>
    <t>…una guerra para defender : su propia seguridad, su libertad y su honor, y sabe también lo que hay que esperar de Bonaparte y de los que le rodean; — EllengOage dé la proclama del general Sacken, de 24 del .pasado, se sabe qué'ha incomodado mucho á Napoleón, :que aparenta ahora moderación para atraerte la confianza del pueblo. T i ? r&gt;Se ha expedido orden á los comlndantes de marina del departamento de Pomn&amp;onth de alistar lóís marineros que se neces…</t>
  </si>
  <si>
    <t>…'puertos de Prusia han, salido transportes conside rables de víveres y de fprrages .para Holanda. , La primer columna del eg&lt;5rcito ruso pasó por Breslau el 20 del corrienrte. El general Sacken llegó á aquella ciudad el 15. El príncipe Antonio; de'Raaziwill va á establecerse en Posen en calidad de. goberq^dpr do da^Polo^iV prv^ianav Se asegura; que el i.° de Mayo es el día señalado para la toma de posesión de la Polonia rusa y prusiana ; y aña den q…</t>
  </si>
  <si>
    <t>1277</t>
  </si>
  <si>
    <t>…estas que pudieran resultar de su conducta. Dado en Lnbeck: á 8 de Octubre de 1815.” Manheim 1$ de Octubre. Por aqui ha principiado á pasar el cuerpo de egcrcito ruso que manda el general Sacken, y todos los dias vemos llegar diferentes regimientos de infan tería y de caballería. Parte de los equipages de S. M. el Emperador de Rusia ha pasado por esta ciudad con dirección á Wurtzburgo. Francfort 15 de Octubre. El general prusiano Krunsenek y el conse…</t>
  </si>
  <si>
    <t>Sackenque</t>
  </si>
  <si>
    <t>…. --Él..paso.del..egército ruso durará hasta mediados de Octubre. Para el día x,° de este mes se espera en. Oppenlieim la vanguardia del cuerpo de egército* al mando del Teniente general Sackenque. debe, repasar el Rhin. por. aquel. punto* í , Ueillronn■. .2-4: de Setiembre,. ; , Han llegado á Cannstadt cinco batallones dé tropas, austríacas que vuéVmsn de la A Lacia, y han. pasado, ya el Necker dirigiéndose al Austria: por la. Suabia inferior. : :¡r T…</t>
  </si>
  <si>
    <t>Sacristán, Ruperto</t>
  </si>
  <si>
    <t>Ruperto Sacristán</t>
  </si>
  <si>
    <t>…sis: la canongía que ha vacado en dicha iglesia por fallecimiento de D. Josef Sán chez Velasco á D. Josef María Valladares, medio-racionero de la misma ca tedral; y esta resulta á D. Ruperto Sacristán, teniente cura de la Real cole giata de S. Ildefonso. = La canongía vacante en la catedral de Lugo por muer te de D. Joaquín Bear á D. Juan Pedro Miranda, cura párroco de Cabanillas en el obispado de León, y capellán del cuartel general del cuarto egército; y…</t>
  </si>
  <si>
    <t>Saeñz, Eduardo María</t>
  </si>
  <si>
    <t>Eduardo María Saeñz</t>
  </si>
  <si>
    <t>…sco Porro y Peynado, á Don Gerónimo Castillon y Salas, maestrescuela de la catedral de Huesca: para la de Hoesca, vacante por muerte del limo. Sr. D. Joaquín Sánchez de Cutanda, á D. Eduardo María Saeñz de la Guardia, deán de la iglesia cate dral deJLéfida: para el deanato de la iglesia catedral de Barbastro, vacante por fallecimiento de D. Francisco Falces, á D. Joaquín Allue y Bendicho, canónigo de la misma,catedral» y para el oficio regular, dignidad de l…</t>
  </si>
  <si>
    <t>Saenz, Eduardo María</t>
  </si>
  <si>
    <t>Eduardo María Saenz</t>
  </si>
  <si>
    <t>vrou muerte de D. Josef Fernandez Mesa á D. MartinianoFrancisca) Pastor; ssEi deanato y canongía de la catedral de Lérida, vacantes por promoción de Don Eduardo María Saenz de la Guardia á la iglesia y obispado dé Huesca, á Doit&gt; Cayetano Foncerrada, canónigo de la iglesia metropolitana de Mégico : unacanpngía; vacante ep 1.a. misma catedral de Lérida por fallecimiento de Don ' Antonio, pastorel 4 D&lt; Manuel de Urtazum , benefici…</t>
  </si>
  <si>
    <t>Saenz, Josef</t>
  </si>
  <si>
    <t>Josef Saenz</t>
  </si>
  <si>
    <t>…D. Rafael, Cor réa, D. -P ed ro Ortega:, Di Josef Vázquez, D. Josef Estrada; D. Ramo» Romero, D. Joaquini Edhevarría; Dv Casimiro Cañedo, D. Josef Cebrian ,;D. Salvador Pa nlagua, D. Josef Saenz dé Viniegra, p. Narciso Gómez.Quintana, D. Ca yetano Pimente! ,:yá los ‘artilleros distinguidos D. Manuel Rodríguez Sote* lo, D. Tomas Saenz y D.í ¡ Josef Riera. V !* ! ^ ' - ■ . ; i -/cS ■' ■ &gt; . • : r.:u v.,* : S. M. ha nombrado oidor de la chancilíería de…</t>
  </si>
  <si>
    <t>Saez, Alexandro</t>
  </si>
  <si>
    <t>Alexandro Saez</t>
  </si>
  <si>
    <t>…on, E&gt;. Cosme Arias, D. Francisco Sierra, D. Diego Osorio y D. Gregorio Diez, del de Voluntarios de León; D. Josef Yanguas, D. Josef Osorio, D. Francisco Sillero, D. Juan Sánchez, D. Alexandro Saez, D. Estéban Rubio y D. Gabriel Yanguas, del de Cazadores de León ; D. Ramón Mo reno, de la escuela militar de Santiago; D. Manuel Moreno y D. Andrés Pierola, del Cuerpo de Artillería; D. Antonio Freyre, del de Zaragoza, y D. León Ovalle, del de Cazadores del…</t>
  </si>
  <si>
    <t>Saez, Antonio</t>
  </si>
  <si>
    <t>Antonio Saez</t>
  </si>
  <si>
    <t>…ez y D. Josef Freyre: á subtenientes de granaderos ¿ los de fusi leros D.^ Miguel Román, D. Francisco Josef Miura y D. JoSef Céspedes: ¿ subtenientes de fusileros á los de bandera D. Antonio Saez, D» Franciscó Caro, D. Juan Tomas de la Torre y D. Josef Rivas: á subtenientes de ban dera ¿ los cadetes D. Josef María Arroyo, D. Pedro Safazar, D. Diego Li atón, y kl sargento primero de granaderos D. Serafín Adrián. En consideración al mérito contraído en…</t>
  </si>
  <si>
    <t>Safazar, Pedro</t>
  </si>
  <si>
    <t>Pedro Safazar</t>
  </si>
  <si>
    <t>…entes de fusileros á los de bandera D. Antonio Saez, D» Franciscó Caro, D. Juan Tomas de la Torre y D. Josef Rivas: á subtenientes de ban dera ¿ los cadetes D. Josef María Arroyo, D. Pedro Safazar, D. Diego Li atón, y kl sargento primero de granaderos D. Serafín Adrián. En consideración al mérito contraído en la Florida Oriental en las últi mas ocurrencias por los milicianos urbanos , se ha dignado S. M. conceder grados de provinciales á los individuos…</t>
  </si>
  <si>
    <t>Sagredo, Fernando López de</t>
  </si>
  <si>
    <t>Fernando López de Sagredo</t>
  </si>
  <si>
    <t>…y Zavala: para la de Lora del Rio á D. Manuel Josef Rodríguez: para la de Colmenar de Oreja á D. Pedro Carbonero: para la de Roa á D. Josef Fernandez Almansa: para la de Ronda, á D. Fernando López de Sagredo: para la de Alcañiz á D. Manuel Valonga Zaidin: para la de Casares y su ruebla de Manilva á D. Justo Rodríguez Hurtado de Bruna: para la de Sanlúcar la Ma yor á D. Juan Ribera: para la de Calasparra á D. Josef Antonio Picazo: para la de Jumilla á D. Francisco…</t>
  </si>
  <si>
    <t>Sagredo, Ignacio Gil de</t>
  </si>
  <si>
    <t>Ignacio Gil de Sagredo</t>
  </si>
  <si>
    <t>…dríguez Valenzuela: para la de Villalpando á D. Hipólito Gil Hernández: para la de Jorquera á D. Domingo Puertas*, para la de Aillon á D. Josef Puerta Benito: para la del Carpió á D. Ignacio Gil de Sagredo: para la de Potes á D. Joaquín González Ramírez: para la de S. Esteban á D. Domingo Fer nandez : para la de Soto-Palacios á D. Juan González Bravo: para Gober nador Justicia mayor de Valde-Caballeros, y Juez privativo ae las Reales dehesas de los Guadalupes á…</t>
  </si>
  <si>
    <t>Saiazará, Antonio López de</t>
  </si>
  <si>
    <t>Antonio López de Saiazará</t>
  </si>
  <si>
    <t>…ado, vecinos que fueron de esta corte &gt; para ¡que en el término prefijo de Óóidias, contados desde &gt;aqu.ella fecha, comparézcanantodichoseñor juez cpor la escribanía del número dé D. Antonio López de Saiazará deducir, fas acciones y derechos que les competa; entendidos que de no hacerlo les parará el perjuicio que haya lugar , . 1 En la escribanía del ‘número de D. Santiago de :Estepár,íy áiidi encíadel Sejnor D. León de la Cámara Cano, del consejo de $. Mm tenien…</t>
  </si>
  <si>
    <t>Saicedio, Cristóbal Ruiz</t>
  </si>
  <si>
    <t>Cristóbal Ruiz Saicedio</t>
  </si>
  <si>
    <t>…yor¿ Aqui lino Escudero. / ¡7 El Rey, se ha servido nombrar para úna ración , vacante en la iglesia me. t ropel i tana de Sevilla por haber sido promovido sa, canongía de la misma Don Cristóbal Ruiz Saicedio,,, én virtud de nombramiento del administrador pet;;petuo de ella y su arzobispado,, á D. Jacobo de León So te lo, medio racio nero en la pEópki..-iglesia: para esta media ración á D. Francisco de Reynat con dimisión del. beneficio que obtierte en la iglesia…</t>
  </si>
  <si>
    <t>Saint-Cir, Gouvion</t>
  </si>
  <si>
    <t>Gouvion Saint-Cir</t>
  </si>
  <si>
    <t>…d¿ -Nesselrode. = Suecia, El conde de LovienhíelmP1 ' * En el citado oficio del mismo cónsul de S. M. se lee lo siguiente: ' „Las cartas de Burdeos del 27 vieñen anunciando que el mariscal Gouvion Saint-Cir se ha sitado hácia O;leans, y va haciendo progresos, cor tando las comunicaciones de Paris con todas estas provincias, y que él ge neral Dupónt desde Angers vaí iguálmi^t^ córtónao1 lá^ comunicacióne¿ por aquel lado. Asimismodicenque los álíádos én'Wúinéro de…</t>
  </si>
  <si>
    <t>Sáint-Croix, Fernando de</t>
  </si>
  <si>
    <t>Fernando de Sáint-Croix</t>
  </si>
  <si>
    <t>…puntual cumplimiento. Dios guará V. muchos años. Madrid n de Junio ae 1815. El Rey nuestro Señor se ha servido conferir el gobierno militar y políti co de la plaza de Alicante al brigadier D. Fernando de Sáint-Croix, sargen to mayor del regimiento de Reales guardias de infantería Waloria; nombran do para esta resulta al mariscal de campo de sus Reales egércitos D. Lidé Alejandro Bassecourt. La Real universidad de S. Antonio Portaceli de Sigüenza, deseosa de acre-' «Sitar…</t>
  </si>
  <si>
    <t>Saint-Marcq, De Felipe de</t>
  </si>
  <si>
    <t>De Felipe de Saint-Marcq</t>
  </si>
  <si>
    <t>…árcel pública por fiel á V.M., ha biendo el rebelde Porlier perdido sus traidoras esperanzas, da paite á V. M. de-que'se halla restituido, y que puesto en libertad vuestro Capitán general De Felipe de Saint-Marcq está dictando en estas Reales casas consistoriales las -providencias mas enérgicas para asegurar la gloria de las armas de V. M. y la seguridad pública. Estos vecinos si sorprendidos de la execrable maldad del traidor han guardado un triste silencio en los di…</t>
  </si>
  <si>
    <t>Saint-Marcq, Felipe</t>
  </si>
  <si>
    <t>Felipe Saint-Marcq</t>
  </si>
  <si>
    <t>…dispondréis se publique para su debido cumplimiento.zrRubricado de la Real mano. =Palacio á 24 de Se tiembre de 1815.=:A D. Pedro Cevallos. ElCapitan general del reino de Galicia D. Felipe Saint-Marcq dice entre otras cosas al,Sr. Secretario de Estado y del despacito de la Guerra con fecha 23 de este mes lo siguiente: „A las nueve de la mañana de hoy han abandonado precipitada y ver gonzosamente esta plaza las tropas que engañadas siguieron el partido del…</t>
  </si>
  <si>
    <t>Sainz, Francisco Javier</t>
  </si>
  <si>
    <t>Francisco Javier Sainz</t>
  </si>
  <si>
    <t>…. la canongía ."vacante en la/catedral dé León por fallecimiento de 01 Ignació Pascual á D. Francisco de Mendizabal» y la canongía que ha Vacado en la misma catedral por muerte de D. Francisco Javier Sainz. £scaManuel Agüayo y Quevedá, fiscal dé la diócesis de Almería. ’T'®^anongía vacante, én : la catedral de Jaén: por muerte de D. Francisco Mulero 'Delgado á D. JosefCortina; González, racionera de la de Almeríai. 1.a canongía que .ha vacado en la catedral de…</t>
  </si>
  <si>
    <t>Sala, Josef</t>
  </si>
  <si>
    <t>Josef Sala</t>
  </si>
  <si>
    <t>…ueldos que ha dejado de percibir desde el año de 1808 hasta el dé 1812. D. Vicente Modrego y Morales la mitad de su sueldo de secretario del ayuntamiento de la ciudad de Valencia/ D. Josef Sala zar 200 rs. D. Manuel Merino de Castro 13446 rs. en réditos de vales. D. Jorge María de Arcos 6416 rs. de sueldos vencidos. La villa de Torrecillas 190295 rs. suministrados á las tropas. D. Fernando Monto) a y Solio , mayordomo de semana de S. M., y brigadier…</t>
  </si>
  <si>
    <t>Sala, Juan</t>
  </si>
  <si>
    <t>Juan Sala</t>
  </si>
  <si>
    <t>…. . Quien quisiere hacerla acuda á la contaduría general de encomiendas,,'que existe den* tro la casa.de los Reales-consejos.. Ilustración del derecho Real de España, ordenada por D. Juan Sala, pavorde de la metropolitana ig!esiat de Valencia, y catedrático de prima de leyes én la uni versidad de la misma ciudad. Esta obra se ha trabajado á manera de instituciones, y está dividida en dos tomos.en 4.0 Se vende en la librería de Martínez, frente á Sa…</t>
  </si>
  <si>
    <t>Sala, Juan Eugenio García</t>
  </si>
  <si>
    <t>Juan Eugenio García Sala</t>
  </si>
  <si>
    <t>…ital de mas de *9, pueblo muy sano, y comestibles muy arregla dos. Los que quieran pretender dicha plaza dirigirán sus memoriales 4 los comisio nados D, Modesto Zarracina Llanos y D. Juan Eugenio García Sala en todo el me* de Mayo y no iras. Se halla vacante la plaza de cirujano titular de la villa de Orusco» provincia dé . Guadalaxara, distante siete leguas de esta corte: su población cs.de 100 .vecinos; su temperamento sano y abundante en frutos, y su dotación…</t>
  </si>
  <si>
    <t>Sala, Rafael Amat y</t>
  </si>
  <si>
    <t>Rafael Amat y Sala</t>
  </si>
  <si>
    <t>…: para el de Paradas á D. Francisco Antonio Rodríguez: para el de Alacete á D. Jo .quin de la Escalera Benedicto: para el ae Toledo á D. MaE nuel Ortiz de^Pinedo:para él de Jaén á D. Rafael Amat y Sala: para el de Iniesta y VUlanuevade la Xará á D. Francisco del Castillo Valero: para el de Huete á I). Rafael Abreu:para el de Palencia á D josef Ramírez Cid: ' para la vara de.Qropesa á D. Josef Vilella y Pastor:para la déla Puebla de Sanabria á D Manuel Ibiza…</t>
  </si>
  <si>
    <t>Salaberria, Manuel</t>
  </si>
  <si>
    <t>Manuel Salaberria</t>
  </si>
  <si>
    <t>…Don -Jdsef Losada y Ribera, j D. Simón Londoñb ,30. Luis Boisgroller, D. Jacin to Marcayda, D. Rufino Torrótitegui y D." Josef García Campero, D.* Pedro Montuel, D. Joaquín Moyua, D. Manuel Salaberria, &gt;D. Eugenio Vizcaíno, D. Félix Torrontegui, D. Luis de ios Riosy1Ü&gt;.: Vicente Sáavedrá, D. Migue! Montemayor, D. Martin Mendoza, D. Julián Henriquez, D. Josef'dél' Rio Eligió, D; Juan jósef Giiidoy D/ BenitodelaRigádtf &amp; Miguel Lizarza, D. Tgnacio Glaetay D/…</t>
  </si>
  <si>
    <t>Salaiar, Antonio López de</t>
  </si>
  <si>
    <t>Antonio López de Salaiar</t>
  </si>
  <si>
    <t>…ión de la huerta, noria, estanque-, varios árboles de. sóm/.biji yrlS.^lei^n. 49§&amp;4 'TS* ’vn* QLlicn quisiere hacer postura acuda ante dicho s¿:':fídr.'pOrda^e^nbamá déi número de D. Antonio López de Salaiar en el término 'dé‘"¿iár-ála^cótitádos d&amp;»de • el \6 jj&amp;\ pasado, que se admitirán siendo arregladas. . En votad de provi dencia del Sr* D Josef Salvador López del P30, del ccnse je de S. M ; sh alcalde de vasa y ••corté, de 6 del corriente mes y:afco, se cifi…</t>
  </si>
  <si>
    <t>Salas, Bernardo</t>
  </si>
  <si>
    <t>Bernardo Salas</t>
  </si>
  <si>
    <t>…de incendio, repetida con continuos cañonazos, y en este último caso fiie abandonado el navio , salvándose unos en su lancha y botes; otres en los de Gabazo y ca ñoneras, que con D. Bernardo Salas llegaron muy oportunamente, y otros en fin con botes del convoy, cuyo número en la confusión* no se pudieron contar. En la lancha del navio nos salvamos, entre otros varios de todas cla ses, los comandantes del navio y yo. Piédrola pasó á poco tiempo á otro b…</t>
  </si>
  <si>
    <t>Salas, Gerónimo Castillon y</t>
  </si>
  <si>
    <t>Gerónimo Castillon y Salas</t>
  </si>
  <si>
    <t>…o y obediencia.” ARTICULO DE OFICIO. 3. M. se na servido nombrar para ¡a iglesia y obispado de Tarazona, va-, cante por fallecimiento del limo. Sr. D. Francisco Porro y Peynado, á Don Gerónimo Castillon y Salas, maestrescuela de la catedral de Huesca: para la de Hoesca, vacante por muerte del limo. Sr. D. Joaquín Sánchez de Cutanda, á D. Eduardo María Saeñz de la Guardia, deán de la iglesia cate dral deJLéfida: para el deanato de la iglesia catedral de Barbastro, va…</t>
  </si>
  <si>
    <t>Salas, Manuel</t>
  </si>
  <si>
    <t>Manuel Salas</t>
  </si>
  <si>
    <t>…de fragata D. Rafael Díaz y D. Angel de Santa María, que falleció, el sar gento primero de la Unión Francisco Giménez f el condestable de navio DonTomas del ara, el guardia marina D. Manuel Salas, y el primer calafate Fran cisco Javier Rodríguez, me obliga á recomendarlos á la protección de V. E. Oficios que secitan en el farte anterior, , i.° Serian las tres y media de la tarde cuando se notó en el navio S. Pedro de Alcántara fuego en la despensa ; e…</t>
  </si>
  <si>
    <t>…de fragata graduado D. Francisco Guiral, el alférez de navio é ingeniero de la escuadra IX Vicente Sánchez Cerqüero, el teniente de brulot D. Angel Santa María y el guardia marina D. Manuel Salas, y de egér cito el subteniente de la Union lX Ramón Abois, los que Hasta el último mo mento se mantuvieron con una serenidad y valor sin egemplo; ó infatigables y llenos de un zelo extraordinario animando á los pocos que quedaban sin in currir, ni aun en el ú…</t>
  </si>
  <si>
    <t>Salaya, Dionisio de</t>
  </si>
  <si>
    <t>Dionisio de Salaya</t>
  </si>
  <si>
    <t>…os emolumentos de los muchos, ni ños pudientes que concurren y contribuyen mensualinente. Los pretendientes. acu dirán con sus solicitudes y documentos de su suficiencia á casa de D. Dionisio de Salaya, calle de los Abades, núm. 7, cuarto principal. Con Real permiso se vende un específico para teñir el pelo cano de color na tural con la mayor perfección y permanencia, y sin producir el menor perjuicio i la salud. Pata satisfacción dé los que quieran ósar de…</t>
  </si>
  <si>
    <t>Salazar, Antonio</t>
  </si>
  <si>
    <t>Antonio Salazar</t>
  </si>
  <si>
    <t>…ntería; P. Alexandro Benisia, de la escuela militar de Santiago; D. Francisco Julia, de Cazadores Extrangeros, y D. Pablo Puente, del Real Cuerpo de Artillería: grado de Capitán á D. Antonio Salazar, D. Antonio Toxo, Don Xavier Pimentel y D. Ramón Osores, del Provincial de Santiago; D. Ber nardo Becerra, del de Betanzos; D. Joaquín López Varela, D. Antonio Guerrero, D. Josef Guerrero, D. Juan de Castro, D. Juan López, Don Pedro Santistéban y D. Josef Nov…</t>
  </si>
  <si>
    <t>Salazar, Antonio López de</t>
  </si>
  <si>
    <t>Antonio López de Salazar</t>
  </si>
  <si>
    <t>…esta villa, se cita y emplaza á Cartelio, her manos y compañía, para que en el término de ¿o dias contados desde d 6 del cor riente acudan á su juzgado y escribanía del número de D. Antonio López de Salazar á deducir el derecho que puedan tener en un asunto que les puede interesar; entendidos que pasado dicho término sin haberlo hecho se procederá á lo que cor responda. A virtud de Real facultad se sacan á pública subasta las dehesa*- tituladas Mamateche, y casa…</t>
  </si>
  <si>
    <t>…números 9, 10 y 11 de. Ja manzana 508, con 3227.pies y j- de sitió &gt; tasada en 165685 rs. vn. Ooien quisiere hacer postura acuda ante di cho señor juez y escribanía del número de D. Antonio López de Salazar en eftérmino de 30 días contados desde el 16.dehcorriente» Se halla vacante una de las dos plazas-de médico de lá-villa-de'Aranda de Due-&gt; ro: su dotación son 8 rs., pagados mensualmente en metálico por el mayordomo dé propios. Los pretendiente* acudirán con-…</t>
  </si>
  <si>
    <t>…s. Quien quisiere hacer postura á ella acuda ante él Sr. D. León dé Ja Cámara Cano, del consejo de S. M., primer teniente cor regidor de esta villa, por Ja escribanía de número de D. Antonio López de Salazar, que se admitirán siendo arregladas.</t>
  </si>
  <si>
    <t>Por providencia de 5 del corriente del Sr. D. León de la Cámara Cano» del consejo de S; M.;, primer teniente corregidor detesta heroica villa de Madrid, refren dada de D. Antonio López de Salazar., escribano del número de la misma, se man da sacar á pública subasta por término de 30 días, contados.desde esta fecha , una ca sa sita en esta cort^ én la calle de la Magdalena, con fachada también á la plazuela de Antón Martin, distinguida con el número 15…</t>
  </si>
  <si>
    <t>Salazar, Antonio Lopez.de</t>
  </si>
  <si>
    <t>Antonio Lopez.de Salazar</t>
  </si>
  <si>
    <t>…mq. Ve cita. y. emplaza a. D.,Ildefonso López-del Barrio, del comerció que fue de está corte, para que en el término de 20 dias comparezca á su juzgado y es cribanía del número de D. Antonio Lopez.de Salazar por sí ó por medio de perso na que le represente con poder bastante á deducir las acciones , y derechos,que le competan en los autos que contra él sígue Doña María Espinos, viuda de D." Ramón Blas Ramírez, sobre pagOrde“Tt4© y mas, r$.*} con apercibimiento qu…</t>
  </si>
  <si>
    <t>Salazar, Antonio Loyez de</t>
  </si>
  <si>
    <t>Antonio Loyez de Salazar</t>
  </si>
  <si>
    <t>…la, se cita y emplaza á D. Tomas de Valderrama y Manuel Tamayo , pura que en el término de 20 dias contados desde el 6 del corriente acudan á su juzgado y escribanía del número de D. Antonio Loyez de Salazar á deducir el derecho que puedan tener en un asunto que les puede interesar; entendidos que pasado dicho término sin haberlo hecho, se procederá á lo que corresponda. D. Antonio Elola, espitan retirado y vecino de esta corte, tomó en 16 de Mar zo anterior de D…</t>
  </si>
  <si>
    <t>Salazar, Francisco</t>
  </si>
  <si>
    <t>Francisco Salazar</t>
  </si>
  <si>
    <t>…D. Vicente Eiíin, á Fr. D. Josef Rives y Alonso. En atención á los distinguidos méritos que por sus servicios en la última guerra ha contraido el presbítero coronel de caballería D. Francisco Salazar, se ha dignado S. 1VL concederle la gracia de cruz supernumeraria de la Real y distinguida orden española de Cárlos m. En atención á la lealtad y distinguidos servicios de D. Pedro Alcántara Diez de Lav^ndero, le ha concedido S. M. la gracia de cruz supernume…</t>
  </si>
  <si>
    <t>Salazar, Isidoro</t>
  </si>
  <si>
    <t>Isidoro Salazar</t>
  </si>
  <si>
    <t>…s, á D. Julián de la Peña: para otro beneficio simple de Santa María de Atienza de ia ciudad de Huete, en el obispado de Cuenca, vacante por di misión de D. Francisco Fernandez, í D. Isidoro Salazar, con retención del de Adamuz en la diócesis de.Córdoba; y para el arciprestazgo de Madrid, vacante por dimisión de D. Jorge Miguel de Gordon, al referido D. Fran cisco Antonio Fernandez. Igualmente se ha servido nombrar S. M. para un beneficio simple de Santa…</t>
  </si>
  <si>
    <t>Sálazar, Joséf</t>
  </si>
  <si>
    <t>Joséf Sálazar</t>
  </si>
  <si>
    <t>…: PeA: rez , D; Ca"rlos ÍMariri ,f D. 'Aquiíinb Otolá ,(D&gt;í Josef Sálas-, ©. Antonio Bolu* fer, D. Cipriano Castro ; D. Josef Tovar y D. Josef González , Di Josef de : los Reyes y D. Joséf Sálazar, D. Pedro Briones, D. Félix Carrasco, D. Fran cisco Puerto, D. Florentino Herreros, D. Antonio del Hoyo, D. Cristóbal ‘ Moreno, D. Antonio Mercádo, D. Manuel Castilla , D. Miguel Campanon,' D. Josef Patricio Castro, D. Ignacio Truyols, Ó. Josef Mateos, D. Ram…</t>
  </si>
  <si>
    <t>Salazar, Josef María de Arratibel y</t>
  </si>
  <si>
    <t>Josef María de Arratibel y Salazar</t>
  </si>
  <si>
    <t>…ón de que avise el recibo de esta para su noticia. Dios guarde á V. muchos años como deseo. Madrid de Mar zo de 1B1 . El Rey nuestro Señor en atención á los méritos y servicios de D. Josef María de Arratibel y Salazar, coronel que fue del regimiento de infantería jde Toro, se ha servido ascenderle á brigadier de sus Reales exércitos. ... A la ciudad de Arnedo se la ha confirmado el privilegio que tenia de exénckm del servicio de gente de guerra. &lt;— . ... n ■■ i» . ... i—.…</t>
  </si>
  <si>
    <t>Salazar, Luis de</t>
  </si>
  <si>
    <t>Luis de Salazar</t>
  </si>
  <si>
    <t>…08 sin innovación alguna. Tendreislo entendido, y lo comunicareis á quienes corresponda para su cum plimiento. Rubricado de la Real mano. = En Palacio á 24 de Octubre de 1815. = A D. Luis de Salazar.” De orden de S. M. lo traslado á V. para su inteligencia y cumplimien to en la parte que le toca. Dios guarde á V. muchos años. Madrid 24 de Octubre de 1815* El Rey nuestro Señor se ha dignado conferir al mariscal de campo-mar ques de Gastelldorrius el gobie…</t>
  </si>
  <si>
    <t>Salazar, Luis María de</t>
  </si>
  <si>
    <t>Luis María de Salazar</t>
  </si>
  <si>
    <t>…o entendido, y para su puntual cumplimiento lo comunicareis á quien corresponda.—Está rubricado de la Real mano de S. M. = Dado en mi Palacio de Madrid á 28 ‘de Julio de 1815. = A D. Luis María de Salazar. ‘El Rey se ha servido nombrar para la vara de alcalde mayor de la ciu dad di Huesca á D. Josef Antonio Generes: para la de la de Manresa á D. Antonio Charaochin: para la de Puigcerdá á D. Nicolás Lnendia: para</t>
  </si>
  <si>
    <t>…uestra entera. Tendreislo entendido y lo comunicareis á quienes corresponda.para su cumplimiento. =r Rubricado de la Real mano de S. M. jen S. Lorenzo á 28 de Octubre de 1815. = A D. Luis María de Salazar." \ Artículo comunicado por la primera Secretaría de Estado, Por extraordinario despachado por el encargado de Negocios del Rey nuestro Señor en Nápoles ha recibido S. M. la agradable noticia de haberse felizmente frustrado la temeraria tentativa que á imitac…</t>
  </si>
  <si>
    <t>Salazar, Miguel Gregatio</t>
  </si>
  <si>
    <t>Miguel Gregatio Salazar</t>
  </si>
  <si>
    <t>…para la dignidad de prior de Acoba- ycanongía de la iglesia catedral de Lugo, que resultan vacantes por promoción de Don Manuel Fernandez Várela át deanato de la misma iglesia, á D. Miguel Gregatio Salazar, Canónigo y dignidad de maestrescuela de la de Mondoñedo*: *bara 'otra canongía de la misma catedral de Lugci ¿ vacante por fallecimiento de D.Francisco Pelaeé CaUOedo y á D. Juan1 Cnácón&gt;. para otracanongíádé (la - íglésia: Catedral dé Ciudad-Rodrigó j que '…</t>
  </si>
  <si>
    <t>Salcedo, Antonio Martínez</t>
  </si>
  <si>
    <t>Antonio Martínez Salcedo</t>
  </si>
  <si>
    <t>…rueba mas convincente de qué ha sido cónstante la adherencia mia á ios sagrados deberes que me ligan con V. M. y conla patria.” ’ ’l. El mismo día el conde de Clavijo, y los Sres. D. Antonio Martínez Salcedo, D. Josef Pedro de Mata y D. Santos Sánchez, comisionados por la villa dé Caravaca, tuvieron el honor de felicitar á S. M. en los términos siguientes:• „ La villa de Caravaca, la primera que en vuestro reyno de Murcia alzó -pór,-su Rey» á V. M., y que siempre…</t>
  </si>
  <si>
    <t>Salcedo, Atanasio</t>
  </si>
  <si>
    <t>Atanasio Salcedo</t>
  </si>
  <si>
    <t>ta, en el arzobispado de Toledo, vacante por fallecimiento de D. Isidro Montero, á D. Atanasio Salcedo, con retención de los que obtiene: para el beneficio simple dé S. Estéban de Balvas, en el arzobispado de Burgos , va cante por muerte de D. Roque Rodrigó, á D. Tomas Moyano Díaz: para la pfestamera de Huelva, que ha vacado en el de Sevilla r por fallecimient…</t>
  </si>
  <si>
    <t>Salcedo, Casimiro</t>
  </si>
  <si>
    <t>Casimiro Salcedo</t>
  </si>
  <si>
    <t>…. Carlos ViHarejo, del Regimiento de Mallorca; D. Ignacio Llánderas , D. Miguel Moretid, D. Gregorio del Pozo, D. Fabian de Lastra, 0. Ricardo Rey roso, Don Víctor Cabeza de Vaca, D. Casimiro Salcedo, y D. Miguel González, del de Voluntarios de Avila; D. Francisco Herranz ,'D. Angel Díaz, y Don Vicente Tomes, del Provincial de Segovia; D. Pedro NuñeZ;, D. Manuel Calderón, D. Matías Frade, D.Francisco Antonio Ledesmá, y LF. Andrés .Muñoz, del primer Batall…</t>
  </si>
  <si>
    <t>Salcedo, Cayetano</t>
  </si>
  <si>
    <t>Cayetano Salcedo</t>
  </si>
  <si>
    <t>…anc, D. Juan de la Cruz de Tena, D. Vicente Torres* D. Gaspar .Fernandez Bobadilla, D. Pe dro Ramos , D. Pedro del Castillo, 0. Anafes García, D. Manuel Govantes, D. Juan Esdovar, D. Cayetano Salcedo, Dw Andrés Nieto.-, B; Manuel Nifo, D. Juan Ltiis&gt; Astraudi yB* Martin dé lbs¡filenos ,D¿ Gabriel: fescolar, D; Ma teo Fernandez, &lt;Dí Adrián Jaco me, D. Manuel. Puch:, Di Juan Delgado, Don -Antonio Megias i:B. Francisco Pfieto, D. ¿Esteban Alzurrun /D. Juan P…</t>
  </si>
  <si>
    <t>Salgado, Jacobo Cid</t>
  </si>
  <si>
    <t>Jacobo Cid Salgado</t>
  </si>
  <si>
    <t>…rtínez , pres bítero patrimonista de Sta. María de Albeira en el arzobispado de Santiagos para ei de Sta. María de Pegeiros, en la propia diócesis de Orense, vacante por muerte de D. Jacobo Cid Salgado, á D. Bernardo Velasen -.y Losada* cura párroco de Santiago de Renche en la abadía de Samos: párárel de San Salvador de Faramontaos , en la referida diócesis de Orense, vacante por as censo de D. Benito López Burugorri al curato de S. Salvador de Nqcedo, á D.…</t>
  </si>
  <si>
    <t>Salgado, Josef</t>
  </si>
  <si>
    <t>Josef Salgado</t>
  </si>
  <si>
    <t>…z;; para la ¿él partido dé !á Güdifia ál Lie. D. Francisco Rodríguez Caballero; para la'déb partido dé Monteroso á D. Josef Ramón Bernardo de Soto; para la del partido de -Vérin á D. Josef Salgado y' Blan-^ go ; para la del partido de Óimbra a E). Juan González j. pará la del partido de S. Martin de Arau jo á‘D. Josef María de Gadorniga; y para la del pár-&lt; tido de ;S. Jorge de Aguas Santas á D.‘Ramón de Ayude! * &gt;•&gt; Los subscriptores á lá$ Memórias pa…</t>
  </si>
  <si>
    <t>Salido, Alonso</t>
  </si>
  <si>
    <t>Alonso Salido</t>
  </si>
  <si>
    <t>…y dos pedazos de tierra unidos á él, en Nivar. Capellanía de D. Juan S. Martin y Palma. Ochenta marjales en una ha za, lindando con el camino real de Jaén, Arbolete. Capellanía de D. Alonso Salido. Una haza, cinco marjales de tierra, pa go de S. Antón el Viejo , Granada. Capellanía de Doña Eugenia Matute. Una huerta ó cármen, titulado los Caños, con casa y demas , pago de la Cruz alta, id. Capellanía de D. Alonso de los Ríos. Un cortijo del Nogal, comp…</t>
  </si>
  <si>
    <t>Salina'</t>
  </si>
  <si>
    <t>…' ■ .-1 i ;•* j • - ■ ■ ■; = * \i - - ' Se ha hecho con mucha solemnidad la abertura de la universidad de esta ciudad en presencia del general y gobernador barón de Stefanini; del caballero Salina', hijo del prefecto; del consejo dé .(prefectura; def cpnde Grassi, podeítá deuBóloma % delcaballeroGuglielmini, ,regente de ljí.línijj veríidád ; del conde Aldbbrandi, presidente jderda acadetnia.de nqbles .ar tes .&amp;c. ;&amp;c.,JLosindividuos debinstituto naeióna…</t>
  </si>
  <si>
    <t>Salinas, Alonso Horrillo y</t>
  </si>
  <si>
    <t>Alonso Horrillo y Salinas</t>
  </si>
  <si>
    <t>…d , en observancia de su instituto, y en celebridad del plausible dia de* nuestro augusto Soberano, se •formó á caballo en la tarde del 30 del mes próximo pásado en las casas, del Sr. D. Alonso Horrillo y Salinas, teniente de S. A. R., con su música inar^cial, é introducido en un coche de gala el retrato de S. M., escoltado por un piquete de caballería del regimiento húsares de España, que se hallaba en esta ciudad, y la compañía de granaderos de su regimiento provinc…</t>
  </si>
  <si>
    <t>…sible diadé su dignísimo Hermano mayor e^^rino^^f. X^fsnte D^ Cários María. (que Dios guarda se formó 1 caballo en la tarde del dia 4 deb corriente en las puertas de las casas del Sr. D. Alonso Horrillo y Salinas, teniente de S. A. R., con su música marcial, y se dirigió á su plaza propia, la. qiie estaba adornada con la mayor JWag*«@eeniei.aT y apa^tQ,i yjen fSü balcón ¡ ricamente adornado se hallaba el r$ír$fó¿dPjS*. A. R. bajoé ua dosel» haciéndole la guardia los c…</t>
  </si>
  <si>
    <t>Salinas, Domingo</t>
  </si>
  <si>
    <t>Domingo Salinas</t>
  </si>
  <si>
    <t>…or de Torbiscon ,tpara que siga en dicha vara los quatró ?ños que le faltan para cumplir su sexenio: para el corregimiento de Tordesillas á D. Pedro Ventades: para el de Reynosa á D. Domingo Salinas: para la vara de Murcia á D. Ignacio Mariano de Mendoza: para la de Rueda á D. Manuel* Sotillos Montijo ; y para la de Moron á D. Francisco Caballero Henrújuezrpara el corregimiento de Requena á D. Miguel Martinez Del gado: para la vara'de Alcalá la Real é D„…</t>
  </si>
  <si>
    <t>Salinas, Josef Avadie y</t>
  </si>
  <si>
    <t>Josef Avadie y Salinas</t>
  </si>
  <si>
    <t>…fico Te Deum, una solemnísima misa que cantó el Lie. D. Francisco Martínez, canónigo de la insignecoíegiiil, y un sermón inaugural que predicó el rector del propio co legio el Dr. D. Josef Avadie y Salinas, canónigo lectora! dé la misma insigne iglesia, hacendó palpables hasta la evidencia las útiles ventajas para el esta do, é incalculables beneficios para la iglesia que resultan del establecimiento de los seminarios. Concluida la función de iglesia , á la que…</t>
  </si>
  <si>
    <t>Salinas, Miguel</t>
  </si>
  <si>
    <t>Miguel Salinas</t>
  </si>
  <si>
    <t>…ntinuación -de las-gracias dispensadas.por elr ministerio di?. (*urrrd: ' {eh él glorioso día de S. Fernando. ¡ Caballería de línea y ligera* . . . ; Grádo de coronel al teniente: coronel D. Miguel Salinas , sargento mayo* del regimiento de caballería del Rey. 'Grados de teñicrites coróLtd.cs -^dasisargentos. mayores D. Francisco María Fernandez ,B. Garlos LanzaroteyDofli Miguel Sánchez Barriga, D. Antonio G o va otes, D. Antonio Saliquet,Don Joaquín Escamez, D…</t>
  </si>
  <si>
    <t>Saliquet, Antonio</t>
  </si>
  <si>
    <t>Antonio Saliquet</t>
  </si>
  <si>
    <t>…ballería del Rey. 'Grados de teñicrites coróLtd.cs -^dasisargentos. mayores D. Francisco María Fernandez ,B. Garlos LanzaroteyDofli Miguel Sánchez Barriga, D. Antonio G o va otes, D. Antonio Saliquet,Don Joaquín Escamez, D. Josef García Aparicio, D. Domingo Orejón * D. Joa** quin Casasola, D. F rancisco Javier de Cia, D¿ Manuel de' la Cruz;, .Di Cárlos Viü&amp;padierna^ D- Bernabé Arjranz^ D* Juair derMetidie^í.1^. Aatóriioíde Castro y Tovar, D. Josef 01mo,D.…</t>
  </si>
  <si>
    <t>Salvador, Josef</t>
  </si>
  <si>
    <t>Josef Salvador</t>
  </si>
  <si>
    <t>…ion de las provincias de Venezuela; conde de O-Reylli, coronel del regimiento de infantería fijo de la Havana ; D. Salvador Melendez, capitán general de la is-, la de Puerto-Rico; D. Josef Salvador * gobernador que fue de León de Nica ragua , y agregado actualmente al estado mayor de la plaza de Goatemala , y. Di Cesar Balbiani, subinspector general de las tropas de aquella provincia. Brigadieres á los coroneles D. Melchor Alvarez, coronel del regimient…</t>
  </si>
  <si>
    <t>Salvadora</t>
  </si>
  <si>
    <t>…sus servicios en so hermano D. Antonio, cadete del re gimiento infantería fixo de Ceuta , ascendiéndole á subteniente del misino cuerpo, y mandando se tenga presente á su hermana Doña Salvadora para la viudedad correspondiente á su difunta madre quando lo permitan las cir cunstancias del erario; publicándolo en la gaceta para satisfacción de está familia. El Rey nuestro Señor se ha servido conceder á la villa de Villacastin, provincia de Segovia, si…</t>
  </si>
  <si>
    <t>Samadla, Francisco Marcos</t>
  </si>
  <si>
    <t>Francisco Marcos Samadla</t>
  </si>
  <si>
    <t>…de *Mégico. - ',■■■*' • / • Tratamiento de Escelencia al ayuntamiento en cuerpo de la ciudad de S. Juan Bautista de Puerto-Rico. Honores de oidor de la K.eal, audiencia de Cuba á D. Francisco Marcos Samadla, y á D. Manuel María. Figuera, fiscal de Real hacienda de la Ha vana. : . / Por el ministerio de Hacienda. ■ - ’ * . • Honores del consejo de Hacienda al marques de Fuerte Gollano, minis tro de la cámara de Comptos Reales de Navarra. Honores del tribunal de C…</t>
  </si>
  <si>
    <t>Samaniego, Diego de Uribe Yarza y</t>
  </si>
  <si>
    <t>Diego de Uribe Yarza y Samaniego</t>
  </si>
  <si>
    <t>…en propiedad, el primero á D. Miguel Jbaqúin de Lardizabal y Amezquet^, como poseedor y cabeza de la casa original de Lardizabal mayor en la provincia cíe Guipúz coa; el segundo á D. Diego de Uribe Yarza y Samaniego, marques de San Mamés de Aras, como poseedor y cabeza de la de Uribe, en el señorío de "Vizcaya, y^el tercero como á legítimos descendientes de las dos alesprésado St. Lardizabal y á su hermano D. Manuel y á sus legítimos descendientes perpetuamente. &gt; S. M.…</t>
  </si>
  <si>
    <t>Samaniego, Félix</t>
  </si>
  <si>
    <t>Félix Samaniego</t>
  </si>
  <si>
    <t>…f catecismo histórico del abad de Fleuri , respondieron ácuagias préguritafcsé ]les hicieron sobre esta ma teria , y concluyeron el acto decorando variás de lás fábulas morales de Don Félix Samaniego. Luego el dia 24 del mismo, habiendo concurrido dé nuevo* las casas de Villa, y en presencia del mismo concurso, se dió prradpió á otro -examen, decorando uno de los discípulos ün discurso, éh el qué espiiso las ventajas que nacen de la instrucción: en‘y segb…</t>
  </si>
  <si>
    <t>Samaniego, Francisco Gómez</t>
  </si>
  <si>
    <t>Francisco Gómez Samaniego</t>
  </si>
  <si>
    <t>…D. León Sierra: para otros dos beneficios servideros de las iglesias parroquiales de San Sebastian y Santiago de la villa de Cuellar, dió cesis de Segovia, vacantes por muerte de D. Francisco Gómez Samaniego, ? Celestino de Figueroa: para otro beneficio préstamo de Bayo en Gra do, diócesis de Oviedo, vacante por haber contraído matrimonio D. Anto nio Sanjurjo, á D. Manuel Majada, capellán del oratorio de S. Felipe Neri de Valiadolid, en premio de sus distinguidos…</t>
  </si>
  <si>
    <t>Samaniego, Pablo Ortiga</t>
  </si>
  <si>
    <t>Pablo Ortiga Samaniego</t>
  </si>
  <si>
    <t>…chavarri, I). Josef Valcárcel 'yRosique, D. Josef Gómez Arteche , D. Joséf Gutiérrez, D. Josef B en i tez Cafrípou ,D. Segundo Ulibarri, D. Miguel Párraga, D- Juan Amonio Pereyra, D. Pablo Ortiga Samaniego, D. Joséf Valcárcel y Arias, D. Francisco Dugi y D. Manuel Fontiyerbs. " Es crecido el número de los capitanes, tenientes, subtenientes, sargentos primeros y cadetes'que 'por el mismo motivo resultan graduados en Ja in fantería, cuya circunstancia no da marge…</t>
  </si>
  <si>
    <t>Samper, Josef María Puig de</t>
  </si>
  <si>
    <t>Josef María Puig de Samper</t>
  </si>
  <si>
    <t>1444 mente el general para los demas G5tüdió$V.$e había servido nombrar para la expresada Sección al Ministro del Consejo y Cámara de Castilla D. Josef María Puig de Samper, afde Ind.'as Di Jósel Ñav-iS. Bol a ños, y al del Con sejo de la Suprema Inquisición,el P.,M* E r, Manuel Martínez, encargándoles lo conveniente al desempeño de tan honroso “cuanto delicado encargo. : ¡Esta Judtavpar^icular: d , Sección, pu^unl'ano\ inmediat…</t>
  </si>
  <si>
    <t>Sán, Agustín</t>
  </si>
  <si>
    <t>Agustín Sán</t>
  </si>
  <si>
    <t>…ez Valverde, á D. Pedro Andrés Poúrret, canónigo de la catedral de Orense; y para la maestrescolía, vacante en la iglesia ca tedral de Zamora por muerte de D Francisco González, á D. Agustín Sán chez Villalobos, admitiéndole la renuncia que ha hecho de igual dignidad en la catedral'de Cuenca, para la que fue nombrado por decreto de 4 de Enero último. S. M. se ha servido nombrar corregidor de letras de los Ped roches de Córdoba á D. Manuel Morales Don…</t>
  </si>
  <si>
    <t>San, Josef</t>
  </si>
  <si>
    <t>Josef San</t>
  </si>
  <si>
    <t>…Noviembre tuvieron el honor de felicitar á S. M. y besa* su Real mano á nombre del cabildo y clero de Lugo el Dr. D. Manuel Fer nandez Varela, dignidad de Prior de Acoba, y el Dr. D. Josef San pedro,</t>
  </si>
  <si>
    <t>Sán, Josef</t>
  </si>
  <si>
    <t>Josef Sán</t>
  </si>
  <si>
    <t>…erte de D. Josef Cartagena á D. Manuel Mena, cura párroco de Sta. María de la villa de Alaejos en aquella diócesis: la canongía que ha vacado en dicha iglesia por fallecimiento de D. Josef Sán chez Velasco á D. Josef María Valladares, medio-racionero de la misma ca tedral; y esta resulta á D. Ruperto Sacristán, teniente cura de la Real cole giata de S. Ildefonso. = La canongía vacante en la catedral de Lugo por muer te de D. Joaquín Bear á D. Juan…</t>
  </si>
  <si>
    <t>San, Manuel Blanco</t>
  </si>
  <si>
    <t>Manuel Blanco San</t>
  </si>
  <si>
    <t>…llecimiento de D. Manuel Yebra y Oca, á D. Manuel Fontan , cora párroco de aquella diócesis: para el arcedianato de Baronceli, dignidad de la misma iglesia , vacante por muerte de D. Manuel Blanco San tos, á D. Josef Uraga, canónigo cardenal de la misma catedral: para el de Litnia, dignidad de la propia iglesia, vacante por fallecimiento de D. An tonio Getino, á D. Josef Moure, prior claustral de la colegial de Junquera de Ambia en aquella diócesis: para e…</t>
  </si>
  <si>
    <t>Sán, Vicente</t>
  </si>
  <si>
    <t>Vicente Sán</t>
  </si>
  <si>
    <t>…Santibañez ; pero no puedo menos de manifestar le la serenidad del teniente de navio D. Fernando Lizarza, del de fragata graduado ©. Francisco Javier Guirál,, del alférez de navio D. Vicente Sán chez , y de los dé fragata D. Rafael Díaz y D. Angel Santa María, cuyo pa radera se ignora, del subteniente de granaderos de la Union D. Ramón Abois, del sargento primero de la misma Francisco Qimenéé^ .del condestable del navio D. Tomas de Lara , y en genera…</t>
  </si>
  <si>
    <t>San-, Francisco</t>
  </si>
  <si>
    <t>Francisco San-</t>
  </si>
  <si>
    <t>…ado eregir una cátedra.de Historia natural en dicho establecimiento, nombrando para su desempeño á D. Vicente Cal-* vo Conde. En atención á los distinguidos méritos y servicios de D. Francisco San-* chez Gadeo, diputado de los reynos, se ha servido S. M. concederle la gracia de cruz supernumeraria de !a Real y distinguida orden española de Carlos iii. , &gt; Enterado el Rey nuestro Señor de los distinguidos servicios que ha con traído durante su cautividad…</t>
  </si>
  <si>
    <t>Sanahuja, Vicente</t>
  </si>
  <si>
    <t>Vicente Sanahuja</t>
  </si>
  <si>
    <t>…rges y Lostau: para el de Vhlena á D, Antonio Fernandez Villanuéva: pa ra la vara dé alcalde mayor de la ciudad de Mctrjl á D. Josef Villanuéva: para la de Almunecar y Salobreña á D. Vicente Sanahuja: para lá de la villa de Huerca!-Obera á D, Luis Quadrado; v para la de Palma del Rio á D. Venancio Fernandez Arenas: para la vara de alcaldé mayor de la ciu dad del Puerto de Santa María á D. Vicente Girón Villa man dos: para la dé alcalde may or teniente seg…</t>
  </si>
  <si>
    <t>Sancha, Francisco</t>
  </si>
  <si>
    <t>Francisco Sancha</t>
  </si>
  <si>
    <t>…o, D. Bartblómd Labrador, D. Raimun do Marín, D. Josef Fernandez de los Muros, D. Fernando Plaza, D. Isidro Cifuentes, O. Antonio Montesinos, D. Lorenzo García, D. Miguel1 Blanco* D. Francisco Sancha, D.-AntonioEstevezyD; Ildefonso Mansilla, D. Gre-f gOrio Pieoir, D. Cristóbal Bermejo ,D. Francisco López, D. Francisco Arahuetes i D. Joaquín Escorriguela, D. Francisco Biatela y D. Nicolás Viguri (*.). 1 Asimismo se lia servido S. M. conceder en el minister…</t>
  </si>
  <si>
    <t>Sánchez, Bartolomé Luis Lobaton y</t>
  </si>
  <si>
    <t>Bartolomé Luis Lobaton y Sánchez</t>
  </si>
  <si>
    <t>…la de la Motiila del Palancar y Campillo de Aito Buey á D. Pedro Henrique Montero: para Ja de Navalcarnero á D. Antonio Castejon Hernández ; y para el corregimien to de Chiclana á D. Bartolomé Luis Lobaton y Sánchez. El Rey nuestro Señor se ha servido conceder les honores de su predica dor al Dr. D. Manuel de Aicayde, teniente vicario general de Cartagena y su obispado, en consideración á su carrera literaria, y particulares servi cios contraídos en las pasadas circunsta…</t>
  </si>
  <si>
    <t>Sánchez, Benito Francisco</t>
  </si>
  <si>
    <t>Benito Francisco Sánchez</t>
  </si>
  <si>
    <t>…icha, junta de acuerdo con el caballero recibidor de Val lado lid FreyELJosef Ca beza de Vaca; y habiéndose verificado el primer remate en el pueblo dé* Quiroga por el comisionado D. Benito Francisco Sánchez en cantidad1 de 130100 A. por cada uno de Iqs referidos tres años* ademas de satisfacer el arrendatario las congruas á los párrocos y cargas locales de dicha encomien da, ha determinado la espresada junta que se celebre en está corte el segun dó y último rema…</t>
  </si>
  <si>
    <t>Sánchez, Celestino</t>
  </si>
  <si>
    <t>Celestino Sánchez</t>
  </si>
  <si>
    <t>…les á Don Agustín Perez, capellán de dragones de Almansa: la dignidad de prior de la colegiata deS. Hipólito de la ciudad de Córdoba, vacante por no haber toma do posesión de ella D. Celestino Sánchez, nombrado posteriormente para una canongía de la catedral de Sevilla, á D. Francisco Alaja, cura de la parroquial de Sta. Bárbara de Ecija: en la expresada iglesia colegiata de S. Hipólito una canongía,vacante por muerte de D. Antonio de la Iglesia, á D. Juan…</t>
  </si>
  <si>
    <t>Sánchez, Francisco</t>
  </si>
  <si>
    <t>Francisco Sánchez</t>
  </si>
  <si>
    <t>…ae^a f ,D. Miguel Sánchez,,¡ D. Litis Vidarte, D. Tiburcio Martínez, IX Rufino; Andinql IX Antonio la Rosa i D. Pedro Albo, D. Nicolás Giezar, DvJuanVicente , D. Eduardo Paules , ,D. Francisco Sánchez, D. Josef de Castro, D. Venancio, Garnez , D. Nicolás Laborda, D. Manuel 1 aborda*, D. Nicolao Ribera, D. Gregorio Dalmao ; D. Francisco Navas., D. Filiberto Malus, D.;/Josef •¡Blanco*L). Mariano Córdoba * P. Josef Ferrer, D. Ca yetano Vivar , P,; JqseJ de^fc…</t>
  </si>
  <si>
    <t>Sánchez, Francisco Tiburcio</t>
  </si>
  <si>
    <t>Francisco Tiburcio Sánchez</t>
  </si>
  <si>
    <t>…fael Miguel y D. Tomas Ro drigo, capitanes del regimiento provincial de Segovia, D. Benito Bocanegra, del de voluntarios de Avila, D. Fernando Diez Bascones, D. Mariano Hernández, D. Francisco Tiburcio Sánchez y D. Juan Francisco Perez, de los batallones de voluntarios de Ciudad-Rodrigo, y D. Gabriel More no, capitán de inválidos de las compañías de Ciudad-Rodrigo : de capitán á D. Juan Henriqoez y D. Antonio Vázquez Aldana, ayudante y tenien te del regimiento de infantería de Mallorc…</t>
  </si>
  <si>
    <t>Sánchez, Ignacio Marín y</t>
  </si>
  <si>
    <t>Ignacio Marín y Sánchez</t>
  </si>
  <si>
    <t>…lla á D. Josef Jorge del Molino: de Segura de León á D. Fraucisco Xavier Montero y Losada: dé Supca JLD. Pascual Alpuente: de Azoaga á D* Antonio. Mediano y Sartolo: de Tarancon á D. Ignacio Marín y Sánchez : del Corral de AJmaguer á D. Manuel Sotillos Montejo : |de Xerez de ios Caballeros i O. Josef Antonio Ramos Calderón: dé Villanueva de la Serena i D» Isidro Astudillo: de Martos á D. Josef Fe* lipe Alaminos y Ooton: de Almodovar del Campo:;¿. D.: Fernando Ma…</t>
  </si>
  <si>
    <t>Sánchez, Joaquín</t>
  </si>
  <si>
    <t>Joaquín Sánchez</t>
  </si>
  <si>
    <t>…ción se expresan: de Capitanes á D. Bernardo Seguy, D. Jorge Flemingg y D. Pedro Corifac¡o:de tenientes á D. Juan Clark y D. Juan O-Reylly; de subtenientes á D Gerónimo Alvarez y D. Joaquín Sánchez. En consideración á los buenos servicios de D. Luis Clonet, comandante del cuerpo reglado de voluntarios del Mississipi» se ha dignado S. M. pro moverlo á teniente coronel de infantería. ’ El Rey nuestro Señor ha visto con cómplacencia los sentimientos de lea…</t>
  </si>
  <si>
    <t>Sánchez, Joaquín Ciudad</t>
  </si>
  <si>
    <t>Joaquín Ciudad Sánchez</t>
  </si>
  <si>
    <t>…r de la Renta del Taba? co D. Gabriel López; Contador de la Renta de Salinas D. Francisco Escar-. íariy Contádor. Ael, ÍÑoveno y E^cu^ado D. Rafael Florín , y Contador de Salitres D. Joaquín Ciudad Sánchez; y previniendo que por él quedan supri midas la Administración general, Juzgado y Tesorería del Tabaco y demas oficinas separadas de otra cualquiera Renta de las que por el indicado regla mento se incorporan á la Dirección general; y que el Señor Tesorero gen…</t>
  </si>
  <si>
    <t>Sánchez, Josef</t>
  </si>
  <si>
    <t>Josef Sánchez</t>
  </si>
  <si>
    <t>…ra la contaduría de' rentas de Galicia , vacante por fallecimiento de D. Miguel de la Lastra : para la contaduría de Burgos que aquel dexa al contador de la provincia de Salamanca D. Josef Sánchez: para la contadu ría de Salamanca que este dexa al contador de la provincia de Paleada D. Eduardo Fermín Morte; y para esta resulta á D. Juan Josef ElizaLdn, oficial primero de ia contaduría principal de la expresada provincia de Ga licia. El Rey nuestro Seño…</t>
  </si>
  <si>
    <t>…edu cir el derecho que les competa en el juzgado del referido señor alcalde mayor, te niente corregidor de dicha ciudad de Málaga, por la escribanía mayor del cabildo del cargo de D. Josef Sánchez de.Castilla; baxo el concepto de que no verificán dolo se procederá á finalizar el asunto sin mas citarles ni emplazarles, y les parará en todo el perjuicio que haya lugar. Circular adicional á las Reales ordenanzas generales del exército, por la que S. M. ma…</t>
  </si>
  <si>
    <t>Sánchez, Juan</t>
  </si>
  <si>
    <t>Juan Sánchez</t>
  </si>
  <si>
    <t>…sa, D. Juan Malagon, E&gt;. Cosme Arias, D. Francisco Sierra, D. Diego Osorio y D. Gregorio Diez, del de Voluntarios de León; D. Josef Yanguas, D. Josef Osorio, D. Francisco Sillero, D. Juan Sánchez, D. Alexandro Saez, D. Estéban Rubio y D. Gabriel Yanguas, del de Cazadores de León ; D. Ramón Mo reno, de la escuela militar de Santiago; D. Manuel Moreno y D. Andrés Pierola, del Cuerpo de Artillería; D. Antonio Freyre, del de Zaragoza, y D. León Ovalle, de…</t>
  </si>
  <si>
    <t>…oz, D. Vicente Guisber, D. Mariano Rodríguez, D. Eusebio Gavilanes, D. Juan Polo, D. Josef Baeza, D; Josef Dávila , D. Francis co Frades., D* Josef Urbiña, D. Antoiiio Valdivieso, D. Juan Sánchez , Don Manuel Laso, D. Domingo Cepeda, D. Mariano Mayor&gt; D*5Juan Bastos,</t>
  </si>
  <si>
    <t>Sánchez, Lorenzo</t>
  </si>
  <si>
    <t>Lorenzo Sánchez</t>
  </si>
  <si>
    <t>…se ha dado traslado á los sugetos á cuyo favor están endosados últimamente ; y hallándo se los 44 en él de D. Feliciano de Guizaburuaga, uno á D. Mariano Espinosa é hi jo, o¡tro á D. Lorenzo Sánchez,y .el último á D. Pedro Menendez, ignorándose la existencia y paradero de estos cuatro sugetos, ha acordado el nominado señor te niente se les haga notoria dicha demanda por medio de este periódico, para que en el preciso término de 20 dias, contados desde es…</t>
  </si>
  <si>
    <t>Sánchez, Lucas Cotilla y</t>
  </si>
  <si>
    <t>Lucas Cotilla y Sánchez</t>
  </si>
  <si>
    <t>…mbia, en el obispado de Orense, por muerte de D. Josef Varela, á D. Manuel Fernandez Ama. = La ración'va cante en la catedral de Salamanca por muerte de D. Manuel Sánchez Alonso á D. Lucas Cotilla y Sánchez, cura párroco de Nava-Gallega en aquella diócesis.=La ración vacante en la catedral de Avila por fallecimiento de D. Mi guel Celestino de la Madrid á D. Juan Martin Parra, cura párroco de la vi lla de Maderuelo en el obispado de Segovia. = El benefició servid…</t>
  </si>
  <si>
    <t>Sánchez, Miguel</t>
  </si>
  <si>
    <t>Miguel Sánchez</t>
  </si>
  <si>
    <t>…cía., D. Gregorio Arta-r cho, D. Josef Aguilar, D. Antonio Quadra, D. Felipe Doria, D. Vicente Ruiz)jD. ^Ramón-Quinan^ &amp; Geróriimq»dé G.éus, IX Josef Carrasco , Don josef Rae^a f ,D. Miguel Sánchez,,¡ D. Litis Vidarte, D. Tiburcio Martínez, IX Rufino; Andinql IX Antonio la Rosa i D. Pedro Albo, D. Nicolás Giezar, DvJuanVicente , D. Eduardo Paules , ,D. Francisco Sánchez, D. Josef de Castro, D. Venancio, Garnez , D. Nicolás Laborda, D. Manuel 1 aborda*,…</t>
  </si>
  <si>
    <t>Sánchez, Pedro Bernaldez</t>
  </si>
  <si>
    <t>Pedro Bernaldez Sánchez</t>
  </si>
  <si>
    <t>…eilcs, se suplica á los caballeros oficiales de los egércitos que se pan de la existencia y suerte de aquellos, tengan la bondad de avisarlo al intenden te de provincia honorario D. Pedro Bernaldez Sánchez, vecino de Badajoz, y en Madrid ál teniénte coronel de infantería D. Pedro Bernaldez Pizarro, oficial de da tesorería1 mayor general de M. Lecciones practicas, ó'nuevo método para aprender el idioma francés, dividido en 4 partes y 42 lecciones, para uso de lo…</t>
  </si>
  <si>
    <t>Sánchez, Santos</t>
  </si>
  <si>
    <t>Santos Sánchez</t>
  </si>
  <si>
    <t>…ra felicidad de la heroya España.” 1 •' . En el mismo dia tuvieron la honra de felicitar á S. M. el conde de Cía-, vijo, í&gt;. Antonio Martínez Salcedo*, Jj&gt;. Pedro Josef de Mata, y D. Santos Sánchez á nombre de la villa de Carayaca; y ei primero dirigió á S. M. el discurso siguiente: ‘ V i , v 5 ^ñpr1% villa de Caravaca, la primera que en vuestro rey no de Mur cia $¡zq por suReyá M , y que si ernp remiel á vuestra Real Persona en ía jrecoñojqjdo el gobie…</t>
  </si>
  <si>
    <t>Sánchez, Vicente</t>
  </si>
  <si>
    <t>Vicente Sánchez</t>
  </si>
  <si>
    <t>…de Estremadura Di Mariano* Rieafbrt, el alférez de la Union D. Ramón Abois, el teniente de navio D. Fernando Lizárza, el de fragata D. Francisco Javier Güira!, el alférez de navio D. Vicente Sánchez, y los de fragata D. Rafael Díaz y D. Angel de Santa María, que falleció, el sar gento primero de la Unión Francisco Giménez f el condestable de navio DonTomas del ara, el guardia marina D. Manuel Salas, y el primer calafate Fran cisco Javier Rodríguez, me ob…</t>
  </si>
  <si>
    <t>Sánchez, Victoriano</t>
  </si>
  <si>
    <t>Victoriano Sánchez</t>
  </si>
  <si>
    <t>…rel 4 D&lt; Manuel de Urtazum , beneficiado de la parroquial &amp;&amp;' Molina, diócesis de Cartagena j y otra canongía vacante también en dicha c*¿&gt; tedral por muerte de D. Ramón Montull á D. Victoriano Sánchez, cura pár-* róco de los Carabancheles, én el arzobispado de Toledo. = El arcedianato de Alpuente , en ía Catedral de Segorve, vacante por promoción de D. Ventura Jo-" sef Masmirja al dé Llobregat ; á D. Juan Pablo Óonstans, canónigo de Urgel. =Una de las tres…</t>
  </si>
  <si>
    <t>SanchezRamirez, Juan</t>
  </si>
  <si>
    <t>Juan SanchezRamirez</t>
  </si>
  <si>
    <t>…n á sus oidos, llamó de varios puntos ^ sus? hijos i emigradós» unió se «con ellos» formó, una opinión.'» levantóse en mata .con grandes: riesgos; y acaudillados por el; inmortal ¿D. Juan SanchezRamirez » fue capaz &lt;dé'arros trar tcon solo; su valor y la proteccion de María Santísima de la ;Mbrced át enemigo /formidable que había hecho temblar al orbe» y labar de algún mo do con fcu sangre la atroz injuria hecha ¿ vuestra Real Persona » haciéndola correr* en…</t>
  </si>
  <si>
    <t>Sancho, Ignacio</t>
  </si>
  <si>
    <t>Ignacio Sancho</t>
  </si>
  <si>
    <t>404 de su secretario D. Ignacio Sancho, el Excmo. Sr. conde de Motezuma, cor regidor de esta corte y su partido, seríala el térmno preciso de 30 dias contados desde esta fecha. Madrid 17 de Abril de 1815. Habiéndose restablecido los paquetes ingleses desde Londres al puerto de la Coruña , se avisa…</t>
  </si>
  <si>
    <t>Sancliez, Josef</t>
  </si>
  <si>
    <t>Josef Sancliez</t>
  </si>
  <si>
    <t>…e , D. Juan Palomero , D. Ra^ mon Oleína, D. Fernando Belarde,;D. Miguel Almagro, D. Manuel Ovan do , Ds. Bartolomé González , D. Antonio María; Mvuñoz , , Dr Miguel María Muñoz V D. Josef Sancliez, D. Mánüel Áranda ^A?tóiiiqfCpuxYlU^»inl^l</t>
  </si>
  <si>
    <t>Sandobal, Miguel de Salazar y</t>
  </si>
  <si>
    <t>Miguel de Salazar y Sandobal</t>
  </si>
  <si>
    <t>…celino García Ocaña: para la de Peñaranda de Duero á' D. Agustín Monge: para la de Coca á D. Diego Henriquez: para la de Nava del Rey á D. Juan Antonio Bernal: para la de Utrera á D. Miguel de Salazar y Sandobal: para la de Aguilar del Rio Alhama á D. Juan Ricardo Lozoyo: pa ra la de Castro del Rio á D. Antonio María Navarro: para la de Villarejo de Fuentes á D. Juan Roza Ridoces: para la de Lerin a D. Francisco Mi guel Lombardo: para la de Villalon á D. Saturnino Ta…</t>
  </si>
  <si>
    <t>Sandóvaí, Baltasar</t>
  </si>
  <si>
    <t>Baltasar Sandóvaí</t>
  </si>
  <si>
    <t>…por Señal de sus piadosas intenciones, éntre otros rasgos de su Real generosidad con diferentes individuos, confirió las gradas del grado de coronel al tenien te coronel graduado D. Baltasar Sandóvaí, y el empleo de ayudante al sub-í teniente D. Pablo Rica, encargado del detall del mismo cuerpo: por ulti mo, en medio de un doro viento, incómodo por el mucho polvo que pro movía, tuvo la paciencia de ver formada, y maniobrar á su frente la oficia lidad y tr…</t>
  </si>
  <si>
    <t>Sandoval, Benito</t>
  </si>
  <si>
    <t>Benito Sandoval</t>
  </si>
  <si>
    <t>…n de la Barca, Gobernador inte rino del Fuerte de la Concepción, y Presidente de la Comisión Militar de Policía y Gobierno de la plaza de Ciudad-Rodrigo: al de Teniente Coro nel á D. Benito Sandoval y D. Pablo Pairot, Capitanes del Real Cuerpo de Artillería, D. Fernando Mateos, D. Fernando Valdés, D. Juan Solda do, y D. Juan Pió Quijano, Sargento mayor y Capitanes del Regimiento Provincial de Segovia; á 0. Fernando Alcocer, D. Josef Gines de Zamora, 0. Joaquín. Esoatolero…</t>
  </si>
  <si>
    <t>Sandoval, Josef</t>
  </si>
  <si>
    <t>Josef Sandoval</t>
  </si>
  <si>
    <t>…Juan de la Cruz González , D. Antonio Gárcía Prado, D/ Ju lián Villacampa y D. Manuel Ubi ría : grado de tenientes á los guardias Dori Juan Nepbmuceno Roldan, D. Laureano Melena, D. Josef Sandoval, t). An&gt; • tonio Megía, É). • Eugenio Ábergoza , D. Francisco Aguírre , D. Braulio Ro-í drigo, D. Manuel Medina , D: Josef Ria ño y D. Benito Coca. (Se continuará.) t , Artículo de, .oficio del ministerio de la Guerra. &gt; , ;[ En el despacho de hoy he hecho pr…</t>
  </si>
  <si>
    <t>Sanjurjo, Juan</t>
  </si>
  <si>
    <t>Juan Sanjurjo</t>
  </si>
  <si>
    <t>…Senderos , D. Josef Saravia ,* D. Manuel Vigo, Don Gaspar Pineda, D. Josef Mozo, D. Juan de* la Cueva, D. Juan Delgado,: D. josef Febrer , D; Mariano Henarejos, D; Ciríaco Mella , D. Juan Sanjurjo, D. Ignacio Cuadrado,: D. Juan Aleson, D. Honorio Siréra ; D. Pedro Vizcarrondo, D. Josef Guimbarda, D. Juan Sotélo, D¿ Tiburdo Basanta, p. Rodrigo Tavira , D. Manuel de Lis , D/Felipe Herreros , el marques del Moral, D. Sebastian Iglesias, D. Salvador de Cár…</t>
  </si>
  <si>
    <t>Sanseverino, Joaqoin Marti y</t>
  </si>
  <si>
    <t>Joaqoin Marti y Sanseverino</t>
  </si>
  <si>
    <t>…ía, número 12 , quarto principal,-junto á la de S. Carlos, y en Búrgos á D. Félix Martin Antón, su hermano político, empleado en el hospital del Rey. Se desea saber el paradero de D. Joaqoin Marti y Sanseverino, oficial del re gimiento de Zapadores, que fue hecho prisionero en el ataque de 'Zaragoza. Quién tuviere noticia de dicho D. Joaquín se servirá comunicárselo en Valencia á su her-’ mana Doña Teresa Marti y Sanseverino,, calle de la Linterna; numeró’ 38, y ea…</t>
  </si>
  <si>
    <t>Sanseverino, Teresa Marti y</t>
  </si>
  <si>
    <t>Teresa Marti y Sanseverino</t>
  </si>
  <si>
    <t>…al del re gimiento de Zapadores, que fue hecho prisionero en el ataque de 'Zaragoza. Quién tuviere noticia de dicho D. Joaquín se servirá comunicárselo en Valencia á su her-’ mana Doña Teresa Marti y Sanseverino,, calle de la Linterna; numeró’ 38, y ea Madrid en la librería de Perez, calle de las Carretas. - ’ . En la villa de Puente la Reyna, que consta de 600 vecino»’, en el reynb de Na varra, se halla vacante la plaza de cirujano de estuche, cuya dotación son 9609…</t>
  </si>
  <si>
    <t>Santa, Joset</t>
  </si>
  <si>
    <t>Joset Santa</t>
  </si>
  <si>
    <t>…ienifeiite' coronel alcapitán dd granaderos del mismo cuerpo D. Marcelo Por rasa. Asimismo ha conferido' o. M. en érvireyhato del Pena el gobierno .político y militar de.MQXos .al coronel D. Joset Santa £ruz y Villayicencio i él.dél Callao ql ¡subinspector gene|al,de las tropas dé aquel rey no-e{ mariscal je campo 1)^ Joaquín jp la Pezuela: .ha ¿ptom^v ido á ;tenipnte alí snbjt^meiíte: 0*.iFranciscaVjilaqueva* ayudante de la plaza de Maracaybo; y al teniente…</t>
  </si>
  <si>
    <t>Santaló, Esteban</t>
  </si>
  <si>
    <t>Esteban Santaló</t>
  </si>
  <si>
    <t>…o, aritmética y ortografía castellana, fueron premiados con medallas de oro y plata como los mas sobresalientes los alumnos siguientes: D. Miguel Palomares, D. Mi guel de Arévalo, D. Esteban Santaló, D. Josef Coello y D. Antonio Martí nez ; y como se presentaron algunos alumnos que se acercaban en conocimien tos á los premiados, dispuso la junta de censura darles una distinción que les sirviese de recompensa á su aplicación, como se verificó en 17 de ell…</t>
  </si>
  <si>
    <t>Santander</t>
  </si>
  <si>
    <t>…continuar la historia de algunos famosos traydores re fugiados en Francia: respuesta de Fr. Manuel Martínez, mercenario calzado, á la carta que desde Mcmpeüer le escribió el í!mc. Sr. Santander, obispo auxiliar de Zaragoza, y al apéndice á la representación que D. Francisco Amorós, soi-ditant consejero de estado español, dirigeá S. M. el Rey D .Fernando vti. Esta obra, de suyo interesante en las actuales circunstancias, lo es todavía mas si se consi…</t>
  </si>
  <si>
    <t>Santander, Manuel</t>
  </si>
  <si>
    <t>Manuel Santander</t>
  </si>
  <si>
    <t>…amos, D. . Josef Velez, D. Francisco Contreras, D. Manuel Auñon, Dt' Josef Palillos, D. Antonio Acosta, D» Francheo Menduiña, D. Julián Senessens^iD* Josef AraüjoyD. Antonio Rute, D. Manuel Santander, D. Josef Domínguez , D. Josef!Montero y D. Pedro .Trasierra , D. Frandsco Olmo:,* Don Fermí n Meneos^ «Dv VénturaiRiesco ,D. Josef Muñoz § D. Luis Gorrichátegui, B; Joaquín Arbizu, D. Francisco Bravo, D. Josef Ausejo, B. Ramón Espona, D. Fráncisco Victoríno,…</t>
  </si>
  <si>
    <t>Santaoláya, JOáquih</t>
  </si>
  <si>
    <t>JOáquih Santaoláya</t>
  </si>
  <si>
    <t>…dados por sus capitanes O.*Ariscado CiáSfréTpD. Rafael Ásláin, D. Rafael DirrhnyíD* Juan Diego de la Orta, y iá cóhipáñíá de marina á cargo de su comandante el teniente de fragata Don JOáquih Santaoláya: la de la derecha, compuesta del batallón ligero de San Luis al cargó de su sargentía mayor D. Josef Barradas, piquete de Zamora dí cargo deí teniente D. Josef Miguel, compañías del regimiento i.° Ameri ca noal de t ¿o capitán D. Josef Car na 20, provincial d…</t>
  </si>
  <si>
    <t>Santaolaya, Joaquin</t>
  </si>
  <si>
    <t>Joaquin Santaolaya</t>
  </si>
  <si>
    <t>…uió el ayudante mayor de S. Luis D. Nicolás Acosta y el subteniente Rodríguez, de Tampico, lo mismo que el capitán Bustamanté, cuyo arrojo es bien conocido: el teniente de fragata D. Joaquin Santaolaya llegó igualmente de los primeros. El capi tán D. Josef María Mendoza, de fieles del Potosí, y los capitanes y oficiales . ya citados de patriotas llenaron á toda mi satisfacción sus deberes , domo el capitán pilches y teniente Noriega ; y si alguno ha tenido…</t>
  </si>
  <si>
    <t>Santero, Agustín</t>
  </si>
  <si>
    <t>Agustín Santero</t>
  </si>
  <si>
    <t>…ancisco Ca lleja, JD. Isidro Cifuentes, y D. Manuel Lozano., det Real Cuerpo"de Arti llería; y á D. Angel Martin , E&gt;. Cayetano del Cás.tiliío, D. Josef Quenedí, D. Basilio Moran, D. Agustín Santero, y D. Josef Mediero, del Regimien to de Voluntarios de Avila; y asimismo se ha dignado S. M. conceder una Cruz pendiente del ojal de la casaeq con una cinta morada, la qual tendrá grabado en el círculo de su cara principal el quartej de las armas de Casti lla…</t>
  </si>
  <si>
    <t>Santiago</t>
  </si>
  <si>
    <t>…e D. Antonio Alonso, á D. Juan Rosendo Blazquez , cura castrense de la plaza de Alcántara. = La dignidad de arcedia no de Borriol en la iglesia de Torfosa, vacante por dimisión de D. Santiago* Antonio Méndez, deán de la catedral de Solsona, á D. Francisco! Castañedo, canónigo de Jaén. = La canongía vacante en la catedrád de Jaén por trasla ción de D. Francisco Castañedo al arcedianato de Borriol en la de Tortosa, á D. Francisco Javier de Outon, mé…</t>
  </si>
  <si>
    <t>…tonio López de Saiazará deducir, fas acciones y derechos que les competa; entendidos que de no hacerlo les parará el perjuicio que haya lugar , . 1 En la escribanía del ‘número de D. Santiago de :Estepár,íy áiidi encíadel Sejnor D. León de la Cámara Cano, del consejo de $. Mm tenientercorregidor d¿ est^ vi lla, está radicada la testamentaría dp t^óíía Teresa Santpyp, vec ina'qué .'Fue de ellá, y resultando cierto legado ^ftaÍt£íb' á"favor dé‘Dbfñá…</t>
  </si>
  <si>
    <t>…l Por providencia del Sr. D. £éóñ de la Cámara Carió ,jclieí Coiisejo dé S. Xt-, tetoiériTe^de^eoYTégídor *de esta vil la vyoT la escribanía de^ndmeró’y ¿yunta miento dél cargo de D. Santiago de £&amp;tepar% á-instancia ;del R. P. comendador del Real con-</t>
  </si>
  <si>
    <t>Santiago'Echaparret</t>
  </si>
  <si>
    <t>…o Gastón, D. Vicente’ Bauzáy&lt;D¿ Pedro dePalacio,D. Joaquín de Senroa y D. Nicolás Mayorga. __ •' ¡ :n Ascenso á tenientes de navio á los de fragata D.Francisco Fernandez Mi randa, D. Santiago'Echaparret, D. DiecoVenegas, D. RamonTruHol, Don -Vicente jde "Lago y D; Josef Arn*r -y I&amp;ynaydX^Jüan Diaz' Maqueda,Don -Jdsef Losada y Ribera, j D. Simón Londoñb ,30. Luis Boisgroller, D. Jacin to Marcayda, D. Rufino Torrótitegui y D." Josef García Campero, D.* Pedro M…</t>
  </si>
  <si>
    <t>Santiago, Rafael</t>
  </si>
  <si>
    <t>Rafael Santiago</t>
  </si>
  <si>
    <t>…fael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Cayetano Salcedo, Dw Andrés Nieto.-, B; Manuel Nifo, D. Juan Lti…</t>
  </si>
  <si>
    <t>Santibañes, Josef de</t>
  </si>
  <si>
    <t>Josef de Santibañes</t>
  </si>
  <si>
    <t>…D. Miguel Gonzalo, se ser virán acudir á cobrar lo que á cada uno les corresponde desde este dia de la fecha de doce á dos de la mañana y de quatro á cinco de la tarde en casa de D. Josef de Santibañes, corredor del número de esta Real aduana , calle de la Zarza, núm. 9, quarto baxo, con los documentos que justifiquen sus créditos. Para asuntos de alguna consideración é ínteres que hay que comunicarles se de* sean hallar los herederos de Doña Francisca Manr…</t>
  </si>
  <si>
    <t>Santis-, Rafael de</t>
  </si>
  <si>
    <t>Rafael de Santis-</t>
  </si>
  <si>
    <t>…buenos sentimientos, sino por su ardor y alguna imprevisión , se jes considere libres de nuevos,cargos; masrno asi en quanto Á lo que dice la misma sentencia acerca del Brigadier D. Rafael de Santis-</t>
  </si>
  <si>
    <t>Santistéban, Juan Pico</t>
  </si>
  <si>
    <t>Juan Pico Santistéban</t>
  </si>
  <si>
    <t>…. M., primer teniente cor regidor de esta hcroyca villa, ante el escribano del número de la misma, en virtud de Real habilitación, D. Bernardo Díaz de Amonara. Estando comisionado D. Juan Pico Santistéban por varios pueblos y particula res para liquidar y cobrar los créditos procedentes de suministros hechos en la guerra última con la Francia á las tropas inglesas y portuguesas, hace presente al público haber fixado su residencia en Lisboa, donde actualmente e…</t>
  </si>
  <si>
    <t>Santistéban, Pedro</t>
  </si>
  <si>
    <t>Pedro Santistéban</t>
  </si>
  <si>
    <t>…Ramón Osores, del Provincial de Santiago; D. Ber nardo Becerra, del de Betanzos; D. Joaquín López Varela, D. Antonio Guerrero, D. Josef Guerrero, D. Juan de Castro, D. Juan López, Don Pedro Santistéban y D. Josef Novoa, del de Lugo; D. Luis Blanco, Don Pedro Iglesias, D. Pedro Ruiz Peña, D. Pedro Rodríguez, D. Isidro del Rio, D. Antonio Arias, D. Manuel Quiñones, D. Carlos Mota, D. Auto-</t>
  </si>
  <si>
    <t>Santistéban, Rafael de</t>
  </si>
  <si>
    <t>Rafael de Santistéban</t>
  </si>
  <si>
    <t>…los, habia razones para qué Se. ejecútase lo mismo con respecto á Santistéban; y'por lo tanto sé ha ser vido S. M. declarar inculpado y absuelto de todo cargo al difunto Brigadier D. Rafael de Santistéban en las ocurrencias de la enunciada acción de Cas talia; mandando al mismo tiempo se publique en la orden general del Exército, con arreglo á Ordenanza, y en los papeles públicos del Gobierno, es ta soberana resolución para que llegue á noticia. de todos. De R…</t>
  </si>
  <si>
    <t>Sántiyan, Silvestre de Leis y</t>
  </si>
  <si>
    <t>Silvestre de Leis y Sántiyan</t>
  </si>
  <si>
    <t>…eñor en celebridad de sus dias por la secretaría de Estado y del despacho de Gracia y Justicia (*). En la iglesia catedral de Urge) la dignidad de capiscol, vacante por muer te de D. Silvestre de Leis y Sántiyan, á D. Andrés Solans; y la. dignidad de arcediano mayor dé la misma, vacante por muerte de D, Josef Gómez , á Don Armengol Berga. = La dignidad de abad, primera silla de la colegiata de nues tra Señora de Covadonga, diócesis de Oviedo, vacante por fallecimient…</t>
  </si>
  <si>
    <t>SantMgÓ</t>
  </si>
  <si>
    <t>&gt;TÓ de.Octubre último por D. SantMgÓ/Gtrcíá á favor de Bichos señores; 161778 y ¿ 73 2 27, e,ntíosados en dicho di:i por, D. Lúeas Yañtz á favor délos indicados se ñores ; 155315 y 1 54119 » endosados en 20 de julio último' por los Sres. Pe y ro Ion y compañía á favor de los mismos: 166959, endo…</t>
  </si>
  <si>
    <t>Santociides, Josef María de</t>
  </si>
  <si>
    <t>Josef María de Santociides</t>
  </si>
  <si>
    <t>483 ARTICULO DE OFICIO. Circular del Ministerio de Guerra. Por exposición que desde Cataluña ha dirigido al Rey nuestro Señor el Mariscal de Campo D. Josef María de Santociides, Gobernador que era en el año de 1810 de la pequeña y mal fortificada plaza de Astorga, artillada con solas doce piezas de campaña, se ha enterado S. M. de los distinguidos servicios que hicieron durante su gloriosa defensa las valientes tropas, que en numero…</t>
  </si>
  <si>
    <t>Santocildes, Josef María de</t>
  </si>
  <si>
    <t>Josef María de Santocildes</t>
  </si>
  <si>
    <t>…o sitio. Finalmente es la voluntad de S. M. que para evitar abusos en el uso de la mencionada condecoración, acudan los que se consideren con derecho á ella á exponerlo al General D. Josef María de Santocildes, quien, despees de bien asegurado, dará conocimiento á este Ministerio de la Guerra para la expedición del correspondiente diploma, respecto á que sin él ninguno po drá usarla. De Real órden lo comunico á V. para su inteligencia y cum plimiento en la parte qu…</t>
  </si>
  <si>
    <t>Santofiinia, Francisco Ruiz</t>
  </si>
  <si>
    <t>Francisco Ruiz Santofiinia</t>
  </si>
  <si>
    <t>…odel barranco. d£.Iá$ Caleras, Montefrio: 3. id. ¿dé 50 fanegas 3- celemi nes tierra, pago de los pe chos.de Aguila r nid • iiobo de'1 feo fanegas de tiefrá eñ idl ; Capellanía de D. Francisco Ruiz Santofiinia. Uña casa calle Alcalá , Id. ‘ Capellanía de D, juán Ruiz Torrálba. Tres hazas' cóñi puestas de 7 fhne^ gas y 2 aranzadas de tierra en diferentes sitios, ,ifd«: una, haza-de.7 fanegas de los Zarzales, id.:' otra de una fanega , 7 celemines en Chórruélo, id.:…</t>
  </si>
  <si>
    <t>Santogo, Valentín</t>
  </si>
  <si>
    <t>Valentín Santogo</t>
  </si>
  <si>
    <t>…e León D. Angel Vicente: hono res de Médico consultor á D. Enoch Herrero; y permite S. M. el uso de la referida Cruz concedida á la guarnición al padre ó pariente mas inmediato de D. Valentín Santogo, D. Carlos Quiñones, D. Manuel Avecilla, Pedro Villa, Cayetano Sancho, Miguel de Bcrdallo, Domingo Martínez, Jacinto Raposa, Juan Baluña, Antonio López, Simón Fernandez, Tomas de Veyga, Francisco Fraunte, Domingo Fernandez y Tiburcio Alvarez, indivi duos de l…</t>
  </si>
  <si>
    <t>Santolario, Andrés</t>
  </si>
  <si>
    <t>Andrés Santolario</t>
  </si>
  <si>
    <t>…ico de la ciu dad de Zaragoza, separándolo de la intendencia, a D. Mariano Ruiz Loren zo , é igualmente ha prorogado en el corregimiento de la ciudad de Barbastro por un sexenio á D. Andrés Santolario. Asimismo se ha servido S. M. nombrar á D. Jacinto Marzo y Torres pa ra la vara de alcalde mayor de la villa de Mbmblanch: para la de la ciudad de Balaguer á D. Agustín Velasco Calleja: para la de la villa de Callosa de Segura á D. Vicente Diez Ruesgas: para…</t>
  </si>
  <si>
    <t>Santos, Antonia María</t>
  </si>
  <si>
    <t>Antonia María Santos</t>
  </si>
  <si>
    <t>…as de habitación de S. S. á las nueve de su mañana. Lo que se anuncia por medio de este periódico pa ra que llegue á noticia de todos sus acreedores. Se desea saber el paradero de D. Antonia María Santos, soldado distinguido 'del regimiento i.° voluntarios de Madrid de infantería, y después oficial del regi miento de Castilla, que fue hecho prisionero en Valencia. La persona'que su piere de él se servirá avisarlo en Madrid á su madre Doña María Caba?, callé d…</t>
  </si>
  <si>
    <t>Santos, Manuel</t>
  </si>
  <si>
    <t>Manuel Santos</t>
  </si>
  <si>
    <t>…edro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Sayago, D. Jldefonso Nieto, D. Cris…</t>
  </si>
  <si>
    <t>Santos, Simón de León</t>
  </si>
  <si>
    <t>Simón de León Santos</t>
  </si>
  <si>
    <t>…erau de Arellano , E&gt;; Juan López Fraga , p. Manuel de Lardizabal y Montoya , Ba rón de Castieí, D. Santiago Usoz y Mozzi, D. Blas Manuel de Loya, Don osef Vicente de Barrenechea, D. Simón de León Santos, D. Josef Escarano, Í). Francisco Hurtado de Mendoza , D. Pablo Ibañez , D. Juan Josef de Barciterrechea, D. Juan Quintana, el general Roche y D; Josef Pando. a Por la Mayordomía, mayor. ; j , i Llaves de gentileshombres de cámara con exercicio' al marques de…</t>
  </si>
  <si>
    <t>Sanz, Claudio</t>
  </si>
  <si>
    <t>Claudio Sanz</t>
  </si>
  <si>
    <t>…próximo pasado, y cumplimentado en 8 del corriente por el Sr. D. León de la Cámara Cano, del consejo de S. M., primer teniente corregidor de esta heroyca villa, por testimonio de D. Claudio Sanz, es cribano del número, se cita y emplaza á las personas que pretendan tener derecho a la sucesión de un vínculo fundado en aquella ciudad por Pedro Martínez Zorrilla y María Zorrilla, su muger, que poseyó últimamente el P. D. Manuel Pacheco, del</t>
  </si>
  <si>
    <t>…se vende para hacer pago á un acreedor, acuda ante el Sr. D. Joaquín Almazan, dél consejo de S. M., teniente corregidor de esta, villa, por la escribanía ^de su número que exerce D. Claudio Sanz, dentro del término de 36* días. • Anatomía general aplicada á la fisiología y á la medicina: porFranciscdXa vier Bichat, medico del hospital de humanidad de .París1, y catedrático de anatomía y fisiología':.'traducida por el Dr. D.Rymon Trux¡ílo, profesor, d…</t>
  </si>
  <si>
    <t>Sanz, Josef</t>
  </si>
  <si>
    <t>Josef Sanz</t>
  </si>
  <si>
    <t>…on retención de las demás rentas eclesiásticas que obtiene: para el beneficio mayor de la iglesia parroquial de la villa de Arenas, en el obispado de Avi la, vacante por muerte de D. Josef Sanz, á D. Juan de Sprrpndegui, pre$*r bicerp;, rector de la, iglesia hospita 1 de nuestra Señara? ,de la Ruepa- Dijcn.a de esta corte :í para el raedLoj&amp;üefido de los despoblados figtarqne y .Ofeér</t>
  </si>
  <si>
    <t>Sarasa, Manuel</t>
  </si>
  <si>
    <t>Manuel Sarasa</t>
  </si>
  <si>
    <t>…férez de caballería, y D. Manuel De pis, subteniente de in válidos: de subteniente á los sargentos primeros del Real cuerpo de Artille ría D. Vicente Zaragoza, D* Manuel Sánchez y D. Manuel Sarasa : al de Zapadores D. Manuel Calleja; á los del regimiento de infantería de Mallor ca D. Joaquín. Canseco, D. Patricio Fernandez, D. Josef Rodríguez de</t>
  </si>
  <si>
    <t>Sarasti, Luis María</t>
  </si>
  <si>
    <t>Luis María Sarasti</t>
  </si>
  <si>
    <t>…ltasar Co&gt; mellas, 0. Juan Brayo, D. Josef González Merino, D. Joaquín Aguado , Bou Ramón Palacio, D. Josef Meneses , D. Antonio Riosoto , 0. Manuel Monde* toro, D. Manuel Crespa, D. Luis María Sarasti, D. Tomas Orive, 0. Ma« jnuel Cayaleri , D. Agustín del Barco, D. Francisco Andrada, D. Juan Ltí« »ás,D. Joaquín ALvarez Maldbnado, 0. Rodrigo Sánchez Airona, D. RaU* hiel Arango, D. Lean. Grl de Palacio, D. Joaquín Villaba, 0. Antonia ¡Sén quera, 0. Manuel Z…</t>
  </si>
  <si>
    <t>Saravia, Josef</t>
  </si>
  <si>
    <t>Josef Saravia</t>
  </si>
  <si>
    <t>…dríguez de Ribera , D. Pedro Germán D. Josef de Torre Llobregat, D. An tonio Villavicencio , D. Mauricio Albert, D. Manuel Villavicencio, D. Fran cisco Fernandez dejos Senderos , D. Josef Saravia ,* D. Manuel Vigo, Don Gaspar Pineda, D. Josef Mozo, D. Juan de* la Cueva, D. Juan Delgado,: D. josef Febrer , D; Mariano Henarejos, D; Ciríaco Mella , D. Juan Sanjurjo, D. Ignacio Cuadrado,: D. Juan Aleson, D. Honorio Siréra ; D. Pedro Vizcarrondo, D. Josef…</t>
  </si>
  <si>
    <t>Saravia, Juan de Dios</t>
  </si>
  <si>
    <t>Juan de Dios Saravia</t>
  </si>
  <si>
    <t>…ovoa, como tam bién del , singular porte del capellán presbítero D. Tomas Zúñiga, pues han sellado honrosamente ia noble opinión que les distingue: igualmente que el recomendable' coronel D. Juan de Dios Saravia, comandante del bata* llon denominado del General ; su intrépido sargento mayor el teniente coro nel D. Francisco Ánglada; los siempre animosos comandantes de guerrillas teniente coronel D. Mariano Venero, capitán de egército D. Josef Ignacio Iturralde, y su…</t>
  </si>
  <si>
    <t>Saravia, Ramón Somalo y</t>
  </si>
  <si>
    <t>Ramón Somalo y Saravia</t>
  </si>
  <si>
    <t>…y á D.Manuel Echavarria, fiscal ce la chancillería de Valladolid, á quienes ha conferido S. M. plazas efec tivas de alcaldes de Casa y Corte, y para secretario de ese ministerio á Don Ramón Somalo y Saravia. De orden del Rey lo participo á V. S. para su cumplimiento; en la inteligencia que con esta fecha comunico la misma al señor presidente del consejo, á fin de que este expida las órdenes conve nientes á su cumplimiento. Dios guarde á V. S. muchos años. =r Pal…</t>
  </si>
  <si>
    <t>Sarmiento, Pedro Martínez</t>
  </si>
  <si>
    <t>Pedro Martínez Sarmiento</t>
  </si>
  <si>
    <t>…ral de Segorve por fallecimiento de D. Pedro Lorenzo Bueno á Fr. D. Josef Cumbo, del orden de S. Juan.=La canongía vacante en la catedral de Lugo por muer te de D„ Antonio Lence á D. Pedro Martínez Sarmiento, cura párroco de San Pedro de aquella ciudad.=La ración vacante en la parroquial de Berbegal, diócesis de Lérida, á D. Josef Cagigos.=La canongía presbiteral que ha va cado en la colegiata de Junquera de Ambia, en el obispado de Orense, por muerte de D. Josef…</t>
  </si>
  <si>
    <t>Sarrie, Estéban</t>
  </si>
  <si>
    <t>Estéban Sarrie</t>
  </si>
  <si>
    <t>…edro Lüengó Alderéte^ y D. Dámaso Ghamoohln: á alféreces vivos y efectivos de caballería, Cón süéldó de talesjy grado de tenientes, á los guardias D. Jiian Soto , D/Vicente Hore , D. Estéban Sarrie, D. Siiñpií Bañuelos , D. Juan de la Cruz González , D. Antonio Gárcía Prado, D/ Ju lián Villacampa y D. Manuel Ubi ría : grado de tenientes á los guardias Dori Juan Nepbmuceno Roldan, D. Laureano Melena, D. Josef Sandoval, t). An&gt; • tonio Megía, É). • Eugeni…</t>
  </si>
  <si>
    <t>Sartolo, Antonio Mediano</t>
  </si>
  <si>
    <t>Antonio Mediano Sartolo</t>
  </si>
  <si>
    <t>…olución.” El Rey se ha servido nombrar en el territorio de las ordenes militares á D. Igpacio Perez para la vara de alcalde mayor de la villa de Azuaga, va cante por prohiocion de D. Antonio Mediano Sartolo á la de Aímonacid de Zorita: paira la?dePedro Muñoz , por salida de D. Antonio Rodríguez Escóvar á la de, láetorá D. Francisco de Paula Per eirá: para la de Torregimeno en propiedad á jD. Juan Antonio de la Plaza, que la servia interina mente; y para la de :S…</t>
  </si>
  <si>
    <t>Sartolo, Antonio Mediano y</t>
  </si>
  <si>
    <t>Antonio Mediano y Sartolo</t>
  </si>
  <si>
    <t>…hado y Montano ; promover á las de Villatobas, Almonacid de Zorita y Lietor á los electos para las de S. Ca brían de Gastrotórafe, Azuaga y Pedro Muñoz D. Antonio de Entrecanales, D. Antonio Mediano y Sartolo y D. Antonio Rodríguez de Es cavar; y nom brar para las de Los-Sántos á Di Josef Antonio Martin Palomino ; de Cille ros á D. Ignacio Josef Palomares; de Lleréna á D. Fráricisco Delgado y Ayala; de Benicarló á D. Ignacio Lazcano y Guzman; del Corral efe Almaguer, vacante por promóci…</t>
  </si>
  <si>
    <t>Sartorio, Josef</t>
  </si>
  <si>
    <t>Josef Sartorio</t>
  </si>
  <si>
    <t>….Francisco Vizcarrondo, D-Joaquiñ !de Castañeda» D. Juan Francisco Püi¿t D. Ramon Hcrrera yíCfüzat, D. Francisco Millau, D. Vicente Fran cisco1 de ¡Voz , Martin Francisco Triarte, D. Josef Sartorio, D. Diego Bu trón, D. Francisco Ciscar, D. Josef Mollinedo, D. Fermín Esterripa y D. Francisco de Paula Osorio. -Ascenso á capitanes de navio áTos de fragata D. Francisco Man¡on, Don Faustino Gnimii,: D. Rafael• Lobo, D. Pedro Acevedo, D. Juan de Vargas Lana,…</t>
  </si>
  <si>
    <t>Satue, Pedro</t>
  </si>
  <si>
    <t>Pedro Satue</t>
  </si>
  <si>
    <t>…D. Josef Brandia á Don Jospf Arnauto, eura párroco de Bañólas, en dicho obispado. = La canongía vacante en la iglesia metropolitana de Zaragoza por muerte de D. Baltasar Vénages á D. Pedro Satue, abad mitrado de la colegiata de Zafra , diócesis de Badajoz. =íLa media-raeion vacante en la catedral de Cádiz por promoción de D. ;Manuel Cos á canongía de la mismaiigiesia á D. Antonio Sistiaga, ca pellán del regimiento de infantería voluntarios tiradores…</t>
  </si>
  <si>
    <t>Satué, Ramón</t>
  </si>
  <si>
    <t>Ramón Satué</t>
  </si>
  <si>
    <t>…ies de si* tío, tasada en el año de 1805 én 4538^0 rs., dé vn., perteneciente su mitad á la testamentaría de D. Julián de IIIescas. La pérsonaquéquiera hacer postura acuda ante el Sr. D. Ramón Satué, del consejo de S. M., alcalde de la Real casa yrcor¿ te, por la escribanía de provijnciadeD.Juan Antonio Diaz Noriega, que se ad mitirán las que se hagan siendo arregladas. * La plaza de médico del lugar de Gretafe j distante dos leguas de Madrid , se ha lla…</t>
  </si>
  <si>
    <t>SaU, Ignacio</t>
  </si>
  <si>
    <t>Ignacio SaU</t>
  </si>
  <si>
    <t>…di a j del corriente á las once de la maña&lt;» na en el salón consular, formada la junta .de gobierno, concurrieron á él* no solo los alumnos de la academia y su maestro y director D. Ignacio SaU* vá , sino también gran.número de personas de todas clases, las quales se en«* teráron de las obras escogidas de los mismos alumnos que estaban de mani-t fiésto. Al comenzarse el acto se leyó un elocuente:discurso, dispuesto por el referido maestro ^en que» a…</t>
  </si>
  <si>
    <t>Sauz, Manuel</t>
  </si>
  <si>
    <t>Manuel Sauz</t>
  </si>
  <si>
    <t>…os á los terceros D. Prudencio María Piohai*do,' Po Joaquín Navarro, &gt; i).«Juan /Francisco, Vivanco, D.'Eugenio Hetnaez,* D.Ignacio dePazo^, D. Felipe Heriiahdefc, D. Pedro Valls, D. Manuel Sauz. 4 . *'¿ ,y^P. Gil ^ y Pin¿&amp; v * _ Ascenso ¿oficiales terceros á los cuantos D.: Juan de Hazas,rD. Bernar-* dino Fernandez ,D. Joaquín Manuel de Teva, D./ Francisco Cándido de Ote-* jpo , D. Juan Higinio Qyiatanilla, D. Juan Yarda, D. Francisco JavierMartinez…</t>
  </si>
  <si>
    <t>Savary</t>
  </si>
  <si>
    <t>…ingle ses y la claridad de la luna. de jarrón pocas esperanzas á las fragatas de poder ,, Del ib aí 1.1 Napoleón, espidió en clase de parlamentarios al navio ins.el Belerofonte al general Savary y á Las-Cases. Estos emisarios volvieioq el 11. ' \ • ‘ ,,Del {i 1 al 12 supo Napoleón por su hermano Josef la disolución de las ¿cámaras y la entrada del Rey eri París. Hasta aquel momento, había repeti do con frecuencia que las cámaras le volverían á. llama…</t>
  </si>
  <si>
    <t>*249 do í bordó al general Savary y 30 oficiales franceses, y qué al día siguiente dieron la vela para Malta. FRANCIA. Provine 11 de Octubre. La orden del Rey de 3 de Agosto último, concerniente á la organización de las legiones departamentales, se ha llevado ú efecto enel partido de Pro vins…</t>
  </si>
  <si>
    <t>Saxonia, Carlos de</t>
  </si>
  <si>
    <t>Carlos de Saxonia</t>
  </si>
  <si>
    <t>…o quisieran, loa partidarios de Bonáparté. • Idem 21. Ayer llegó &amp; Ámberes un batallón de infantería hanoveriana, que forma la vanguardia de un brillante cuerpo de 12$ hombres. £1 príncipe Carlos de Saxonia» Weimar ha salido hoy de aqui para Ña mar, donde estancias tropas saxófiai^ Las cartas de I ila del 17 del actual hablan de la mucha deserción que experimentan los regimientos franceses que se haHan en el Artois y en la Picardía. Hay frecuentes disenciones en…</t>
  </si>
  <si>
    <t>Saxonia, Maximiliano de</t>
  </si>
  <si>
    <t>Maximiliano de Saxonia</t>
  </si>
  <si>
    <t>…ntal deben hacer parte de la ceJon. El 18 de este mes volvieron á empezarse las sesiones para la organiza* cion de Alemania, que se habían suspendido por espacio de tres meses. El príncipe Maximiliano de Saxonia y sus hijos han salido de Praga para Brunn. - Mañana celebrará la corte con la mayor ostentación el cumpleaños d« la gran duquesa de Olderr.burgo, pues aunque verdaderamente fue el lé, se difirió con motivo de no estar concluidos los preparativos. Es notorio…</t>
  </si>
  <si>
    <t>Sayago, Manuel</t>
  </si>
  <si>
    <t>Manuel Sayago</t>
  </si>
  <si>
    <t>…Silva &gt; D- Josef Duran, D. Rafael* Máhi,D. Juan Sentmauat, D.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Enfy, D. Josef Aguilar, D.” Juan de DiosVaidivia,D. Lázaro Caballero ,D. Antonio Flor…</t>
  </si>
  <si>
    <t>ScH-midt</t>
  </si>
  <si>
    <t>…todo del mayor general Bdydann, que con cuatro compañías iiostuvo un combate bríllanté: y decisivo .contra 13® hombres.v El mayor S. Ennois, del séptimo batallón de cazadoresy el capitán ScH-midt, que se distinguió^páTrticulafmenteíCon su- cáinpdfiía, y que fue. herido, merecen ambos una recomendación honorífica. J ■ 1 El general Dessaix se retiró en seguida á Garrouge ; el general de caballe ría Frimont debió haber llegado ayer á Ginebra, y el genera…</t>
  </si>
  <si>
    <t>Schauensteín</t>
  </si>
  <si>
    <t>…cipe de Kaunitz para España; el general conde Neipperg para lurin; elbafon Steigcntesch para Copenha gue; el barón de Wessembargo para Munichj^el conde Bombelles para Stockoímo el barón Schauensteín para Cássel y Hannóyer; el príncipe Jablonowski para Sicilia, y el conde de Tautmansdorf para Saloma. Se ha circulado en esta ciudad Ja lista siguiente de las tropas que están marchando contra Francia. Rusos 22)$; austríacos 250©; prusianos ifó©; hannoveriano…</t>
  </si>
  <si>
    <t>Scheiter</t>
  </si>
  <si>
    <t>…es. El enemigo reunió en la noche del 28 8® infantes y 300 caballos cerca de Chavannes; pero fueron arroj’ados á la bayoneta de aquel sitio con corta pérdida por nuestra parte. El general Scheiter se apoderó de la fuerte posición fortificada cerca de Montbeillard , que el enemigo volvió á tomar con gran intrepidez. El mariscal conde Colloredo reforzó al general Scheiter durante la noche, y la posición fue vuelta á tomar el 30. ; El 't? de Julio el cuer…</t>
  </si>
  <si>
    <t>Schiller</t>
  </si>
  <si>
    <t>…n su in trepidez acostumbrada, y derrotó á; un enemigo superior en numero , elogia particularmente la conducta del mayor Markrath; del mayor Maráis 5 do Keuss-Graitz; del teniente coronel Schiller, del batallón de Francfortí ¿b--. Slli pérdida consistió en. un oficial muerto; y siete heridos-, entre los q9e se-cuen ta el mayor Markrath, y en unos 40 soldados muertos y 250 heridos. &gt;</t>
  </si>
  <si>
    <t>Schulenbourg, Federico-AIbert de</t>
  </si>
  <si>
    <t>Federico-AIbert de Schulenbourg</t>
  </si>
  <si>
    <t>…riales estipuladas en el congreso de Viena, han nombrado por pleni potenciarios para negociar, concluir y firmar un tratado de paz ydeamísfad; á saber: S. M. el Rey de Sájo'nia al conde Federico-AIbert de Schulenbourg, su gentilhombre¿ caballero de S. Juan de Jerusalen, y á Hans-Augusto Furchtegott de Globig, gentilhombre-; y S. M. el Rey de Prusia al Príncipe de Hardemberg, su canciller de Estado, caballero de las águilas Roja y Ne gra &amp;c. y al barón'Carlos GuilTermo, de…</t>
  </si>
  <si>
    <t>Schwartzeinberg, Príncipe de</t>
  </si>
  <si>
    <t>Príncipe de Schwartzeinberg</t>
  </si>
  <si>
    <t>…ante larga la mansión de ■ .SS. MM. II. en el reino Lombardo-Véneto. . . . El Emperador Alejandro ha permanecido seis dias en los estados de Werlick y Frauemberg, propios del feld-mariscal Príncipe de Schwartzeinberg y de su hermano el Príncipe reinante. El 19 salió de allí S. ?%í. I. dirigiéndo se á Praga, desde donde se encaminará probablemente á Breslau. Se ha enviado un gran número de destacamentos contra el famoso ban dido Krasel, y ya se han preso 23 de sus cómplice…</t>
  </si>
  <si>
    <t>Schwartzemberg, Príncipe de</t>
  </si>
  <si>
    <t>Príncipe de Schwartzemberg</t>
  </si>
  <si>
    <t>…ajo las órdenes de S. A. el Príncipe Real de Wurtemberg , ocuparán los departamentos del Allier y del Puy-de-Dome. 7*° Egército austríaco; Fontaihébléaü , cuartel general del feld-mariscal Príncipe de Schwartzemberg. El egército del alto Rhin ocupará los departa mentos del Cantal, Lozerá, Gard, Loira , alto Loira, Bocas del Roda no* Vauclusey Alpes-Bajos' y Vár. ■ El'edórcito efe Italia ocupa ráelos'depártamentas de la Costa de Oro, $aona Alto , Saona y Loira , Juraq Don…</t>
  </si>
  <si>
    <t>…ques Fernando y Maximi liano ;; el barón Duka; el conde dé Wubna; él conde de Trautmaíisdorfj el Príncipe de Rohan; el Príncipe Paulo Esterhazy; el Príncipe Lichtensfein; el feld- mariscal Príncipe de Schwartzemberg, comandante en gefe del egéfc— cito austríaco, y otros muchos generales y oficiales del mismo égérciio.: ^ JDe Musía. Los grandes Duques Nieblas y Miguel; el condé dé Lama— *cff&gt; escudero mayor j el conde dé Nésselrode ; el mayor general Principa</t>
  </si>
  <si>
    <t>Schwarzenberg</t>
  </si>
  <si>
    <t>…es. Los piamonteses, qüe se portaron con gran valor, tuvieron mucha pérdida. Se alaba mucho la conducta ael general Frank¡. El cuartel general ae los Soberanos y del Príncipe feld-mariscal Schwarzenberg se pondrá en marcha mañana para Void. 3= Tengo la honra &amp;c.= Stevoart. ' ¡P. JO. Acabo de recibir noticia de que hoy llegará el general Czernicheíf á Meaux, sitio en donde el 9 pensaba establecerse el Príncipe Wrede. Es tracto de un oficio del general Cat hea…</t>
  </si>
  <si>
    <t>Schwástzemberg</t>
  </si>
  <si>
    <t>…exército ruso de reserva para obrar según lo elijan las circunstancias.__ En Italia habrá un exército de 120® hombres, qiié deberá obrar en el sur de la Francia, á las órdenes del príncipe Schwástzemberg/y ademas habrá otro de observa ción en la Toscana. • Hoy ha salido para Brusétas el duque de Wellington , de cuya pericia militar y profundos conocimientos políticos , bien acreditados en esta época, esperan el congreso de Víena y la Europa toda los mas felic…</t>
  </si>
  <si>
    <t>Sció, Felipe</t>
  </si>
  <si>
    <t>Felipe Sció</t>
  </si>
  <si>
    <t>…; no ádmitiéndósé ya mas subscripciones., ni'se venderán to mos sueltos hasta concluida la obra. Los subscriptores á la biblrá vulgata latina, traducida y anotada por el Timo. P. D. Felipe Sció, dé las Escuelas Ptas / acudirán á recoger el tomó 9.0 y adelantar él importe del i o.° á la portería dé lis Escuelas Pías del Avaptés de esta corte. Se ha» liarán- también da venta para lósqueí íio han suscrito &amp; 30/ rs.:eií rústica y 36/en pas ta común. En…</t>
  </si>
  <si>
    <t>Scotti</t>
  </si>
  <si>
    <t>…pera también que vengan los ministros y los embajadores cerca del Padre Santo. . ' ' S. S. trabaja mucho con el ministro secretario de Estado, y preside mu chas congregaciones. El cardenal Scotti ha llegado1 de Milán, adonde había ¡do con una comisión q&amp;e se cree relativa á los gastos ocasionados t por las tropas austríacas en las guarniciones de Ferrara y de Cornaccbio. Lord Hugo Clitford y lord Magler han sido presentados á S. S., quien los ha recib…</t>
  </si>
  <si>
    <t>Se, J. de Y.</t>
  </si>
  <si>
    <t>J. de Y. Se</t>
  </si>
  <si>
    <t>…las canciones. Manual del cristiano con ios ejercicios de la mas sólida piedad, con oraciones para confesar y comulgar, y el ordinario de la santa misa en latín y castellano: por D. J. de Y. Se hallará en la librería de Dávila, calle de las Carretas. Ensayo sobre la electricidad de los cuerpos, con una lámina de la máquina, por el célebre abate Nollet: traducido en castellano por D. Josef Ortega Vázquez y Morales, primer secretario perpetuo de la.Re…</t>
  </si>
  <si>
    <t>Se, Josef Morant y</t>
  </si>
  <si>
    <t>Josef Morant y Se</t>
  </si>
  <si>
    <t>…á D. Andrés Soler; para lá de Rivaroja á D. Vicente María López ; para lá de Turis á D. Cándido Francisco Cevallos; para la de Bélgida á D. Simón Perez López; para la de Chelva á D. Josef Morant y Se— arra; para la.de Concentaina á D« Gregorio Amorrich; para la de Elda á ). Francisco Pomares y Seller; para la de Chiva á D. Hilario Josef de Menf doza; para la de Bellinova á D. Benito Gabriel Aguilera; para la de Relleo I D. Francisco Cornago ; para la de l…</t>
  </si>
  <si>
    <t>Se, Manuel María Gervasio</t>
  </si>
  <si>
    <t>Manuel María Gervasio Se</t>
  </si>
  <si>
    <t>…: para unajracioiii.de la- igiesia colegial de la ciudad de Al fa ro, diócesis,dé Tarazona, vacante 1 por promoción de D. Tomas María Ma yor á una canongía de la misma'colegial, á D. Manuel María Gervasio Se gura, clérigo de prima y cantor de la misma iglesia. Él Rey nuestro Señor se ha servido nombrar para el empleo de coro-</t>
  </si>
  <si>
    <t>Se, Pascual</t>
  </si>
  <si>
    <t>Pascual Se</t>
  </si>
  <si>
    <t>…macén de esta corte , que se ha de celebrar ante el Sr. D. Joaquín Almazan Gimeno, dél consejo de S. M., tenien te corregidor de esta heroica villa, y escribano del número de ella D. Pascual Se co , se ha señalado el día p del próximo mes de Octubre á las 12 de la mañana el» la audiencia de S. S. En virtud de facultad Real se vende una casa sita en esta corte y subida de los Angeles, señalada con el núm. 2, correspondiente al mayorazgo fundado por O…</t>
  </si>
  <si>
    <t>Sebastian'Benavente</t>
  </si>
  <si>
    <t>…el de caballería de Luya y Chillaos al capitán D. Antonio Rodríguez; para teniente coronel en ei de dragones de Azangafo al coronel graduado de milicias y comandante dé esquadron D. Sebastian'Benavente: para las compañías tercera y de granaderos én el de infantería de Caxamarca ai teniente D. Gregorio Bobadilla , y al capitan D, Miguel López Varéla: para compañías en el de dragones de Mages á los tenientes D. Eusebio y D. Matias Pacheco: para igual empleo e…</t>
  </si>
  <si>
    <t>Sebastian, Cándido</t>
  </si>
  <si>
    <t>Cándido Sebastian</t>
  </si>
  <si>
    <t>…memorable de un aprovechamiento, si podía ser, estraordinario. El catedrático ha escedido los deseos de la universidad, pre sentando el dia 22 de Junio los cinco de sus discípulos D. Cándido Sebastian, D. Juan Antona, D. Saturnino Martínez de Llórente, D. Gerónimo Martines y D. Antonio Mazo á examen público y general de aritmética , algebra, geo metría, trigonometría, geometría práctica, secciones cónicas t seríes y su apliCacioir á los logaritmos. La pron…</t>
  </si>
  <si>
    <t>Seco, Pascual</t>
  </si>
  <si>
    <t>Pascual Seco</t>
  </si>
  <si>
    <t>…de sus dueños, j en virtud de providencia del Se ñor D. Joaquín Almazan Gimeno, del consejo de S. M., teniente corregidor de es ta heroica villa, y por la escribanía del número de D. Pascual Seco, se ha manda do sacar á púbiica,subasta por término de 30 dias, contados desde hoy, la Real fa brica de curtidos, sita en la villa de Aravaca, con todas sus oficinas corrientes pa ra las elaboraciones, casa edificada en ella, cuadras, almacenes, minas -para l…</t>
  </si>
  <si>
    <t>…llos cau dales en el destino prescrito. En virtud de providencia del Sr. D. León de la Cámara Cano , del consejo de S. M., teniente corregidor de esta heroica villa, refrendadá de D. Pascual Seco; es cribano de S. M. y del número de ella, se ha;mandado sacar á pública subasta poí término de 30 dias la casa qué en la cálle de Cabestreros sé distingue con el nume ro 40 de la manzana 68', lá cual tiene de sitio 1612 pies y y está tasada en 69398 rs. vn.…</t>
  </si>
  <si>
    <t>…corresponda según las leyes. ■ En virtud de providencia del Sr. D. León de la Cámara Cano , del consejó de S. teniente corregidor de esta villa, y por la escribanía del número de Don Pascual Seco, se ha mandado sacar á publica subasta por término de 30 dias k casa que en la calle de Santiago el Verde-se distingue con el núm. ig de la manzana 76 por la cantidad de 97835 rs. 4 mrs. en que se enagenó últimamente, la cual tiene de sitio 3277 pies cuadrado…</t>
  </si>
  <si>
    <t>Secretario</t>
  </si>
  <si>
    <t>…e 30 de Setiembre-del año próximo pasado.” ’ . Lo que traslado &amp;c. ■ • ■- --• A &gt;-.«!*• 1. .. &gt; / i V j» Á, . »!L '■ 1 ■ .... i ■: j • ¡ .......................-Z *' '. 2 *&gt;\ ’ El Señor Secretario de! Despacho de Hacienda me comunicó con fé rula de 29: de Diciembre dehaño próximo pasado la Real orden que sigue : r „El Rey nuestro Señor penetrado de la urgente necesidad que hay dé socorrer á las fábricas de salitres y pólvora', y enterado de la asignaci…</t>
  </si>
  <si>
    <t>…sentamos', y no ocupas el último lugar en el fondo del corazón de V; M.” “ ARTICULO DE OFICIO. - . 4 Circular del ministerio de Estado. Con fecha de 3 del presente mes comunica el Sr. Secretario de! Despa cho de Estado el Reai decreto siguiente : „ Hallándome satisfecho del buen desempeño de D. Felipe González Vallejoen el Despachó interino de la Secretaría de Hacienda que le confié por mi decreto de 2 de Febrero último, he venido en nombrarle para q…</t>
  </si>
  <si>
    <t>…. A. S. el Sr. Duque de Brunswick, ha resuelto el Rey que se vista la corte de luto por ocho dias con media negra, que empezarán á contarse desdé el lunes 21 del corriente. Por el Sr. Secretario interino del Despacho de la Guerra se ha comunicado al Ministerio de Seguridad pública, con fecha de 17 de este mes , la Real or den siguiente: „Ei Rey nuestro'Señor por Real resolución de este dia, se ha servido mandar que todas las órdenes dadas por V. E. h…</t>
  </si>
  <si>
    <t>Sécretario</t>
  </si>
  <si>
    <t>…mo Tribunal para su inteligencia y cumpiimientaet espregado Esemo. Sr. Secretario de Estado de Gracia^ y Justicia-con inserción de la que en 12 del mismo le había pasado el Esemo. Sr. Sécretario del despacho de Marina, participándole que el 24 de Mayo último se había instalado el Consejo Su premo del Almirantazgo; pero habiendo ocurrido un incidente por el cuál se deducía que él Consejo Supremq&gt; de, Castilla ignoraba aquellá! circunstancia* había man…</t>
  </si>
  <si>
    <t>…ien lo inyertirá^en los es.presados objetos, con arreglo á las órdenes que se le co muniquen..—Por lo que respecta al primer arbitrio, participé lo conveniente en 13 del actual al Sr. Secretario dé Estado y del Despacho de Gracia y Jus ticia. En cuanto al segundo dije asimismo lo necesario al Ministerio de Ha cienda con fecha del 18, previniendo que su producto se entregue á fin de cada mes á los consulados de la Península é Islas adyacentes, quienes…</t>
  </si>
  <si>
    <t>…ató é hirió como joq con muy poca pérdida por nuestra parte.” h.-.Kl capitán general del Nuevo-Reino de Granada D. Francisco Montalvo, con fecha de 22 de Mayo de este año, dice al Sr. Secretario, de Esrado y dfl Despacho universal de Indias desde ;Santa Marta, entre otras cosas, lo siguiente:: ,,'Escmo. Sr.: Las disensiones acaloradas en que veta empeñados al rebel de Simón Bolívar y al gobierno revolucionario de Cartagena, llevadas hasta el estremo…</t>
  </si>
  <si>
    <t>…s del establecimiento , sea cual fuere el motivo. De Real orden lo comunico á V. para su inteligencia y cumplimiento. Dios guarde á V. muchos años. Madrid 12 de Agosto de 181J. El Sr. Secretario del despacho de Hacienda con fecha 29 de Mayo último me dice lo que copio: EI Sr. Secretario del despacho de Guerra me ha comunicado la Real or den circular que sigue: El Rey nuestro Señor que desea proporcionar des de luego á las familias de los beneméritos…</t>
  </si>
  <si>
    <t>1047</t>
  </si>
  <si>
    <t>…den partí’ su inteligencia y cumpli*-mientó en la parte que le troca. Dios guarde á Vw muchos amos, Madrid ai de &lt;Agosto dre 1815, . . Circular de la Tesorería general de S. M. El Sr. Secretario del despacho de Hacienda con fecha tde 3 del actual iñé dice que con la de 26 de Julio último le comunica el de Guerra lo que copio. „ Enterado el Rey de la consnlta que hizo el Inspector general interino de Infantería , á virtud de da del Coronel del regimie…</t>
  </si>
  <si>
    <t>Num. 122. ( 2 cuartos) 112 f GACETA ESTRAORDINARIA DE MADRID DEL VIERNES 29 DE SETIEMBRE DE i8jj. ARTICULO DE OFICIO. El Sr. Secretario del despacho de la Guerra acaba de recibir el oficio si guiente del Mariscal de Campo D. Josef Imaz, y del Brigadier D. Josef Pesci, Gobernador militar de la ciudad de Santiago. „Escmo. Sr.: El Comandante general interino D. Josef Imaz y yo tene mos la satisf…</t>
  </si>
  <si>
    <t>…orden comunico á V. para, su inteligencia y que disponga sú 'cumplimiento en ía parte qu© 1© toca. Dios guarde á V. mti--cjios años. Madrid 15 de Óptübre dp 18 fj. ; T El Éxcnio. Sr. Secretario del despacho de la Guerra ha hecho presente á S. M. con fecha de 16 de este mes ía exposición siguiente : „ Señor: Organizados bajo un sistema uniforme y análogo á la situación pbííticá qüe presenta la Europa todos los cuerpos de las diferentes armas que comp…</t>
  </si>
  <si>
    <t>…iones con que él leal-pueblo de esta capital manifiesta su sentimiento por cualquier ausencia', aunque breve, de su amado Soberano* Entré las varias noticias Comunicadas al Excmó. Sr. Secretario deí despa* cho de Estado sobre; los progresos de la industria en ios países eXtráhgérós, tina de las- qué masdében llamar la atención pública, por el grande ínteres qtíe ofrece, éS lá aplicación que se hace én Schlusselburgo, püebló de Rusia, «e la máquina de…</t>
  </si>
  <si>
    <t>Sedaño, Francisco Perez</t>
  </si>
  <si>
    <t>Francisco Perez Sedaño</t>
  </si>
  <si>
    <t>…de sus dias. Por la secretaría de Estado y del despacho de Gracia y Justicia. La dignidad de abad de santa Leocadia en la iglesia primada de To ledo , vacante por fallecimiento de D. Francisco Perez Sedaño , á D. Bernar do Alarcon, capellán de la Real capilla denominada de Reyes nuevos de To* ledo ; la canongía que vacó en la misma iglesia por muerte de D. Pablo Re cio y Tello á D. Bonifacio Tosantos, lectoral cíe la de Sto. Domingo de la Calzada; la capellanía…</t>
  </si>
  <si>
    <t>Segarra, Vicente</t>
  </si>
  <si>
    <t>Vicente Segarra</t>
  </si>
  <si>
    <t>…eficial que tenia pendien te en la curia eclesiástica de la ciudad y obispado de Tortosa, se suplica á quien tenga noticia de su existencia ó fallecimiento se sirva participarla á D. Vicente Segarra, cura y racionero dé la catedral de dicha ciudad de Tortosa. , Espíritu militar ó principios teóricos y prácticos del arte de la guerra, acomo dados al servicio de los .estados mayores generales y divisionarios de los egércitos españoles: por el te nien toaro…</t>
  </si>
  <si>
    <t>Segovia, Antonio María</t>
  </si>
  <si>
    <t>Antonio María Segovia</t>
  </si>
  <si>
    <t>…pendientes á la de revalidación. Dios guar de áV. muchos años. Madrid 29 de Mayo de i8í 5. „ En atención á los méritos que lia contraído en los anteriores acontecimien tos el Lie. D. Antonio María Segovia, relator del supremo consejo ¡de Indias, á :1a conducta política que ha observado durante la permanencia de los enemi gos én la península, y su constante adhesión á la Persona del Rey? ha te nido á bien S. !M. concederle honores de auditor de Guerra de los Re…</t>
  </si>
  <si>
    <t>Segovia, Femando</t>
  </si>
  <si>
    <t>Femando Segovia</t>
  </si>
  <si>
    <t>…Frontera á D. Fernando de Reynoso: para el de Antequera á D. Juan de Dios Cevallos; y para el de Ronda á D. J^ef Gregorio Aragón. Para el corregimiento de letras de Mancha Real á Don Femando Segovia: para el de las Alpujarras del reyno de Granada, su ca-^ pita! Uxijar, á D. Joaquín Castells y de Montaner: para el de Loxa á Don Juan Víctor Navarro: para el de Chinchilla á D. Juan María Ruano: para el de Marbella á D. Marcos Cachapero:. para la vara de Pur…</t>
  </si>
  <si>
    <t>Segovia, Francisco Hernández de</t>
  </si>
  <si>
    <t>Francisco Hernández de Segovia</t>
  </si>
  <si>
    <t>…presentarse á S. M. en nombre, y representación de la villa de Peñaranda de Brácamonte en lia provincia de Avila el Escmo. Sr. duque de Frías, grande de España de primera clase, y D. Francisco Hernández de Segovia, síndico procurador de* la espresada villa , los cuales cumplimentaron á S. M. por su feliz restitu ción al trono desús gloriosos progenitores, esponiendo los grandes y estraordiuaiyos servicios de aquellos vecinos, que vejados con numerosa guarnición frances…</t>
  </si>
  <si>
    <t>Segrí, Esteban</t>
  </si>
  <si>
    <t>Esteban Segrí</t>
  </si>
  <si>
    <t>- D. Esteban Segrí , teniente agregado al regimiento de infantería de Bailen/ deseando dar al Rey nuestro Señor una nueva prueba del honor y lealtad con que le ha servido por espacio de 27 años y medio, ha hecho á S. M. el do nativo del importe de los sueldoj que le han corresp…</t>
  </si>
  <si>
    <t>Seguridad</t>
  </si>
  <si>
    <t>…obar, la prudencia.coa que, V. E.« se ha conducido en este , al mismo ‘tiempo que ha resuelto qué eh ló sucesivo no permitaV.E.que en asuntos.de igual naturaleza se introduz ca ¿i ministro Seguridad;pública de esta corte9 pues que hasta lá-sanción •del reglamento d Gómándancias militares está cometida la seguridad pública á Tos capitanes generales de provincia y. magistrados civiles 9 á quienes pór las, leyes del reyho leS compete ,; y cómo sé lé previno…</t>
  </si>
  <si>
    <t>Seguy, Bernardo</t>
  </si>
  <si>
    <t>Bernardo Seguy</t>
  </si>
  <si>
    <t>…ocurrencias por los milicianos urbanos , se ha dignado S. M. conceder grados de provinciales á los individuos de la citada milicia que ¿ continua ción se expresan: de Capitanes á D. Bernardo Seguy, D. Jorge Flemingg y D. Pedro Corifac¡o:de tenientes á D. Juan Clark y D. Juan O-Reylly; de subtenientes á D Gerónimo Alvarez y D. Joaquín Sánchez. En consideración á los buenos servicios de D. Luis Clonet, comandante del cuerpo reglado de voluntarios del Mis…</t>
  </si>
  <si>
    <t>Selma, Fernando</t>
  </si>
  <si>
    <t>Fernando Selma</t>
  </si>
  <si>
    <t>…s. por sus mesadas de Ma** yo y Junio.__D. Juan Josef Lesaca , contador de data de la Tesorería ge neral, 12$ rs. vn., y S© su hijo D. Clemente.Pedro de Oscalar 1© reales anuales. D. Fernando Selma, grabador de cámara que fue de S. M., bien conoci do en toda Europa por sus obras de dibujo y grabado, falleció en esta córte el día 8 de Enero de 1810, según ei Real cuerpo de Marina lo anunció al publico; en la gaceta núm, 39 del jueves 8 de Febrero de 1810…</t>
  </si>
  <si>
    <t>…r benéficamente en estos dias la dedicatoria que le ha hecho de estas dos obras, las publica, advirtiendo que en ambas concurre la circunstancia de ha ber sido las ultimas con que D. Fernando Selma concluyó su carrera, y se agrega á la de la Perla la de haber sido robado por los franceses el cuadro original de que fue copiada, como una de las mayores preciosidades que se hallaban en el Real monasterio del Escorial y en España en la clase de pinturas. Pu…</t>
  </si>
  <si>
    <t>Semelé</t>
  </si>
  <si>
    <t>…sacar subsistencias del país que aquel ocupaba, y animar á los pueblos que el enemigo con su política procuraba desalentar, le convenia atacar el centro de su línea mandada por el general Semelé, lo que verificó'con tal disciplina y oportunidad, que Se melé lúe sorprendido en su misma cama, su tropa salió con él entre nues tras bayonetas, toda su artillería, equipages y caja militar cayeron en nues tro poder, y el número de oñciales y soldados prisio…</t>
  </si>
  <si>
    <t>Sendoquis, Mateó</t>
  </si>
  <si>
    <t>Mateó Sendoquis</t>
  </si>
  <si>
    <t>…a gata Efigenía al ancla en la isla de Coche á 2 5 dé Abril de 181 í^Fernando de JLizarza.=Sr. comandante general de la escuadra.=Fx Pascual Enrile. EIÍRey se ha servido nombrar á D. Mateó Sendoquis, fiscal de la sala de alcaldes de casa y corte ^ para la fiscalía del Consejo Real, vacante por</t>
  </si>
  <si>
    <t>Senessens, Julián</t>
  </si>
  <si>
    <t>Julián Senessens</t>
  </si>
  <si>
    <t>…l,D. Antonio Bórdon$,D. Ignacio Velazquez,Don Andrés Ramos, D. . Josef Velez, D. Francisco Contreras, D. Manuel Auñon, Dt' Josef Palillos, D. Antonio Acosta, D» Francheo Menduiña, D. Julián Senessens^iD* Josef AraüjoyD. Antonio Rute, D. Manuel Santander, D. Josef Domínguez , D. Josef!Montero y D. Pedro .Trasierra , D. Frandsco Olmo:,* Don Fermí n Meneos^ «Dv VénturaiRiesco ,D. Josef Muñoz § D. Luis Gorrichátegui, B; Joaquín Arbizu, D. Francisco Bravo, D.…</t>
  </si>
  <si>
    <t>Senizzer</t>
  </si>
  <si>
    <t>…lló en esta acción concias divisiones dé Ambrosio, Lecchi , Livron y Pignateüi, y con parte de la de Carrascosa. .—.El ataque del 2 que dio el batallón Vaccuánt, .conducido por ei general Senizzer, arre»* lió: akenemigo por; eL flanco JzqUierdq. En el¡ del dia 3. el enemigo quiso reno var el ataque ea:eí camino real t sobre el que se avanzó con mucho ímpetu; pero en todas, partes fiad rechazado , y tu.voLqué abandonar, con el mayor desorden y -confusió…</t>
  </si>
  <si>
    <t>Senroa, Joaquín de</t>
  </si>
  <si>
    <t>Joaquín de Senroa</t>
  </si>
  <si>
    <t>…ndo, D. Agustwt Wautersy D. Ramón Allendey-D» BenitoOirtiz, D/ Manuel Soli$y D. Nieblas Meñaca, D¿ 'Ignacio ValleMarimon; Don Antonio Gastón, D. Vicente’ Bauzáy&lt;D¿ Pedro dePalacio,D. Joaquín de Senroa y D. Nicolás Mayorga. __ •' ¡ :n Ascenso á tenientes de navio á los de fragata D.Francisco Fernandez Mi randa, D. Santiago'Echaparret, D. DiecoVenegas, D. RamonTruHol, Don -Vicente jde "Lago y D; Josef Arn*r -y I&amp;ynaydX^Jüan Diaz' Maqueda,Don -Jdsef Losada y Ribera, j D. Simón Lo…</t>
  </si>
  <si>
    <t>Sentmauat, Juan</t>
  </si>
  <si>
    <t>Juan Sentmauat</t>
  </si>
  <si>
    <t>…Pedro Albornoz, D. 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Sayago, D. Jldefonso Nieto, D. Cristóbal Giménez, D. Miguel de Torres, D. R.afael Sánchez Sáravia, D. Ramón Polo, D. Miguel Lin…</t>
  </si>
  <si>
    <t>Ser, Juan</t>
  </si>
  <si>
    <t>Juan Ser</t>
  </si>
  <si>
    <t>…ración vacante en la iglesia primada de To ledo por fallecimiento de D; Ignacio Rey Montes á D. Cárlos Gutiérrez; y la-capellanía de coro vacante enla misma iglesia por muerte de D. Juan Ser rano á D. Gavino Ramón Díaz.=rLa abadía de Castrogeriz, dignidad de la iglesia metropolitana de Burgos, vacante por fallecimiento de D. Dionisio Sainz Galinsoga, á D. Tomas Ugarte , canónigo de la catedral de Teruel, ss La dignidad cíe chantre que ha vacado e…</t>
  </si>
  <si>
    <t>Serdis</t>
  </si>
  <si>
    <t>…n de granaderos á las alturas de Marciana, que parecía ser el punto amenazada De allí pasé á Reconocer el cabo de S.;Andrés, donde en contré á los capitanes Tutti y Gallandi, y al teniente Serdis, quienes me' in formaron de que el enemigo se había presentado con ánimo de desembarcar en la bahía de Cotaccia, á cuyo ;fin había echado á la mar 15 lanchones, protegidos por la artillería de los.buques mayores; pero que los soldados del batallón franco unid…</t>
  </si>
  <si>
    <t>Sereno, Juan</t>
  </si>
  <si>
    <t>Juan Sereno</t>
  </si>
  <si>
    <t>…eral del cuarto egército; y la tínica ración titular que ha vacado en aquella catedral á D. Benito González Hermida. := La canongía de la catedral de Jaén , vacante por muer te de D. Juan Sereno, á D. Sebastian González López, arcipreste ae la par roquia del Sagrario de la iglesia de Málaga. = La canongía que ha resultado vacante en la catedral de Lérida por promoción de D. Josef Abela y Caba llero á la dignidad de-prior de la de Coria, á D. Gerónimo…</t>
  </si>
  <si>
    <t>Serón, Josef</t>
  </si>
  <si>
    <t>Josef Serón</t>
  </si>
  <si>
    <t>…D.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 Zaballa , D. Juan Ilzalbe, D. Ventura Correjes, D. Agustín Gar cía , D. Pedro Menor, D. Rafael Santiago; D. Ramón Franc, D. Juan de l…</t>
  </si>
  <si>
    <t>Serra, Cárlos</t>
  </si>
  <si>
    <t>Cárlos Serra</t>
  </si>
  <si>
    <t>cío del Sr. Cárlos Serra, y al dia siguiente, después de haberse dignado dexar besar su pie y dado la bendición, se encaminó nuevamente por mar i Génova entre las aclamaciones del pueblo y las salvas de la artillería de ]a torre. En su tránsito se vieron aproximarse en hermosas falúa…</t>
  </si>
  <si>
    <t>Serrano, Gínes Muiría</t>
  </si>
  <si>
    <t>Gínes Muiría Serrano</t>
  </si>
  <si>
    <t>…gnado S. M. nombrar, á consulta de dicho tribunal, para las varas de S. Vicente á Don Santiago Amatrtain: de Pedro Muñoz á D. Antonio Rodríguez fsscovar : de ViHaest/usa de Haro á D. Gínes Muiría Serrano: de Ceclavin á D. Andrés Torrente de Vilíena; y de Bienvenida á D, Manuel Josef de Valenzuela. El Rey nuestro Señor se lia servido conceder al Excmo. Sr- conde de Maceda, grande de España de primera ciase, y gentilhombre de cámara con ejercicio, el permiso de…</t>
  </si>
  <si>
    <t>Serrano, Jiian Antonio</t>
  </si>
  <si>
    <t>Jiian Antonio Serrano</t>
  </si>
  <si>
    <t>…¿vacante por mberte de D. Estéban Barreda, i D. Mauricio García Puente: para otro beneficio de Tortoles, en el arzobispado de Burgos, vacante por muerte de D. Bernardo Moñirio, á D. Jiian Antonio Serrano. r •7 ' ■ ' En atención á los méritos y servicios de D. Josef Vaídés y Velasco, peí nitendario de la pontificia Real iglesia de Italianos de esta cortease ha ser vido S.M. agraciarle con una ración vacante en la santa iglesia de Arequipa por mnene de D. Manue…</t>
  </si>
  <si>
    <t>Serrano, Joaquín</t>
  </si>
  <si>
    <t>Joaquín Serrano</t>
  </si>
  <si>
    <t>…íó Calvo, D. Manuel García y D Vicen* te Salvador; y á los del Cuerpo de urbanos de la ntisaia plaza de Ciudad-* Rodrigo D. Eulogio González, D. Manuel Lúeas, D. Cristóbal Martin, D. Joaquín Serrano y D. Amonio Pinalero2.a Enterado el Rey nuestro Señor del mérito que contraxo la División expedicionaria del mandó del Mariscal de Campo D. Juan de la Cruz Mourgeon en la reconquista dé Sevilla , verificada el día tj de Agosto del año de 1812 , como también del de&lt;eo que han mani…</t>
  </si>
  <si>
    <t>Serrano, Lorenzo</t>
  </si>
  <si>
    <t>Lorenzo Serrano</t>
  </si>
  <si>
    <t>…e del Consejo, con fecha 17 de Marzo próximo, de órden de S. Mi la siguiente:: „ Excmo. Sr.: Condescendiendo el Ret nuestro Señor ton los deseos del Conde de Casillas de Velasco y D. Lorenzo Serrano &gt; actuales Mayor domos de la M. I. Congregación de S. Pedro Mártir, compuesta de todos los del Consejo dé S. M. de la Santa Suprema Inquisición General, Inqui sidores del SantOíOficio, y demás Subalternos de qué se componen los Tri bunales de los dominios de…</t>
  </si>
  <si>
    <t>Serrano, Manuel Martin</t>
  </si>
  <si>
    <t>Manuel Martin Serrano</t>
  </si>
  <si>
    <t>…o de.primeras letras, dotado con 12 rs. diarios, pagados por-tericios á cargo del juez de propios, y casa en que vivir. Los pretendientes se dirigirán al ayuntamiento por medio de D. Manuel Martin Serrano, su escribano, hasta el 30 del corriente, en que se hará la elección en el mas benemérito. Se desea saber el paradero de D. Fulgencio Ustariz, que por noticias poco exac tas se halla sirviendo á S. M. en clase-de sargento én -uno de los regimientos que se hal…</t>
  </si>
  <si>
    <t>Serrano.', Tomas Diez</t>
  </si>
  <si>
    <t>Tomas Diez Serrano.'</t>
  </si>
  <si>
    <t>…v nii Jí» Taragoza....... D. Francisco Perpiñan, barón de la Torre.; En Alava yGui--. D. Francisco Arrletá. 'i; . i • _ ’ . - • * .¡J ; : l-í . ' 1 , . » &gt; Jiíí • *'*■* *!» t."**, D. Tomas Diez Serrano.' -•* i \ J i. olit-i-i .&gt; i2i W , D¿ Joaquín Tutor* y Barzola. • &gt; i •En Bilbao........... D. Francisco :de la,Mata. ; tifa &gt;A Jil il» Zamora........... D. Manuel de Humara.* ¡hdA vb JET»* Salamanca..... D. Francisco de fZúñiga y ¿Barbosa** En Santander • M***…</t>
  </si>
  <si>
    <t>Serrurier</t>
  </si>
  <si>
    <t>3I3 Dixo al mariscal duque de Dalmacia: „ Mariscal, tenemos noticias sati fac torías.”, Al general Rapp: „No tendréis que defender á Dantzlck; pero cuento con vos.”__ Al mariscal Serrurier: ,, Creo mariscal que esteis con tento con los inválidos: estos antiguos soldados serán fieles.”__ Al general Marescot: ,, General, la opinión que tengo de vuestros sentimientos está fundada sobre los de mi mas profunda estimación.” El embaxador de las Dos Si…</t>
  </si>
  <si>
    <t>Sevilla, Antonio Ramírez de</t>
  </si>
  <si>
    <t>Antonio Ramírez de Sevilla</t>
  </si>
  <si>
    <t>…á su Real Persona han hecho ef ¡cabildo dé éscribano¿ de esta corte, compuesto en el día de 20 individuos, de6® rs. vn. de contado, y de otros 6© á pagar den-? tro de seis meses; D. Antonio Ramírez de Sevilla, vecino; de Lupion, en el reino de Jaén, .dé 47$ rs.; yñ. que adeuda.,(de suministros hechos á las tronase Doña Máría ;de, la CpncepciqnGonzalezde -Avellaneda , cqndesa del Valle de S. Juan ,• de 28564 rs. y 32 mvs. vn. á que asciende el rédito_que se la de-*…</t>
  </si>
  <si>
    <t>Sevilla, Juan de</t>
  </si>
  <si>
    <t>Juan de Sevilla</t>
  </si>
  <si>
    <t>…ñellas y Prats , deán de la villa de Montblanch y sií partido., en la propia diócesis. = La canongía vacante en la colegiata de Ante quera por fallecimiento de D. Matías de Hita ¿ D. Juan de Sevilla, beneficia-» do de la parroquia de S. Juan de Málaga.= La canongía de ia iglesia primalda de Toledo, que ha vacado por fallecimiento de D. Pablo Nicolás de San Pedro , á D. Agustín de Rivarola, prelado doméstico de S. S.; y la capella-1 nía de coro de ia mism…</t>
  </si>
  <si>
    <t>…e corresponde. Dios 'guárde á V. Madrid 12 de junio de 1815. El Rey nuestro Señor se ha servido conceder las veedurías de la costa de Graú^da y de los presidios menores reunidas á D. Juan de Sevilla ^oficial de su secretaríáí-de Estaco y. del despacho universal de la Guerra; habiendo al mismo tiempo tenido á bien premiar sus buenos y dilatados servicios con ios honores ;de intendentede egército. D. F rancisco Hocfe, natural de Gran en Hungría, que salió…</t>
  </si>
  <si>
    <t>Sevillano, Juan</t>
  </si>
  <si>
    <t>Juan Sevillano</t>
  </si>
  <si>
    <t>…Rafael Montemayor, D. Ga briel Villoría, D, Diego Latorre, D. Pedro Vidal, D. Antonio Rey, D. Pe dro Áhnabai, D. Manuel Lomar, D. Pablo Chamorro , :D, Josef Ckuñer. DvJosefGucrra, D. Juan Sevillano , H. Josef Fonseca, D. Sancho Estrada, ¡BJosefSoler , D. Diego Delgado* D* Rafael Vargas, D. Josef Llanzo, Don Josfef Astraudi ,.D. Juan de Sotomáy or, D. Cayetano Perez Dávila, D. Ma nuel Drapie, D. Antonio Henriqiiez , D. Francisco Trugillo, D. Joaquín Huer…</t>
  </si>
  <si>
    <t>Si-, Josef Raymundo</t>
  </si>
  <si>
    <t>Josef Raymundo Si-</t>
  </si>
  <si>
    <t>…o á.bieii S. M. conferirle por Real decreta de 5 do Abril último: pata otra capellanía de coro de la iglesia catedral de Cuenca,; vacante por: muerte de D. Pedro Ñuñez Alegría , á D. Josef Raymundo Si-&gt; velo: para una canongía dt la iglesia catedral de Orense, vacante por pro-, moción de D. Bernardo Martínez al arcedianatb de Huete, dignidad de la iglesia catedral de Cuenca rá D. Pedro Telmo. Hernández , racionero de laiglesia metropolitana.de Burgos: para…</t>
  </si>
  <si>
    <t>Sibiey</t>
  </si>
  <si>
    <t>…r el enemigo con fuerzas muy superiores a dos destacamentos avanzados, han 'tenido resultados désástrbsósiyÜno de dichos destacamentos Se retiró, a Ñutía, -habiendo sido muértó el capitán Sibiey que lo mandaba t el otro hizo tamf* bien,sil retirada con mucha perdida. El capitán Btacfcney que lo mandaba y su segundo fueron también muerfÓS*—- Con esta noticia ¡re pusieron en mar cha todas ks tropas del general Marley , y «e cree que el enemigo se retir…</t>
  </si>
  <si>
    <t>Sicardo, Miguel Elias</t>
  </si>
  <si>
    <t>Miguel Elias Sicardo</t>
  </si>
  <si>
    <t>…á D. Gregorio Sancho Granado r para la de Segorve á Don josef Tomas Aparicio: para la de Villalonga, en el partido de Denia, á Don Agustin Velasco y Calleja: para la de Novelda á D. Miguel Elias Sicardo: paraTa de Pego Ú D. Pedro Antonio Portillo y Clemente: pajra la de Planes y pueblos de su Baronía á D. Mateo-Miranda; y para la de fa villa de Albaida á D. Antonio Rico y Gómez. Igualmente ha nombrado S. M. para la vara de alcalde mayor de la ciu dad de Palm…</t>
  </si>
  <si>
    <t>Sicilia, Marcelo</t>
  </si>
  <si>
    <t>Marcelo Sicilia</t>
  </si>
  <si>
    <t>…1). Nicolás de Torres, D. Bernardo Miravalles , D. Gerónimo Rodrigo, D. Domingo Chaves y D&lt; Fernando Mateos Mettdez : á los de los batalló-»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Eulogio González, D. Manu…</t>
  </si>
  <si>
    <t>Sier, Vicente</t>
  </si>
  <si>
    <t>Vicente Sier</t>
  </si>
  <si>
    <t>…entes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Joaquín Soravilla , D. Francisco,Mora , D* Gabriel Bala-r giier, D. Benito Romasanta , D. Marian…</t>
  </si>
  <si>
    <t>Sierra, Antonio</t>
  </si>
  <si>
    <t>Antonio Sierra</t>
  </si>
  <si>
    <t>…rcés, D. Antonio Ferri, D. Manuel Moreno, D&gt; Josef Funes, D. Ignacio Iturrigaray, D. Fran cisco Martos,: D. Francisco G^rces, ,D. Gonzalo Lobo , D. Josef Araujo, p. Josef Rovirat, D. Antonio Sierra , D, Josef María Lauquer, D. Josef Dá^ viía, ,D&lt;Antonio Alvare^, D, Joaquín Asensio, D. Benito Ibañez, D. Anto nio Casbas j D. Francisco Botella, D. Josef Rasero , D. Josef Joaquín de Corres, D. Manuel González la Madrid , D. Santiago Regoli, D. Pedro Moreno,…</t>
  </si>
  <si>
    <t>Sierra, Francisco</t>
  </si>
  <si>
    <t>Francisco Sierra</t>
  </si>
  <si>
    <t>…ncisco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Francisco Sillero, D. Juan Sánchez, D. Alexandro Saez, D. Estéban Rubio y D. Gabriel Yanguas, del de Cazadores de León ; D. Ramón Mo reno, de la escuela mil…</t>
  </si>
  <si>
    <t>Sierra, Honorio</t>
  </si>
  <si>
    <t>Honorio Sierra</t>
  </si>
  <si>
    <t>…os, para el uso.é instrucción de agrimensores y labradores, por XX Tranciscó Verdejo Páci', el hijo. Nota. En la gaceta del jueves 21 de Diciembre,'pág. 1429J línea tf; donde dice D. Honorio Sierra, lcase X). Honorio Sirera. ... j i - f\ ... . * - ... f . r\ X íu; ?.• r r ' i EN LA IMPRENTA REAL. r</t>
  </si>
  <si>
    <t>Sierra, Juan de</t>
  </si>
  <si>
    <t>Juan de Sierra</t>
  </si>
  <si>
    <t>…rnandez NavarreteD. Juan Manuel Maurat y D. Benignode Rodenas. .. Grado de comisario de guerra al oficial primero D. Juan del Pico. • „Jiscenso X oficiales primeros á los segundos D. Juan de Sierra, D. Estéban Sánchez Martin, D. Agustín Perez de Lérma, D. Gregorio La Bustay p, Gabriel Azpilcueta , D. Josef Alfonso' Pantoja, D, Félix Ramo, D. Alejo Bada y D. Manuel Gómez. Bo res., r . ' ’ . . Ascenso ,á oficiales segundos á los terceros D. Prudencio Marí…</t>
  </si>
  <si>
    <t>Sierra, León</t>
  </si>
  <si>
    <t>León Sierra</t>
  </si>
  <si>
    <t>…ra párroco de Truxillanos: para otro beneficio servidero de Santa María del Valle de Man tilla, vacante por muerte de D. Miguel Estanislao Quadrillero, en la dió cesis de León, á. D. León Sierra: para otros dos beneficios servideros de las iglesias parroquiales de San Sebastian y Santiago de la villa de Cuellar, dió cesis de Segovia, vacantes por muerte de D. Francisco Gómez Samaniego, ? Celestino de Figueroa: para otro beneficio préstamo de Bayo en…</t>
  </si>
  <si>
    <t>Sierra, Onorio</t>
  </si>
  <si>
    <t>Onorio Sierra</t>
  </si>
  <si>
    <t>…mandante? , el teniente de navio D. Josef Sorondo, y el alférez de igual clase D. Josef Villavicencio, el teniente de fragata D. Joaquín Vial, los alféreces de navio D. Ramo% Gil, D. Onorio Sierra y D. Justo Pasalagua, el alférez de fragata D. Josef Baldasano, el graduado, práctico mayor del puerto D* Manuel Hornigo, y los pilotos habilitados de oficiales D. Simón Julián y D. Francisco Morales, los cuales recomiendo á V. S. con particular empeño y eficacia, para que se sir…</t>
  </si>
  <si>
    <t>Sierra, Ramón Antonio</t>
  </si>
  <si>
    <t>Ramón Antonio Sierra</t>
  </si>
  <si>
    <t>…educir su derecho. \¡r En virtud de providencíadel Sr. D. Josef Salvador López del Pan, del consejo de S. M., su alcalde de casa y corte , dada en 10 del corriente ¿ instancia del Sr. Don Ramón Antonio Sierra por la escribaníarde&lt; provincia de £&gt;. Luis López de Castro,, se ha mandado convocar i junta á todos sqs, acreedores, señalando para.ella él miér coles 19 del corriente á las cuatro de su tarde en la Real cárcel de corle y sala de acuerdos que en ella tiene l…</t>
  </si>
  <si>
    <t>Sierra, Ramón de Miranda y</t>
  </si>
  <si>
    <t>Ramón de Miranda y Sierra</t>
  </si>
  <si>
    <t>…Pió. = Francisco Arrese. ss Ma nuel Villaran.” El R ey se ha servido nombrar para la dignidad de prior, que se halla vacante en la iglesia catedral de Oviedo por fallecimiento de D. Ramón de Miranda y Sierra, á D. Josef Perez García, canónigo de la catedral de León, en prueba de no haber incurrido en su Real desagrado siendo vica rio eclesiástico de Madrid en el año de 1798, por el reconocimiento que practicó de la casa ds D. Juan Antonio Rodrigalvarez, por orden…</t>
  </si>
  <si>
    <t>Síerraivecino, Ramón Antón</t>
  </si>
  <si>
    <t>Ramón Antón Síerraivecino</t>
  </si>
  <si>
    <t>…/ su alcalde dé dása y cor Je, de 14' dél córnerte y año , refrendada de D. Luis López de Castro , escribano de provincia y comisiones, se cita y emph*a&gt;á todos ios acreedores del Sr. D. Ramón Antón Síerraivecino dé ésta córte, caballero de la Real orden de Carlos iri-* para qúé'euel preciso terminó dezodiás, contado* desde el nominado 14, se presenten en la refe ida escribióía- dé provincia deí D, Luis-Lopez de Castro con los itociímentos 'calificativos"de“sirs“re5TO…</t>
  </si>
  <si>
    <t>Sillero, Francisco</t>
  </si>
  <si>
    <t>Francisco Sillero</t>
  </si>
  <si>
    <t>…doro Arce, D. Juan Guasa, D. Juan Malagon, E&gt;. Cosme Arias, D. Francisco Sierra, D. Diego Osorio y D. Gregorio Diez, del de Voluntarios de León; D. Josef Yanguas, D. Josef Osorio, D. Francisco Sillero, D. Juan Sánchez, D. Alexandro Saez, D. Estéban Rubio y D. Gabriel Yanguas, del de Cazadores de León ; D. Ramón Mo reno, de la escuela militar de Santiago; D. Manuel Moreno y D. Andrés Pierola, del Cuerpo de Artillería; D. Antonio Freyre, del de Zaragoza, y D…</t>
  </si>
  <si>
    <t>Silva, Francisco</t>
  </si>
  <si>
    <t>Francisco Silva</t>
  </si>
  <si>
    <t>…amón Vinader, D. Antonio Fons ,D. Lorenzo Alambra, D. Pedro Albornoz, D. Juan Ibañez, D. Pedro Colche ro % D. Baltasar Jalón, D. Josef Rizó , D. Manuel Santos, D. Gregorio Losada ,D. Francisco Silva &gt; D- Josef Duran, D. Rafael* Máhi,D. Juan Sentmauat, D. Ignacio de Mora,;D.i Juan .Martin, D. Miguel Labiaga, D. Josef Mendicuti, D. Francisco de Mena, D. Nicolás Landazuri, D. Manuel Sayago, D. Jldefonso Nieto, D. Cristóbal Giménez, D. Miguel de Torres, D. R…</t>
  </si>
  <si>
    <t>Silva, Francisco de Paula</t>
  </si>
  <si>
    <t>Francisco de Paula Silva</t>
  </si>
  <si>
    <t>…n los premios que estaban destinados,para los siete mas* sobresa lientes, y asi se acordó que se sorteasen, y fueron adjudicados á D. Juan Andrés Estudillo, á D. Josef Zarzuela, á D. Francisco de Paula Silva, á D. Juan Vidal, á D. Manuel Manzorea, á D. Manuel Silva y á D. Manuel Bernal, ampliándose después á todos hss restantes; El ayuntamiento de dicha ciudad, satisfecho del zelo y traba jos‘de D. Francisco Girón en los re sultados de dichos exámenes, y á fin de…</t>
  </si>
  <si>
    <t>Silva, Manuel</t>
  </si>
  <si>
    <t>Manuel Silva</t>
  </si>
  <si>
    <t>…es, y asi se acordó que se sorteasen, y fueron adjudicados á D. Juan Andrés Estudillo, á D. Josef Zarzuela, á D. Francisco de Paula Silva, á D. Juan Vidal, á D. Manuel Manzorea, á D. Manuel Silva y á D. Manuel Bernal, ampliándose después á todos hss restantes; El ayuntamiento de dicha ciudad, satisfecho del zelo y traba jos‘de D. Francisco Girón en los re sultados de dichos exámenes, y á fin de estimular al adelantamiento, acordó que se. entregase .un…</t>
  </si>
  <si>
    <t>Silvestre</t>
  </si>
  <si>
    <t>…de 1808 en la ciudad de Zaragoza, y que en 18 del mismo salió á incorporarse á su batallón que se hallaba en Longuera. Se suplica al que tenga noticia de él lo avi se á sus primos D. Silvestre y D. Pelayo Diez Muñiz, que viven calle de Jesús y Marta en esta corte. Omasis: tragedia en cinco actos, representada en el coliseo del Príncipe. Vén dese á 4 rs. en las librerías de Rodríguez y Matute, calle de las Carretas, y en la de Villa, plazuela de Ste. Domingo. Retrato dd S…</t>
  </si>
  <si>
    <t>…on desde Valencia de Alcántara i la corte de Madrid, siguiendo en su empleo de contralor en hospitales militares el expresado D. Juan Tomas, quien llevaba en su compañía al citado D. Silvestre su hijo, desde cuya época nada se ha sabido de ninguno de los dos, y el que suple-, se de sus existencias ó fallecimientos se servirá avisarlo en Madrid á D. Salvador Tusál, calle de Milaneses, núm. 10; en Zaragoza á D. Fermín Erro, calle de San, Pablo, núm.…</t>
  </si>
  <si>
    <t>Simeón</t>
  </si>
  <si>
    <t>…va jas*. D. Josef Arnaiz y 0 Gerónimo de capitanes á los tenientes 0. Juan Mendez Vigo, D„ Pedro Masdeuy íDoin Joaquín Goñi, 0. Tomas Murrietay 0. Felipe Agnado , 0. Dionisio Gil, Don Simeón de la Rosa, D. Gabriel'Solano, 0.' Juan Alverico, D. Ramón Narvaez, D. Salvador Gallard, 0. Lorenzo Zarate, D. Josef Odriozola, 0. Pe dro Fuenmayor, p. Juan de Dios Gil de Lara., D. Anastasio Navas, Don Manuel Rodríguez, 0. Fernando López, 0. Juan Sénovilla,…</t>
  </si>
  <si>
    <t>Simón</t>
  </si>
  <si>
    <t>84* D. Ramón García 1400 rs. importe dé un caballo que entrego para el ¿g¿rcito: D. Pedro Bernardo de la Peña 10830 rs. , reditos de vales : D. Silvestre Navarro , D. Simón dé Segoyia y D. Juan Canturry 17352 rs. y 20 mrs. en 69 recibos de suministros á tropas, y de¡ 2 marcos 7 onzas y 2 adarmes en plata labrada: D. Miguel Blany 2032 rs. vn.: D. Rafael Diez Andrade 664 rs. y 16 mrs. mrnm*mmm, ■ .... .... .. .....................…</t>
  </si>
  <si>
    <t>Simón, Isidoro</t>
  </si>
  <si>
    <t>Isidoro Simón</t>
  </si>
  <si>
    <t>…ural agrado y dulzura los consoló en su triste situación , y se instruyó de: las circunstancias de aquel establecimiento piadoso. Con tan ilustre ocasión su rector y administrador D. Isidoro Simón .de Castro dirigió áS. A. R.-un discurso, en el cual, des pues de elogiar la dig nación de S. A. R., dio una idea del estado del hospital y del pueblo. Sirviósele allí y á toda la comitiva un abundante almuerzo, preparado por el ayuntamiento en medio de la pr…</t>
  </si>
  <si>
    <t>Sintes, Juan</t>
  </si>
  <si>
    <t>Juan Sintes</t>
  </si>
  <si>
    <t>….449458:/i Favor de D. Antonio Pablo de Udaeta, quedebió presentarse parasuTenovacíoh en Diciembre de 1808 : otro¡demonárh.. 258345/: ottP de 150 pososni»úfl!kra4 55to. á favor de.D. Juan Sintes, qué debió.presentirse,5a igual. tiempo,otrg ¡d,e 300 peses núm. 109619 i fa^or de Dj Manucl de Yela. fuyjO último endosofecho en,Barcelona es á favo* de D.?Pcí^ro, Áyentin ,r y debió presentarse en Diciembre de 1806: otro de/150, pesos núrarig 1418 á favor o…</t>
  </si>
  <si>
    <t>Siplenga</t>
  </si>
  <si>
    <t>…ia bainombradp á&gt;1^!!Alnpcus* gobernador ^fiuer4 de la LorenSí : f'.K i¡¿¡ -t/" v r¡ ¿ El 6 de este mes fue acometida. Grenoble por una columna de. 3^ austrosardos mandados por el general Siplenga,.y después de una.acción de tres horas se firmó un armisticio, que durará hasta "el día 9. . ; Orleans está ya ¿ocupado por. los aliados,: su puente se halla intacto; y las tropas forman atrihcheramientos á la izquierda del Loira. ' , ,r . i El día 18 esperab…</t>
  </si>
  <si>
    <t>Sipnon</t>
  </si>
  <si>
    <t>…era., D. Antonio Ar de rius, D. Juan Molina, D. Manuel Pedtet: de tenientes á los. subtenientes D. Luis Carrillo, D. Matías Blasco, 0. Francisco Villalobos *D. Josef Gar cía Malo, D. Sipnon ie Cárlos, 0, RafaelCisneros., 0. Joaquín Antíllon, D. Josef Oimedllía , 0. Luis.Cortey, 0. Manuel Montero., .0. Manuel Pío Moreno, D. Andrés Carbáileiro, B. Manuel de Mutiasy D. Angel Ruá?^Don</t>
  </si>
  <si>
    <t>Sirera, Francisco</t>
  </si>
  <si>
    <t>Francisco Sirera</t>
  </si>
  <si>
    <t>…uan Duran, D. Simón Poncé pjeLeón, D. Jóséf de Roca, D. Francisco de la Rosa, D. Alonso Tiscar* P. Manuel Tosta, D. Francisco Alameda, D.. Tomas Gómez Qui janó, Don Joaquín Vial ,’D. Francisco Sirera, D. Antonio dé la Rosa y D. Juan Bermuy.' ^ Ascenso á alféreces de navio á los dé fragata D. Manuel Arechevala, Don Agustín Bocal a n, D. Matías Aldao, D, Diego Gadea, D. Antonio Mella, Don Josef Barros, D., Alonso Butrón, D.•Felipe Saavedra, D. justo Pasalag…</t>
  </si>
  <si>
    <t>Siréra, Honorio</t>
  </si>
  <si>
    <t>Honorio Siréra</t>
  </si>
  <si>
    <t>…r Pineda, D. Josef Mozo, D. Juan de* la Cueva, D. Juan Delgado,: D. josef Febrer , D; Mariano Henarejos, D; Ciríaco Mella , D. Juan Sanjurjo, D. Ignacio Cuadrado,: D. Juan Aleson, D. Honorio Siréra ; D. Pedro Vizcarrondo, D. Josef Guimbarda, D. Juan Sotélo, D¿ Tiburdo Basanta, p. Rodrigo Tavira , D. Manuel de Lis , D/Felipe Herreros , el marques del Moral, D. Sebastian Iglesias, D. Salvador de Cárdenas, D..Andrés Maymo, D&lt; Clemente Gutiérrez, D, Vicente…</t>
  </si>
  <si>
    <t>Sis, Manuel</t>
  </si>
  <si>
    <t>Manuel Sis</t>
  </si>
  <si>
    <t>…tecto mayor de S. M* . , i t. .y; /i - i.' - '-..-.o; Honores de comisario Ordenador, áD. Francisco Totrejon y Correacon tador dé Rentas de esta provincia; á D.Manuel de la Torre, D. Manuel Sis— to . Dv Diego Crespo dé •Téjada'* * D. Manuel Moreda y D. Pedro Marcelino Blanco / individuos de la comisión para activar el préstamo voluntario reinída grablé; á D. Fernando Rey , administrador de las Reales gracias dél Nóvéiio y Escusado de la provincia de…</t>
  </si>
  <si>
    <t>Sistemes, Joaquín</t>
  </si>
  <si>
    <t>Joaquín Sistemes</t>
  </si>
  <si>
    <t>…gasti, cónsul geí eral.” El dia 27 de Noviembre último cumplimentaron á S. M. á nombre de la ciudad de Lérida D. Tadeo Soler, decano de la Real Sala de alcaldes de ca&lt;a y córte, y D. Joaquín Sistemes* alcaide de la misma; pronunciando el primero el discurso siguiente: 4</t>
  </si>
  <si>
    <t>…la misa: ésto se i verificó , reuniéndose la diputación en la iglesia; de padres del Salvador j.á las diez de su mañana presidida por él señor alcalde de corte y de dicho cuar tel D. Joaquín Sistemes, del consejo de S. M., en la que se cantó con ia mayor solemnidad- una misa por su diputado eclesiástico D. Antonio María ¡«dé Bustiq y Yéla&lt;; haciendo mas vistosa y plausible esta función la asistencia de la música’ del regimiento de la Corona, que con la ma…</t>
  </si>
  <si>
    <t>Sistiaga, Antonio</t>
  </si>
  <si>
    <t>Antonio Sistiaga</t>
  </si>
  <si>
    <t>…ue, abad mitrado de la colegiata de Zafra , diócesis de Badajoz. =íLa media-raeion vacante en la catedral de Cádiz por promoción de D. ;Manuel Cos á canongía de la mismaiigiesia á D. Antonio Sistiaga, ca pellán del regimiento de infantería voluntarios tiradores de Cádiz. = La ca nongía que resulta vacante en la iglesia colegial deí Salvador de la ciudad de Sevilla por promoción de D. Diego Josef Marques á una media-ración de la catedral de la misma á D. J…</t>
  </si>
  <si>
    <t>Sixto, Ángel</t>
  </si>
  <si>
    <t>Ángel Sixto</t>
  </si>
  <si>
    <t>…istmo, de Panamá, léase . "Maiáeyát En: la mis’ tna, ¿ág. 603, líñ. 27 3 donde dice D. Manuel de la Jorré &gt; 0&amp;dase y Jfaujr¿. En lá misma línea donde dice Z). Manuel Shto, léase; D. Ángel Sixto*</t>
  </si>
  <si>
    <t>So, Jacobo de León</t>
  </si>
  <si>
    <t>Jacobo de León So</t>
  </si>
  <si>
    <t>…ana de Sevilla por haber sido promovido sa, canongía de la misma Don Cristóbal Ruiz Saicedio,,, én virtud de nombramiento del administrador pet;;petuo de ella y su arzobispado,, á D. Jacobo de León So te lo, medio racio nero en la pEópki..-iglesia: para esta media ración á D. Francisco de Reynat con dimisión del. beneficio que obtierte en la iglesia mayor de StaV María de Carmona: para una capellanía de la iglesia parroquial de S.: Andrés de :1a - -villa d…</t>
  </si>
  <si>
    <t>Soberano</t>
  </si>
  <si>
    <t>…mpezó directa ó in directamente, ó abiertamente y con fuerza,ó por intrigas secretas, á querer violar ó eludir estas condiciones, desde aquel mismo instante perdió el carác ter de príncipe Soberano, y volvió al estado de un súbdito francés, sujeto á las leyes de Francia, según las cuales todo individuo de aquella nación tiene obligación de arrestarle, y entregarlo á los magistrados para que lo castiguen por los crímenes de traycion y rebeldía. Los pleni…</t>
  </si>
  <si>
    <t>Sobrado, Felipe</t>
  </si>
  <si>
    <t>Felipe Sobrado</t>
  </si>
  <si>
    <t>…Alcalde del crimen de la audiencia de Estremadura, se ha servido S. M. jubilarle con las dos terceras pajrtes de sueldo. Atendiendo el Rey á los méritos y servicios contraídos por D. Felipe Sobrado, D. Francisco Javier Vázquez Varela y D. Josef Alonso Valdenebro, Oidor el primero de la audiencia de Galicia, el segundo Alcalde mayor del crimen de la misma, y el tercero Oidor de la chanciliería de Valladolid* adhesión á su Real Persona, actividad y buen d…</t>
  </si>
  <si>
    <t>Sobrevía, Josef</t>
  </si>
  <si>
    <t>Josef Sobrevía</t>
  </si>
  <si>
    <t>…edios de vivificarlo, y los objetos que deben llamar su atención en beneficio de este Suelo y de los heroyeos aragoneses. . , \ Para terminar la apertura el señor director segundo D. Josef Sobrevía, canónigo de esta santa iglesia metropolitana, manifestó nuevamente á S. E. en. un breve y expresivo discurso lo satisfecha que estaba la sociedad de su elección, y lo mucho que se prometía^ie sus luces, actividad y energía; al que contestó S. E. con su acost…</t>
  </si>
  <si>
    <t>Socasa, Indalecio González</t>
  </si>
  <si>
    <t>Indalecio González Socasa</t>
  </si>
  <si>
    <t>…dor de Cuba ; D. Cárlós May nez, comandante general que ha sido del istmo de Panamá; D. Ricar do O-Farril, teniente coronel del regimiento darm¡líelas dé caballería de la Havana.; D. Indalecio González Socasa, comandante del batallón'de volun tarios disciplinados de Potosí; D.Tranciscó Ramonet, coronel agregado al regimiento de dragones de la Reina, nombrándole ál mismo tiempo segun do comándame general de la espedicion destinada á Nueva-España; D. Die go Solano,…</t>
  </si>
  <si>
    <t>Socolis, Cristóbal Amat y</t>
  </si>
  <si>
    <t>Cristóbal Amat y Socolis</t>
  </si>
  <si>
    <t>…cho dé la Guerra/* • El Rey se ha servido nombrar para la dignidad-de maestrescuela de la iglesia catedral de Cuenca, vacante por haber obtenido la canongta magis tral de la misma D. Cristóbal Amat y Socolis, á Dé Agustín Sánchez dé'Villalobos, canónigo dé la: iglesia catedral de Zamora, y gobernador dé este obispado: 4&gt;ara esta canongíaá D¿ Gerónimo lareoSo, cura del lugar de</t>
  </si>
  <si>
    <t>Socueva, Fernando González de</t>
  </si>
  <si>
    <t>Fernando González de Socueva</t>
  </si>
  <si>
    <t>…as Carretas, y ea Cádiz en la de Picardo: su precio 4 rs&gt; Pnede ir por el correo. , Instrucción manual para la mas breve espedicion de los casos prácticos de in munidad local, por D. Fernando González de Socueva: un torpo en 4.0—..Epitomede la elocuencia española, por D. Francisco Josef de Artiga, olim Articda: un to mo en 8.° Se hallarán en la librería de Dávila, calle *de las Carretas.* •v EN LA IMPRENTA REAL.</t>
  </si>
  <si>
    <t>Sola, Mateo Gil de</t>
  </si>
  <si>
    <t>Mateo Gil de Sola</t>
  </si>
  <si>
    <t>…. El Rey nuestro Señor se ha servido expedir el Real decreto siguiente: „ En atención á los buenos servicios, conocimientos en las Rentas , y demas circunstancias*que concurren en D. Mateo Gil de Sola y D. Josef de Imaz, he venido en nombrarlos Directores generales de Rentas, para que unidos con el Tesorero general del Reyno que se halle cesante, y con el de mi Real Casa , que deberán ser considerados como Directores generales natos, arreglen este interesante ramo, y me haga…</t>
  </si>
  <si>
    <t>Solanilla, Angel Morell de</t>
  </si>
  <si>
    <t>Angel Morell de Solanilla</t>
  </si>
  <si>
    <t>…dor.déla audiencia de Canarias» para una plaza de ignal clase de la audien cia deGalicia; y para la plaza de alcalde del crimen , vacante en la audien cia de Sevilla por salida de D. Angel Morell de Solanilla á la «dignidad de</t>
  </si>
  <si>
    <t>Solano, Rafael</t>
  </si>
  <si>
    <t>Rafael Solano</t>
  </si>
  <si>
    <t>…ui, D. Policarpo Aldama, D. Josef Guerrero , D. Jo^.ef Torrubiai, Di Gabriel del Rio, D. Juan Gutiérrez, D. Tornas de Codes, Di Josef Navarro; D. Juan Ruiz &gt; D. Salvador González, D. Rafael Solano, Di Josef; Majríaí Prieto , Q¿ Fráncisco Cervera &gt; D. Francisco , Cascos, D. Juan Tejadár, DvBasilioBayoni, D.Joaquin Dolz, D. Salvador Arnardo, D. An tonio Marcoletá, D, Josef Gáliano, D. Manuel Ayolo, D. Ignacio Cambil, D. Vicente. Dolz , D. Manuel Fernande…</t>
  </si>
  <si>
    <t>Solans, Andrés</t>
  </si>
  <si>
    <t>Andrés Solans</t>
  </si>
  <si>
    <t>…la secretaría de Estado y del despacho de Gracia y Justicia (*). En la iglesia catedral de Urge) la dignidad de capiscol, vacante por muer te de D. Silvestre de Leis y Sántiyan, á D. Andrés Solans; y la. dignidad de arcediano mayor dé la misma, vacante por muerte de D, Josef Gómez , á Don Armengol Berga. = La dignidad de abad, primera silla de la colegiata de nues tra Señora de Covadonga, diócesis de Oviedo, vacante por fallecimiento de D. Manuel Gonzá…</t>
  </si>
  <si>
    <t>Solda, Juan</t>
  </si>
  <si>
    <t>Juan Solda</t>
  </si>
  <si>
    <t>…rno de la plaza de Ciudad-Rodrigo: al de Teniente Coro nel á D. Benito Sandoval y D. Pablo Pairot, Capitanes del Real Cuerpo de Artillería, D. Fernando Mateos, D. Fernando Valdés, D. Juan Solda do, y D. Juan Pió Quijano, Sargento mayor y Capitanes del Regimiento Provincial de Segovia; á 0. Fernando Alcocer, D. Josef Gines de Zamora, 0. Joaquín. Esoatolero, y D. Rafael Pizarro , Capitanes del Regimiento de Mallorca; á D. Ildefonso Prieta, D. Angel Ca…</t>
  </si>
  <si>
    <t>Soldevilla, Marcos Antonio Rodríguez</t>
  </si>
  <si>
    <t>Marcos Antonio Rodríguez Soldevilla</t>
  </si>
  <si>
    <t>. . . óvi Josef Díaz á D. Marcos Antonio Rodríguez Soldevilla. ±¿ El arcíprestazgo cíe Nágera , diócesis de Calahorra vacante por muejte ée IX Joset Palacios, á D. Bonifacio López y Blanco « cura párroco de &amp; MigueideNágera.=El arctprestazgo dei valle deOjeda, en el obispado de Patencia , vacante por fa llecimiento de E…</t>
  </si>
  <si>
    <t>Soler, Andrés</t>
  </si>
  <si>
    <t>Andrés Soler</t>
  </si>
  <si>
    <t>…Mariano Márquez de Aguilar para la vara de alcalde mayor de la ciudad de Mataré; para la de Cinco Villas en Aragón á D. León González del Camino; para la de la vi lla de Monoyar á D. Andrés Soler; para lá de Rivaroja á D. Vicente María López ; para lá de Turis á D. Cándido Francisco Cevallos; para la de Bélgida á D. Simón Perez López; para la de Chelva á D. Josef Morant y Se— arra; para la.de Concentaina á D« Gregorio Amorrich; para la de Elda á ). Fr…</t>
  </si>
  <si>
    <t>Soler, J. Y. Sagrista y</t>
  </si>
  <si>
    <t>J. Y. Sagrista y Soler</t>
  </si>
  <si>
    <t>…mos á favor de jos ekpresados;señores: 177771., endosado en 18 de Oc tubre ultimó por O. Mariano' Espinosa é hijo á favor de ios mismos: 167008, endosado.cn 8 de Agosto último por D. J. Y. Sagrista y Soler ¿ favor de los mismos: 14418b, endcsádB'en 25 de Octubre último por D. Vicente Marques á los dichos señores: 174948 , endosado en dicho dia último por D. Juan JDorda á favor de los dichos señores; y 185643 . endosado en 13 de Setiembre último por los Sres. Ma…</t>
  </si>
  <si>
    <t>Soler, Tadeo</t>
  </si>
  <si>
    <t>Tadeo Soler</t>
  </si>
  <si>
    <t>…ción, de que certifico. Argel 29 de Marzo de 1815.== Pedro Ortiz de Zugasti, cónsul geí eral.” El dia 27 de Noviembre último cumplimentaron á S. M. á nombre de la ciudad de Lérida D. Tadeo Soler, decano de la Real Sala de alcaldes de ca&lt;a y córte, y D. Joaquín Sistemes* alcaide de la misma; pronunciando el primero el discurso siguiente: 4</t>
  </si>
  <si>
    <t>…medid de este aviso comparezcan por sí ó por medio de sus apoderados el día señalado; en inteligencia de que les parará el perjuicio que haya lugar i los. que no concurriesen. El Sr. D. Tadeo Soler ,, del consejo de S. M., alcalde decano de la Real casay corte, se lia servido convocar ;í junta general á todos los acreedores á la casa-co mercio del difunto D. Luís Gonzalo del Rio para el domingo 10 de Diciembre pró ximo á la» nueve de su mañana en su pos…</t>
  </si>
  <si>
    <t>Somagliá</t>
  </si>
  <si>
    <t>…o á aquel punto mucha tropa. * ,,, .• - ITALIA. ,,,, ; ; Roma 28 de abril. Ayer al amanecer entró en esta ciudad el general austríaco conde Nugent, y desde luego pasó 2 visitar al cardenal Somagliá, vicario general de S. S. y presidente de la suprema junta de Estado;,y á monseñor el Tesorero; y des pués de haber recibido varios personages, partió al concluirse ia tarde por el eamiño de Vitérbo. Se ha establecido una comunicación entre esta ciudad y Géno…</t>
  </si>
  <si>
    <t>Somer, Fitztoy</t>
  </si>
  <si>
    <t>Fitztoy Somer</t>
  </si>
  <si>
    <t>…ad de la acción. La pérdida de este óífc cial es muy grave para el servicio de S. M., y para mí en este momentol Es taba también"muy obligado á la¡ asistencia del teniente coronel lord Fitztoy Somer$et,que fue gravemente' herido, y a la de los oficiales de. mi esttdo</t>
  </si>
  <si>
    <t>Somersef, E.</t>
  </si>
  <si>
    <t>E. Somersef</t>
  </si>
  <si>
    <t>…lket, ídem, del coronel Ompteda* del dé la misma graduación Mitchell, comandante de una brigada de la cuarta división, de los mayores generales S. J. Kempt , S. D. Pack , Lambert, lord E. Somersef, S. W. Ponsomby, S. C. Grant, S. H. Vivían, S. U. Vandeleur y conde Dornberg. Es toy muy particularmente obligado al general lord Hill por su asistencia y conducta, tanto en esta como en las demas ocasiones. „ Las clases de artillería, é ingenieros, se condug…</t>
  </si>
  <si>
    <t>Somerset</t>
  </si>
  <si>
    <t>…de se salvó una parte de su car gamento. ‘ ‘ Idem i.° de Noviembre. , Con fecha de 12 de Junio uitirnó escriben del cabo de Bueña-Esperanzía lo siguiente: ,,Lótd Moira há pedido á lord Somerset, nuestro gobernador y comandante en gefe, que le envie tbdas las tropas europeas de que pueda disponer. La guerra de Napaul es muy perjudicial y destructora: ya hemos enviado dos divisiones del regimiento 79.0» y la última partirá mañana. Ade mas de las tropa…</t>
  </si>
  <si>
    <t>Sommerset</t>
  </si>
  <si>
    <t>…á sus constituyentes qual es su modo de pensar sobre la gran cues-* tion de la tasa de los granos. El día 22 llegó á la secretaría de Estado ün correo de gabinete con plie gos del lord Sommerset que se esperaba con impaciencia. Luego que se recibie ron pasó á la cámara de los comunes lord Castlereagh, á quien siguieron los condes dé Liverpool, Horrowby y Buckinghashire. Se leyeron los pliegos; y el conde de Liverpool marchó inmediatamente a ver al Pr…</t>
  </si>
  <si>
    <t>Somorostro, Andrés Gómez</t>
  </si>
  <si>
    <t>Andrés Gómez Somorostro</t>
  </si>
  <si>
    <t>…nas, y qué sueldo gozan.’* El Rey se ha servido nombrar para una canongía, vacante en la cate dral de Segovia por promoción de D. Josef Azpeitia á la iglesia y obispado de Lugo, á D. Andrés Gómez Somorostro, racionero de la iglesia colegial de S. Ildefonso*, para la prestamera de Ragama, diócesis de Avila, que va có por muerte de D. Josef Sanz Negro, á D. Josef de Lucas Ramos: para el beneficio préstamo de Birbadiilo, diócesis de Salamanca, vacante por muerte de…</t>
  </si>
  <si>
    <t>Somoza, Salvador</t>
  </si>
  <si>
    <t>Salvador Somoza</t>
  </si>
  <si>
    <t>…di cha representación podrán acudir en ella á D. Miguel de Náxera, agente de los del número de Indias, calle del Arenal, núm. 21, y en Sevilla al presbítero D. Gon zalo Angioiety. D. Salvador Somoza, presbítero, vecino de la ciudad de Santiago, tiene noti cias interesantes que comunicar á D. Josef Villa, cirujano que fue del regimiento de Zamora; i D. Josef Campo, natural de Andalucía, capitán que fue de dicho regimiento de Zamora, y á D. Francisco A may…</t>
  </si>
  <si>
    <t>Soravilla, Joaquín</t>
  </si>
  <si>
    <t>Joaquín Soravilla</t>
  </si>
  <si>
    <t>…o', D. Vicente Sier ra, D. Gregorio' Desea, D. Domingo Fernandez, D. Francisco íFerr&amp;Éidez, D. Josef Casulla, D. Juan Fernandez ,D.Gil Garande, D. Josef Castro, Don Josef Morales, D. Joaquín Soravilla , D. Francisco,Mora , D* Gabriel Bala-r giier, D. Benito Romasanta , D. Mariano Gómez , D. Juan: Antonio Berdia, D. Josef Alonso , D. Pedro Cortés , D. Francisco Mareli, D. Francisco Doyega , D. Agustín Berlanga y D. Manuel Serrano. . ^ ¡1 En el regimiento Re…</t>
  </si>
  <si>
    <t>Soret, Víctor</t>
  </si>
  <si>
    <t>Víctor Soret</t>
  </si>
  <si>
    <t>…s que concurren en D. Josef de Posadiilo' y Peñaredonda, he ve nido en nombrarlo mi Tesorero general del Reyno, y es mi Real voluntad entre inmediatamente en exercicio en lugar de D. Víctor Soret, á quien he tenido por convenienteexónerar de este encargo. Tendreislo entendido , y lo comunicareis á quién ^correspónda. Señalado de la Real mano de S. M. En Palacio á 9 de Marzo de 1815/* 1 Circular del Consejo Real. El Excmo. Sr. D. Tomas Moyano, Secretar…</t>
  </si>
  <si>
    <t>Soria, Lorenzo Igual de</t>
  </si>
  <si>
    <t>Lorenzo Igual de Soria</t>
  </si>
  <si>
    <t>…saber para noticia y satisfacción de los interesados» Madrid 31 de Marzo de 18ij. El Rey se lia servido nombrar para el obispado de Plaseneia, vacante por fallecimiento del limo. Sr. D. Lorenzo Igual de Soria, á D. Antonio Car rillo Mayoral, deán y canónigo dé la iglesia catedral de Calahorra: para el de Pamplona, vacante por traslación del limo. Sr. D. Fr. Veremundo Arias al arzobispado de Valencia, á D. Joaquín Xavier Uriz, prior de la Real iglesia y monasterio…</t>
  </si>
  <si>
    <t>Soriano, Vicente</t>
  </si>
  <si>
    <t>Vicente Soriano</t>
  </si>
  <si>
    <t>…ina j debiendo ser-desempeúada* estas tres cátedras: la primera p^r el encargado del} lar dio D. Mariano _XaW Gasea*, la segunda, por D. AritoóÍQ¡ SapdaUo de Áriási y Costa; y por Don Vicente Soriano, catedrático de botánica: en Valencia, la última á la ex^ periencia del. zelo^ y aplicación de estos profesores en el desetripeño de sus respectivas cátedras, quiere S. M* se, remita el apreciar el justo, mérito, que debe hacerlos acreedores á la propiedad de…</t>
  </si>
  <si>
    <t>Sorondo, Josef</t>
  </si>
  <si>
    <t>Josef Sorondo</t>
  </si>
  <si>
    <t>…. de dichas ocurren cias , no puedo pasar en silencio el distinguidíO mérito que han contraido ep esta expedición j y con particularidad los dos comandante? , el teniente de navio D. Josef Sorondo, y el alférez de igual clase D. Josef Villavicencio, el teniente de fragata D. Joaquín Vial, los alféreces de navio D. Ramo% Gil, D. Onorio Sierra y D. Justo Pasalagua, el alférez de fragata D. Josef Baldasano, el graduado, práctico mayor del puerto D* Manuel…</t>
  </si>
  <si>
    <t>Sos, Josef Joaquín de</t>
  </si>
  <si>
    <t>Josef Joaquín de Sos</t>
  </si>
  <si>
    <t>…lla &amp;c., certifico : que por providencia de dicho tribunal dic tada ante mí en 25 del corriente en los autos número 199 del año pasado de 1794* que son de concurso de acreedores á D. Josef Joaquín de Sos, se manda citar y em plazar á quantos se estimen con derecho á dicha masa y concurso, para que con los documentos que les comprueben ocurran á formalizarlo en el perentorio término de un año contado desde la fecha; baxo la prevención de que pasado, se procede…</t>
  </si>
  <si>
    <t>Sote, Benito María</t>
  </si>
  <si>
    <t>Benito María Sote</t>
  </si>
  <si>
    <t>…zconde de la Cueva de Alburquerque , para sí, sus hijoshere deros y sucesores- ' Y últimamente el Rey, en consideración: á fa distinguida calidad y circunta netas que concurren en D. Benito María Sote lo de Novoa, regidor y alcalde mayor perpetuo de la ciudad de Orense, y al distinguido zelo, mé ritos y servicios que ha contraido durante la ultima guerra pasada, y la bal adhesión que ha manifestado» á su Real Persona, ha venido &amp;. M. en confir marle para é…</t>
  </si>
  <si>
    <t>Sote, Manuel Rodríguez</t>
  </si>
  <si>
    <t>Manuel Rodríguez Sote</t>
  </si>
  <si>
    <t>…arría; Dv Casimiro Cañedo, D. Josef Cebrian ,;D. Salvador Pa nlagua, D. Josef Saenz dé Viniegra, p. Narciso Gómez.Quintana, D. Ca yetano Pimente! ,:yá los ‘artilleros distinguidos D. Manuel Rodríguez Sote* lo, D. Tomas Saenz y D.í ¡ Josef Riera. V !* ! ^ ' - ■ . ; i -/cS ■' ■ &gt; . • : r.:u v.,* : S. M. ha nombrado oidor de la chancilíería de Valládolicl á D. Josef Alonso ValdénebrÓ t. pkfá 'qnatro plazas de alcaldes del" crimen de ella á D. Josef Gónzalei Villa…</t>
  </si>
  <si>
    <t>Sotélo, Juan</t>
  </si>
  <si>
    <t>Juan Sotélo</t>
  </si>
  <si>
    <t>…,: D. josef Febrer , D; Mariano Henarejos, D; Ciríaco Mella , D. Juan Sanjurjo, D. Ignacio Cuadrado,: D. Juan Aleson, D. Honorio Siréra ; D. Pedro Vizcarrondo, D. Josef Guimbarda, D. Juan Sotélo, D¿ Tiburdo Basanta, p. Rodrigo Tavira , D. Manuel de Lis , D/Felipe Herreros , el marques del Moral, D. Sebastian Iglesias, D. Salvador de Cárdenas, D..Andrés Maymo, D&lt; Clemente Gutiérrez, D, Vicente Rodríguez, D. Pedro Pilón; D: Luis Polo de Bernabé , D. Jo…</t>
  </si>
  <si>
    <t>Soto, Alfonso Josef de</t>
  </si>
  <si>
    <t>Alfonso Josef de Soto</t>
  </si>
  <si>
    <t>…Cazalla á D. Josef Aguilar Gaioete: para la de Valverde del Camino á D. Francisco de Paula Escudero: para la de OI vera á D. Antonio Manuel de Gamez y Lechuga: para la de Lezuza á D. Alfonso Josef de Soto: para la de Carvajales á D. Juan Villa y Trigueros: para la de Tiedra á D. Juan Padilla: para la de Gausin á D. Manuel Medi na y Giménez; yapara la primera de Granada á D. Manuel Alonso Her nández. - ■ ' &lt; ■ • •</t>
  </si>
  <si>
    <t>Soto, Isidoro Díaz de</t>
  </si>
  <si>
    <t>Isidoro Díaz de Soto</t>
  </si>
  <si>
    <t>…en Astorga el dia 20 0 21 de Abril de 1810, y conducido á Francia: La persona que supiére de él se servirá avisarlo á sus hermanos D.. Vea- ■&lt; tura. Díaz de Soto en Astorga / ó á D. Isidoro Díaz de Soto en la Corufia^ , 1 Ls1 persona que Supiere del paradero de D. Francisco Javier de v Rt hiera, ó .en su defecto de su muger Doña Ines de Ovarrio.y Tegeiro , se servirá avisarlo en li Coruña á D. Manuel Ortiz de Urrutia. ■ Tratado de las enfermedades verminosas…</t>
  </si>
  <si>
    <t>Soto, Jiian</t>
  </si>
  <si>
    <t>Jiian Soto</t>
  </si>
  <si>
    <t>…o Vallejo, D. Gabriel VallejoDi Pedro Lüengó Alderéte^ y D. Dámaso Ghamoohln: á alféreces vivos y efectivos de caballería, Cón süéldó de talesjy grado de tenientes, á los guardias D. Jiian Soto , D/Vicente Hore , D. Estéban Sarrie, D. Siiñpií Bañuelos , D. Juan de la Cruz González , D. Antonio Gárcía Prado, D/ Ju lián Villacampa y D. Manuel Ubi ría : grado de tenientes á los guardias Dori Juan Nepbmuceno Roldan, D. Laureano Melena, D. Josef Sandoval…</t>
  </si>
  <si>
    <t>Soto, Joaquín Pardiñas de</t>
  </si>
  <si>
    <t>Joaquín Pardiñas de Soto</t>
  </si>
  <si>
    <t>…la vara de Purchena á Don Francisco Fernandez: para la de Tobarra á D. Antonio Roca y Bayot: para la de Adra, Berja y Dalias á D. Ramón Rodríguez Vélaseos para la de Puerto Real á D. Joaquín Pardiñas de Soto: para la de Almería á Don Manuel Perez de los Ríos: para la de la villa de Haro á D. Antonio Guar dilla: para la de Aguilar de Córdoba á D. Blas Josef de Martos: para la de Moron á D. Manuel Sotillos Montijo: para la de Medinasidonia á D. Leo nardo Talens de…</t>
  </si>
  <si>
    <t>Soto, Josef Ramón Bernardo de</t>
  </si>
  <si>
    <t>Josef Ramón Bernardo de Soto</t>
  </si>
  <si>
    <t>Miranda y 'Rodríguez;; para la ¿él partido dé !á Güdifia ál Lie. D. Francisco Rodríguez Caballero; para la'déb partido dé Monteroso á D. Josef Ramón Bernardo de Soto; para la del partido de -Vérin á D. Josef Salgado y' Blan-^ go ; para la del partido de Óimbra a E). Juan González j. pará la del partido de S. Martin de Arau jo á‘D. Josef María de Gadorniga; y para la del pár-&lt; tido de ;S. Jorge de Aguas Santas á D.‘Ramón d…</t>
  </si>
  <si>
    <t>Soto, Pedro Regalado de</t>
  </si>
  <si>
    <t>Pedro Regalado de Soto</t>
  </si>
  <si>
    <t>…calle de Mesón de Pa redes, señalada con el núm. r.° de la manzana 61, que tiene de sitio 1803^ pies cuadrados superficiales, y se halla tasada últimamente en el año anterior por Don Pedro Regalado de Soto en 40062 rs. vn., á la que se ha hecho postura en las dos terceras partes de su tasa en moneda metálica de cordoncillo con rebajo de toda car ga y de mas, y para su remate se halla señalado el dia 17 dei corriente á las 12 de su mañana en la audiencia de S. S…</t>
  </si>
  <si>
    <t>Sotomáy, Juan de</t>
  </si>
  <si>
    <t>Juan de Sotomáy</t>
  </si>
  <si>
    <t>…:D, Josef Ckuñer. DvJosefGucrra, D. Juan Sevillano , H. Josef Fonseca, D. Sancho Estrada, ¡BJosefSoler , D. Diego Delgado* D* Rafael Vargas, D. Josef Llanzo, Don Josfef Astraudi ,.D. Juan de Sotomáy or, D. Cayetano Perez Dávila, D. Ma nuel Drapie, D. Antonio Henriqiiez , D. Francisco Trugillo, D. Joaquín Huerta , D. Francisco de Paula Moreno, D. Mariano Millar, D. Juan Eira, D. Antonio Castaño, D. Josef Ferraz , D. Francisco Arroyo, D. Raimundo * Carbone…</t>
  </si>
  <si>
    <t>Sotomayor, Angel Alvarez</t>
  </si>
  <si>
    <t>Angel Alvarez Sotomayor</t>
  </si>
  <si>
    <t>…Santiago, Tuy, Bu jalance , Cuenca y Monterey, á los de infantería D. Antonio Jesús de Chin chilla, D. Pedro de Prado, D. Francisco del Aguila, D. Felipe Muñoz, D. Andrés Arroyo, D. Angel Alvarez Sotomayor, D. Pedro Angel Marcó del Pont y D. Heradio Alaiz. Y para igual empleo del regimiento provincial de Betanzos al Teniente coronel agregado al mismo cuerpo D. Pedro Váz quez Pimentel. Asimismo se ha servido S. M. nombrar á D. Fermín Gil de Linares, Fiscal de la…</t>
  </si>
  <si>
    <t>Sotomayor, Antonio Valladares de</t>
  </si>
  <si>
    <t>Antonio Valladares de Sotomayor</t>
  </si>
  <si>
    <t>…•ber ló avise á D. Agustín Pascual en la Real escuela de veterinaria de esta corte.. Los subscriptores á la obta intitulada Tertulias literarias de invierno en Chin chón &amp;c., por D. Antonio Valladares de Sotomayor, acudirán á recibir el 2.0 cua derno del tómo i.° á las librerías en que hayan subscrito en esta corte y fuera de ella, anunciadas ya al público, y hoy se añaden las siguientes: en Jaén en la de Carrion; en Segovia en la de Alejandro ; en Zaragoza en la de Pa…</t>
  </si>
  <si>
    <t>Sotomayor, Josef Antonio Borrego</t>
  </si>
  <si>
    <t>Josef Antonio Borrego Sotomayor</t>
  </si>
  <si>
    <t>…González Benito, cura del lugar de Coca de Huebra en el mismo obispado: para otro beneficio servidero de Baños, en el obispado de Jaén, vacante por muerte de Don Juan Gutiérrez, á D. Josef Antonio Borrego Sotomayor, cura párroco de Truxillanos: para otro beneficio servidero de Santa María del Valle de Man tilla, vacante por muerte de D. Miguel Estanislao Quadrillero, en la dió cesis de León, á. D. León Sierra: para otros dos beneficios servideros de las iglesias parroqu…</t>
  </si>
  <si>
    <t>Sotro, Alonso González</t>
  </si>
  <si>
    <t>Alonso González Sotro</t>
  </si>
  <si>
    <t>…la Real y distinguida orden española de Carlos m á D. Cários Do wnie, te niente coronel de la Legión extremeña; á D. Josef Amat y Robles, corre gidor de la ciudad de Alcántara ; á D. Alonso González Sotro, maestrante de la Real de Ronda,, y á D. Josef Atanasio de la Rosa, en atención á sus respectivos méritos y servicios. Atendiendo S. M. á los méritos literarios y servicios patrióticos con qué en esta última guerra ba acreditado el amor y fidelidad á su Rea!…</t>
  </si>
  <si>
    <t>Soult</t>
  </si>
  <si>
    <t>…de sus noticias, el haberse salvado aquel baluarte de la libertad de España; pues con ellas pudieron tomarse las precauciones oportunas para frustrar los preparativos que hizo el mariscal Soult,á fin de tomar por sorpresa el castillo dePunrales y la cortadura de San Fernando, y el abordáge que preparaban contra las fuerzas sutiles que de fendían la punta de la Cantera. Etas mismas noticias sirvieron también para que nuestro cuarto egército al mando…</t>
  </si>
  <si>
    <t>…las leyes y órdenes, no solo sobre los pasapor tes , sino también sobre cualquiera otro particular. Esta mañana se ha publicado una memoria justificativa del general Vandamrne: el mariscal Soult había ya publicado otra suya en que procuran respectivamente hacer sus apologías. ESPAÑA. Madrid, o.$ de Diciembre. ARTICULO DB OFICIO. Circular del Consejo Real, . Por difxcmó. Sr. D. Tomas Moya no, Secretario dé Estado y del Des cacho universal de Gracia y…</t>
  </si>
  <si>
    <t>Soülti</t>
  </si>
  <si>
    <t>…liada. En una carta de Orleans del 19 se dice que; el 'cuartel general del egército francés esta todavía en Olivet. r . , ? Se han enviado órdenes á Mende para: que dejen libre al mariscal Soülti que había sido allí detenido, y que continúe sti viage, que parece ser á reunir* se con su madre en St. Amand, en el departamento de Tarn. 3 Los tenientes1 generales Puthod , Curial y Móntfort han llegado .á París como diputados del egército del mariscal Such…</t>
  </si>
  <si>
    <t>Soüoso, Juan</t>
  </si>
  <si>
    <t>Juan Soüoso</t>
  </si>
  <si>
    <t>…, D. Sebastian Iglesias, D. Salvador de Cárdenas, D..Andrés Maymo, D&lt; Clemente Gutiérrez, D, Vicente Rodríguez, D. Pedro Pilón; D: Luis Polo de Bernabé , D. Josef García Ibarguen, D. Juan Soüoso, D. Francisco Garnica , D. Rafael Legpbien, D. Miguel Roldan , D, Rafael Aristegui y Don Josef Estrada. - Grado de. intendente de marina á los comisarios ordenadores D, Domingo CarruagatovD; Juan Nieto y D. Antonio Ventura Cincúnegui. 1 Gradó; de. comisarios…</t>
  </si>
  <si>
    <t>Sóusá, Gonzalo</t>
  </si>
  <si>
    <t>Gonzalo Sóusá</t>
  </si>
  <si>
    <t>…,'D. Antonio Enfy, D. Josef Aguilar, D.” Juan de DiosVaidivia,D. Lázaro Caballero ,D. Antonio Floran, D.'Manuel García SegóVia,D. AntonioCarly , D. Mariano Baeza, D. Josef Liaño, D. Gonzalo Sóusá ,D. Bartolomé Leal ,D. Maniiel Rodríguez ,D. Simón AquaVera, D. Diego Ramón Mercader, D. Francisco Bono, D. Angel Ladrón de Guevara, D. Angel Póns, D. Rafael Martínez, D. Josef Caballero, D. Josef Góózalez^B. Manuel Aguí rre , B. Josef Muñoz ,D* Juan Paredes…</t>
  </si>
  <si>
    <t>Souvarow</t>
  </si>
  <si>
    <t>…eral. Idem. jg. El Emperador Alejandro se dignó visitar la biblioteca de esta ciudad, prestando una atención particular á un bajo relieve donde está indicado el camino que tomó el general Souvarow para verificar su invasión. El 10 llegó S. M. I. á Constanza, y después de haber reconocido la isla de Mitnaou, continuó su viagfe costeando las orillas del lago. Cerca de Santa Margarita los habitantes del voralberg habían preparado una falúa empave sada con…</t>
  </si>
  <si>
    <t>Spadafora, Salvador</t>
  </si>
  <si>
    <t>Salvador Spadafora</t>
  </si>
  <si>
    <t>….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Riquélme- ; ^ Ascenso á tenientes de fragata A los alféreces de navio D. Josef Rodríguez, D. Francisco.; Guiral, D. Ignacio de Rojas, D¿…</t>
  </si>
  <si>
    <t>Spl, Tomas</t>
  </si>
  <si>
    <t>Tomas Spl</t>
  </si>
  <si>
    <t>…te coronel D. Manuel Otermin: grados de te nientes coroneles á Jos. sargentos mayores de.byigada D. Domingo de la igle sia , .1).J. Ánfohip'jí]¿árróÍác?'.pC' 'Án&amp;r ,é$ Rodríguez , D. Tomas Spl&lt;Sevilla y Don Féliy Arbizu; y .á los yapítanes prlmeros iS. josef Giraldo,D. Juan Carmqna, p. Josef Montes y Flores,;!). Pedro Bringas, D^ Bartolomé Amat, Don Mariano Albo, J). Salvador Mamullares , D. Antonio Lasauca, D. Pablo ipacdgalupi , D. Domingo Ranee!…</t>
  </si>
  <si>
    <t>Sprrpndegui, Juan de</t>
  </si>
  <si>
    <t>Juan de Sprrpndegui</t>
  </si>
  <si>
    <t>…as demás rentas eclesiásticas que obtiene: para el beneficio mayor de la iglesia parroquial de la villa de Arenas, en el obispado de Avi la, vacante por muerte de D. Josef Sanz, á D. Juan de Sprrpndegui, pre$*r bicerp;, rector de la, iglesia hospita 1 de nuestra Señara? ,de la Ruepa- Dijcn.a de esta corte :í para el raedLoj&amp;üefido de los despoblados figtarqne y .Ofeér</t>
  </si>
  <si>
    <t>Sta, Daron de</t>
  </si>
  <si>
    <t>Daron de Sta</t>
  </si>
  <si>
    <t>…á dar al pú blico pruebas de sus adelantamientos, y convocadas todas las autoridades, corporaciones y demas personas del pueblo, el mencionado dia bajo la pre sidencia del Excmo. Sr. Daron de Sta. Pau , marques de Casteldorrius , se pre sentaron los caballeros colegiales asistidos de su director el P. Francisco Re vemos de Jesús y María, y después de haber decorado la doctrina cristiana y los principales preceptos del arte de escribir, de gramática ca…</t>
  </si>
  <si>
    <t>Sta, Josef Antonio de</t>
  </si>
  <si>
    <t>Josef Antonio de Sta</t>
  </si>
  <si>
    <t>…del siglo pasado. Las personas que tengan noticia de la, población del dicho D. Francis co, de sus hermanos; sobrinos ó parientes dentro del 'cuarto grado, lo avisarán en Madrid á D. Josef Antonio de Sta. María, que vive calle, de las Fuentes, núm.y, cuarto principal, par^ comunicarles asuntos de su ínteres. i Se halla vacante la plaza de cirujano médico del no)&gt;le valle de OrQzco, en ql señorío de Vizcaya, que dista 4 leguas d$ la villa de Bilbao, dotada en…</t>
  </si>
  <si>
    <t>Sta, JosefPerez</t>
  </si>
  <si>
    <t>JosefPerez Sta</t>
  </si>
  <si>
    <t>…del R. P. rector Basilíó.Fernandez de la Visitación y sus directores; , tuvieron la honra de ser admitidos á besar la mano á S.. M. el dia 27 de Mayo; y. el caballero,seminarista Don JosefPerez Sta. María y Garriga, dirigiendo la palabra á S. M., le hablo, en los términos siguientes:; • ofi-.-n?- :-*•-? i- b nir,.- ■’■■■ ; „Señor: en unos días tan augustos * en que los habitantes de los dos emisferios se preparan para entonar himnos de alabanza, y pobla…</t>
  </si>
  <si>
    <t>Sta, Ramón Quintano y</t>
  </si>
  <si>
    <t>Ramón Quintano y Sta</t>
  </si>
  <si>
    <t>…■■!■«.! ■■■■■ I . t . mmm ~ri ■ II» .......... . * mAt 11 —— . Quien quisiere, comprar un oficio de regidor perpetuo de la ciudad de Búrgos qué pertenece í los hijos 'del difunto D. Ramón Quintano y Sta. María, caballero que fue del orden de Caútrava, acuda en Madrid á D. Pedro Antonio de CueMár, que vive calle de Leganitos, núm. 1 2 , cuarto principal, y en Búrgos á D. Joaquín Quintano, quienes informarán de sus cualidades y precio. Cualquiera persona que t…</t>
  </si>
  <si>
    <t>Stachówski</t>
  </si>
  <si>
    <t>…tación de |os paños y deí azúcar refinada.’ ;£ ‘ rOIÓNIA. '• * ■* » *«*-.■»' 4-‘ * ‘ * ' 4 • ■ . • i Vársóiífd 7 de Mayo, • El segundo cuerpo de los egérc,itps .rusos que manda el príncipe Stachówski ha ll^gado aqui aesdeLithuania, y continúa su marcha háéia Alemania. i -- ■ r \} i )usa % de Junto, ;■ \ En la noche deí 24 del pasado llego aqui e{ príncipe Talleyrand sin nin guna comitiva, y: continuó, su viage áZurich. ‘ Segúnnoticias de Empipa ^ dinero'…</t>
  </si>
  <si>
    <t>Stanhope</t>
  </si>
  <si>
    <t>…a misa solemne. Luego qne se ác*bó la misa se dirigieron á su co vento. Acaba de llegar aquí de Londres, para la imprenta Real, una prensa de imprimir de nueva invención debida al lord Stanhope; y se ha encargado á una combion deJ Instituto que la examine detenidamente, dando cuenta de sus observaciones á la primera clase del mismo Instituto. _ ESPAÑA. .. . , . ■ iMadrid 20 d- Marzo. El dia 20 de Octubre ultimo tuvieron el honor de presentarse á S.…</t>
  </si>
  <si>
    <t>Steffanini</t>
  </si>
  <si>
    <t>…cia para aquella ciudad. ['/ . Bolonia i.° de mayo. 1 .Continuamente van llegando aqui tropas austríacas^ y ademas se esperan muy en breve 15® hombres que vienen ya marchando*. El barón Steffanini, gobernador político y militar, ha publicado un edic to qué contiene los artículos siguientes: i.° „ El gobierno provisional délas tres provincias circulará nuevamente dos millones ele liras en papel. La mitad de esta suma será reversible en la tesorería en e…</t>
  </si>
  <si>
    <t>Steffánni</t>
  </si>
  <si>
    <t>■;: ..- ITALIA.; _....... Si*.- .■v.r.'vttífs&amp;ssí. 3S«r&gt;- sWfQWH Se ha publicado hoy una proclama del gobernador Steffánni á los pue blos de las ti^ legaciones j p^vinié^dpl^s uué ha puestpvén^pos^ion de-eUa$, á los delegados de la ¿atatá, 2k&amp;£. Giiislinl^nJ, Pacca^ Bern|tti.. ? rjp. SUIZA.. v* T&lt;-v}'■ *»■).*T;í . •- J B$ilía 2¿, JAÍÍA?, Escriben, de Turín,.con.fecha de. 13 del c…</t>
  </si>
  <si>
    <t>Stewart</t>
  </si>
  <si>
    <t>a3° en donde se habían reunido mas de 7® personas. Aunque S. E. iba ves tid &gt; con sencillez, fue bien pronto el objeto de la atención general. Estaba acompañado'de lord Stewart y de una señora enmascarada, que sin duda sería la hija de lord Castlereagh ó de lord Catheart. -—Ayer hizo S. E. su primera visita de ceremonia á los Monarcas aliados, y hoy , con uniforme grande de general, ha visitado á los príncipes de la familia imperial…</t>
  </si>
  <si>
    <t>…DEL JUEVES 10 DE AGOSTO DE 181;. GRAN BRETAÑA. Londres r$ de Julio. Se han publicado en la gaceta de esta capital varios oficios remitidos ai ministerio por el lord Cathcart y el lord Stewart. ' El i.° es del lord Stewart desde el cuartel general imperial de Manheim de 25 de Junio, y en el refiere los diferentes movimientos hechos poe el mariscal bávaro Wrede, por el conde Langeroh, por los rusos, por el Príncipe Wurtemberg y el Archiduque Fernand…</t>
  </si>
  <si>
    <t>…cuentros brillantes, al general Rapp á encerrarse en Strasburgo ; y se dirigirá sobre Luneviile y esta ciudad por Ruon d’Etapes y Baccorat lue go que le releven los austríacos. El lord Stewart refiere menudamente los movimientos de los egércitos del Archiduque Fernando y del general Frimont, y del egército sardo. &gt; Algunos cuerpos de paisanos armados se han establecido en los bosques y montañas que últimamente han pasado los egércitos, y desde allí…</t>
  </si>
  <si>
    <t>I232' donde, se reunió un concurso mny lucido y numeroso. La función duró hasta las tres de la mañana. Ayer hubo en la posada de lord Stewart, embajador de S. M. Británica, baile y cena,, á la que asistieron los personages mas distinguidos, asi extrangeros como nacionales, que residen actualmente en París» Idem ra. Las tropas prusianas que ocupaban i Versalles y sus inmediaciones mar chan sucesivam…</t>
  </si>
  <si>
    <t>Strolz</t>
  </si>
  <si>
    <t>…caballería y dé infantería compitieron en valor. Él general Excelmans dice que no hay guarismo para contar los valientes que «e han distinguid^- Señala particularmente ai teniente general Strolz; á los generales Berthe, Vieent; al coronel Brigueviile., que está gravemente herido; á, iqs, de igual clase Saintr Amand ,1 del 5de dragones; Chaillpt, del 15.°; Si* monnet, del i.° de cazadores; Fatídoas , del 6.w; Schmidt, del 8.°, y al co ronel Poaüni, dé…</t>
  </si>
  <si>
    <t>Stuhremberg</t>
  </si>
  <si>
    <t>…abian pre venido caballos de posta en todo el camino hasta el Rhin. Entre los autores de este atentado, que están presos, se halla un general y dos coroneles. El general austríaco conde Stuhremberg fue quien mandó prender á ma dama Leticia Bonaparte y á la princesa Paulina, que llevaban proclamas de 'Napoleón para esparcirlas por Italia. Se han dado hoy las órdenes-necesarias para traer inmediatamente preso</t>
  </si>
  <si>
    <t>Suarez, Antonio</t>
  </si>
  <si>
    <t>Antonio Suarez</t>
  </si>
  <si>
    <t>…s soldados de Gorrín. „Se;elogian en el parte oficial de D. Nicolás María Geruti á la compañía de negros de Esquibo, al capitán D. Juan Malveche, á los tenientes D. Ma nuel Maya y D. Antonio Suarez, y al subteniente D. Antonio Rosada, del regimiento de Barbastro, al sargento mayor de milicias D. Josef Olasarra, al comandante accidental de artillería D. Antonio Riozo, al teniente del mismo cuerpo D. Agustín Rodríguez , á un pardo comandante del escuadrón…</t>
  </si>
  <si>
    <t>Suarez, Antonio Rodríguez</t>
  </si>
  <si>
    <t>Antonio Rodríguez Suarez</t>
  </si>
  <si>
    <t>…o sas capuchinas de la Coruña: para el de Sta. María de Furnaces » .ea:el prot pió obispado de Orense, vacante por ascenso de D. PedtoAivarez alcurato de Sta. Tomé de Moreiras ,.á D. Antonio Rodríguez Suarez ^presbítero,; resi-r dente en S. Salvador deAlmariz: para el de Santiago,de Copas, en el ihbmo obispado, vacante por ascenso de. D. Josef Peña al curaío; *de S. Payé de Araujo , á D. Josef Pedro Parada y Martínez, cura párroco déSta. María dé</t>
  </si>
  <si>
    <t>Suarez, Castor Antonio</t>
  </si>
  <si>
    <t>Castor Antonio Suarez</t>
  </si>
  <si>
    <t>…hos años. Madrid 2 de Febrero de 1815. El Rey se ha servido nombrar para el beneficio simple servidero de Jodar, diócesis de Jaén, vacante por muerte de D. Ray mundo Bustillos , á D. Castor Antonio Suarez, beneficiado de la parroquial de Sta. María Magdalena de la expresada ciudad de Jaén: para el beneficio préstamo de Castro, obispado de Jaén, que vacó por muerte de D. Juan de Entrena, para el de Escañuela, que lo está por la de D. Vicente Aizaa, el de Garcie…</t>
  </si>
  <si>
    <t>Suarez, Roque</t>
  </si>
  <si>
    <t>Roque Suarez</t>
  </si>
  <si>
    <t>…y D. Andrés Garrido,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nardo Amado, D. Manue…</t>
  </si>
  <si>
    <t>Subían, Josef</t>
  </si>
  <si>
    <t>Josef Subían</t>
  </si>
  <si>
    <t>…aén: por muerte de D. Francisco Mulero 'Delgado á D. JosefCortina; González, racionera de la de Almeríai. 1.a canongía que .ha vacado en la catedral de Gerona,por fallecimiento de D. Josef Subían á D. Tomas Escuer, párroco^rectór de Farlete en el arzo bispado de Zaragoza. ’ _ . , La canongía vacante en ía catedral de Tarazona por muerte de D. Fran cisco Castillon á D, Vicente C astil! oji y Torres. . . La canongía vacante en la catedral de Valladolid…</t>
  </si>
  <si>
    <t>Subiza, Andrés</t>
  </si>
  <si>
    <t>Andrés Subiza</t>
  </si>
  <si>
    <t>…Castillacoa la denominación de1 marques de Albo. También se ha servido nombrar S. M. para ,1a plaza de alcalde del cri men de la chancillería de Granada, vacante por premoción de D. Andrés Subiza á oidor de ella, á D. Salvador Fernandez y Torres. Habiéndose dignado el Rey nuestro Señor admitir los donativos que han hecho D. Manuel Alonso Martin, vicario del monasterio de S. Andrés del Arroyo, en la provincia de Palercia, de 2500 rs. vn., única cantida…</t>
  </si>
  <si>
    <t>Suchet</t>
  </si>
  <si>
    <t>…la escarapela roxa en los términos quedantes'la usaban. j } ' Ramón Romero, natural de Valencia, soldado del i.° de Saboya, de infantería, fue hecho prisionero por las tropas del mariscal Suchet por el mes de Mayo de i8i e cerca de S. Cirios de la Rapita, entre Tortosa y Vinaroz, y conducido seguida* mente á Francia; y su hermano Isidro Romero, cabo primero dej batallón de in fantería de Avila, fue igualmente hecho prisionero y conducido á Francia qu…</t>
  </si>
  <si>
    <t>…y Strasburgo. En un diario se ha anunciado que el duque de Wellington había salido de Viena el 19 de Marzo con destino á Brusélas, adonde llegó el 22 del mismo. Se asegura que el mariscal Suchet debe partir para la AIsacia con objeto de hacer disposiciones militares. El príncipe de Wagram se separó de Luis xvm en Brujas para ir á Bru* sélas, y volvió á reunírsele en Ostende: al dia siguiente salió’ para Bamberg con el duque de Luxémburgo. El obispo d…</t>
  </si>
  <si>
    <t>…de Perpiñan, ha sucedido tan al contrario, que la escasísima que tiene recibió dias pasa dos orden de dirigirse al interior, á lo que se opuso su comandante el ge neral Robert. El mariscal Suchet llegó á Perpiñan el 25 por la noche, y al día siguien te revistó las pocas tropas de la plaza, y arengó al tribunal del comercio manifestándole la obligación en que estaba de contribuir con sus caudales á la defensa de Napoleón. Se dice que al día siguiente d…</t>
  </si>
  <si>
    <t>…uerpos de esclavones y de croatos, y una^ caballeriajobresnltente *, delacual se,citan como la mejor los dragones del Príncipe Eugenio de Saboya y los húsares del Rey Federico. El mariscal Suchet ha pedidctoáltimamente un armisticio envirtud de la abdicación de Bonaparte, pero no se le ha concedido. PAISES-BAJOS-UNIDOS. Érúsélds ¿8 de Juniol Anoche llegó aqurun correa¿despa¿hado por el Lord Wellington ¿fcfn la noticia de que Ios-realistas de la: Vénde…</t>
  </si>
  <si>
    <t>…pliego de papíel dorado', qüe costába ántes cinco cuartos, se vendefen el dia á seis reales. Escriben asimismo de León qué hoy debían entrar alli las tropas austría cas* y que el mariscal Suchet antes de retirarse habla; exigido del vecindario le cantidad de 6oo® francés para la manutención de las tropas que . manda, de dos cuales se le entregó la .mitad en la, noche del 11prometiéndole entre? gar la otra mitad en Mombrison ó en Roanne. No sabemos qu…</t>
  </si>
  <si>
    <t>…ércitos aliados de Austria y Rusia continúan adelantando hacia la ca pital de Francia: ha habido varios encuentros serios con los generales Lecourve, y Rapp, como también entre el mariscal Suchet y el general Fri-* mont: procuraré referirlos brevemente, y V. E. concebirá, por el vigor d intrepidez con que los cuerpos sueltos de estos egércitos y el austriaco de Ita lia han . obrado contra el enemigo, que soló esperan ocasión de dar un nuevo egemplo ig…</t>
  </si>
  <si>
    <t>…an, el conde Fabre del Aude, el conde Gassendi, el conde Lacepede, el conde Látour-Maugbourg, el duque de Praslin, el duque de Plasencia, el mariscal duque de Elchingen (Ney ),.el mariscal Suchet, el mariscal duque de Conegliano (Moncey), el mariscal duque de Treviso ('M^rtier), el conde de Barral, arzobispo de Tours, el conde Boissi-de-Anglais , el duque de Cadore, el duque de Canclaux , el conde de Casablanca ,. el conde de Montesquiou, el conde de…</t>
  </si>
  <si>
    <t>…lazas de la 8.*, 9.% 10.a, 11.a, 12.a, 13.a, 14.a, 15.a y 18.a.divisiones militares. Las tropas francesas que ocupaban á Roanne han debido marchar el 21 con el cuartel general del mariscal Suchet, y el 22 habrán tomado posesión de la misma ciudad los austríacos. Se trabaja sin intermisión en destruir los reductos construidos en León; cuya ciudad goza en el dia de la mayor tranquilidad, y su comércio;se Ha puesto ya en el mismo pie en que estaba antes…</t>
  </si>
  <si>
    <t>Suchet-</t>
  </si>
  <si>
    <t>…ser á reunir* se con su madre en St. Amand, en el departamento de Tarn. 3 Los tenientes1 generales Puthod , Curial y Móntfort han llegado .á París como diputados del egército del mariscal Suchet-, para someterse al.Rejh y recibir sus órdenes. : Hoy han llegado á París las guardias reales de Prusia.’ La gaceta oficial; pues ya no lo es el monitor, contiene en su núm: varios decretos del Rey : el i.° es respecto de aquellas personas que por. las circuns…</t>
  </si>
  <si>
    <t>Sugadi, Francisco Gil de</t>
  </si>
  <si>
    <t>Francisco Gil de Sugadi</t>
  </si>
  <si>
    <t>…Sevilla r por fallecimiento de D. Luis Martínez Toledano, á D. Simón Bayon Díaz : para el beneficio servidero de la parroquial de la villa de Viuuesa, vacante por fallecimiento de D. Francisco Gil de Sugadi, el préstamo menor del lugar de Abion, que jo está por muerte de D. Diego Bernardo Oruña, y el beneficio simple de Castrilio de lá Vega, que se halla también vacante, y todos tres en el obis pado de Osma, á D. Blas Rubio, presbítero, en premio de sus servicio…</t>
  </si>
  <si>
    <t>Sulko</t>
  </si>
  <si>
    <t>Núm. 76. [5 cuartos. ] 709 DEL SABADO 24 DE JUNIO DE 181?. , n.. ■ ■ SAJONIA. ,, Dresdt ’i de . El 20 de Abril fue arrestado en Gtupka, en la alta Silesia, el príncipe Sulko wski por sospechas que se tienen de ser adicto á Bonaparte y a sus i &gt;planes. i. . í&gt; vnr;': ■: v;-. rríí: ; i ;AUSTRIA; ^ Viena \i $ de Mayó. y Se sabe por relaciones auténticas queMurat habla dejado tres divisiones de infantería en Ancona, y se había retira…</t>
  </si>
  <si>
    <t>Sureda, Pedro Caro y</t>
  </si>
  <si>
    <t>Pedro Caro y Sureda</t>
  </si>
  <si>
    <t>…hallaíán en la librería de la viuda de Quiroga, calle de las Carretas, á 54 rs. en pasta, y i la rústica á 47: segunda edición corregida y enmendada. Retrato á caballo del Escmo. Sr. D. Pedro Caro y Sureda, Marques de la Ro mana , en medio pliego. Se hallará con los trece publicados anteriormente en el al macén de estampas calle Mayor, frente á la casa del Conde de Oñate, á 8 rs. ilumi nados , y á 4 en negro. EN LA IMPRENTA REAL.</t>
  </si>
  <si>
    <t>Suter</t>
  </si>
  <si>
    <t>…dé rías inmediaciones que rivalizaron con las ¿tropa» para defender la: patria en caso de; ataque.._'A. da mañana riguienteel co« mandante francés'dé .Versoix escribió al teniente coronel Suter preguntando la causa ;del tiroteo' dé la /nadie anterior. ; ; ■; y; l:i lz ti La dieta ha nombrado'coronel ide la confederacfcte al .conde de Curten del Valais, y le ha encargado la dirección de las precauciones de defénsa de este cantón, y el mando de las tr…</t>
  </si>
  <si>
    <t>Suthergehn, Príncipe de Hesse-Homburgo</t>
  </si>
  <si>
    <t>Príncipe de Hesse-Homburgo Suthergehn</t>
  </si>
  <si>
    <t>…egarán el 25; los regi*r miéntos de coraceros de Lichtenstein y Lorena el 29 ; los del Duque Alberto y Francisco el 30. Todas estas tropas están á las órdenes del teniente feld^-: mariscal Príncipe de Hesse-Homburgo Suthergehn: las otras Columnas llega rán el mes próximo. ■ : r , Coblentza 2 2 de Octubre., .. :Se asegura que se establecerá aquí el cuartel, general del egército prusia no, elcual se acantonará este invierno, en una línea que se extenderá desde la frontera de Francia…</t>
  </si>
  <si>
    <t>Szachowsky</t>
  </si>
  <si>
    <t>…e ya de positivo que los rusos formarán cuatro égórcitos; tres, que entrarán desde luego en campaña , y uno de reserva * que. se situará en el ducado de Varsovia á las órdenes del general Szachowsky para reforzar-1 i los otros en caso de necesidad. El general Sachen permanece todavía en Bamberg; pero el general Woronzow, que manda su vanguardia, ha establecido ya su cuartel general en Namur cerca del alto Mein. En&gt;F&lt;ancoaia esperan en -breve al Emperador…</t>
  </si>
  <si>
    <t>Szolkory, Miguel</t>
  </si>
  <si>
    <t>Miguel Szolkory</t>
  </si>
  <si>
    <t>…se publique en 14 gaceta esta verdadera demostra ción de lá.leáltadde áqpel Real cuerpo- \ SI ... : De parte del magistrado, de la villa dé Késmarkt, en Hungría, se hace sa ber á D. Miguel Szolkory, natural de Pofirad., distrito de Zifis en Hun gría, furriel milita* que era hace 27 años, en los egercitos de S. M. Católica¿ ó á sus descendientes; y herederos, que están llamados: á la sucesión por muerte de Suzanna Berg, parienta de dicho D. Miguel Szolko…</t>
  </si>
  <si>
    <t>T, R.</t>
  </si>
  <si>
    <t>R. T</t>
  </si>
  <si>
    <t>…inocente, lé concedió su libertad, y le colmó de beneficios. Esta obra la escribió el mismo ICótzebue con el título del Jíño mas memorable de mi vida&gt; traducid i al castellano por D. R. T.: dos tomos én 8.° con el retrato del autor, y se halla de venta en la librería de Calleja, fren* te á la imprenta Real.' , » : Gramática francesa para usó dé la'nación españolasacada de los mejores auto res franceses ; especialmente de la .academia fráncéüa :…</t>
  </si>
  <si>
    <t>Ta, Juan de</t>
  </si>
  <si>
    <t>Juan de Ta</t>
  </si>
  <si>
    <t>…ación al mérito distinguido, lealtad acendrada y servicios honrosos con que se ha hecho acreedor al Real aprecio, y temíb.e a Jos enemjgos de la religión y del trono el presbítero D. Juan de Ta pia, ha venido S. M. en nombrarle para el beneficio «imple de Cespon, en arzobispo de Santiago, vacante por fallecimiento de D. Juan de TouX &gt; aebiendo;.pesar p{6r ésta gracia la pensión dé\i5® rs. que» le concedió sobre las rentas dé la mitra de Segovia : pa…</t>
  </si>
  <si>
    <t>Ta, Ramón</t>
  </si>
  <si>
    <t>Ramón Ta</t>
  </si>
  <si>
    <t>…e las obras siguientes; la; Amalia dispuesta en forma de: cartas dirigidas á un amigo residente enAranjuez , dos tomps.rc: Las costumbres del dia, comedia en .tres actos, su autor D. Ramón Ta mayo, obras traducidas por el mismo.zzCartas del con de Algarotu;sobre la Rusia. == La virtud sacrificada y. el conde de Corke , llamado el Grande, ál que acompaña un rasgo dé la vida de Henrlque iv. . ; Consejos y preceptos de. medicina, escritos por el Dr.…</t>
  </si>
  <si>
    <t>Tabernero, Manuel Benito</t>
  </si>
  <si>
    <t>Manuel Benito Tabernero</t>
  </si>
  <si>
    <t>…Feli pe de Montoya, Obispo de Teruel: fue consagrante el Ilmq. Sr. D. Grego rio Cerueío, Obispo de Oviedo; asistentes Jos limos. Sres. D. Blas Jacobo Beltran, Obispo dé Coria, y ’D. Manuel Benito Tabernero , Obispo de Solsona; y padrinos del primero el venerable deán y cabildo de Calahorra, y en su nombre D. Pedro Vengoa y D. Josef Ignacio de Ansótegui; y del se gundo el venerable deán y cabildo de Plasencia, y en su nombre D. Andrés A ransay y Sancho y D Franc…</t>
  </si>
  <si>
    <t>Tabernero, Manuel Benito y</t>
  </si>
  <si>
    <t>Manuel Benito y Tabernero</t>
  </si>
  <si>
    <t>…sagrante él lima. Sr. D. Blas -Jacobo Beltrán i obispo de Ibizaj y electo de Coria: asistentes los limos. Sres. D. Antonio Joaquín Peréz, ‘ obispo- de la Puebla de los An geles; y D. Manuel Benito y Tabernero, obispo de Solsoná ;:y padrinos los Escmes. Sres. condes de Ofiate y de Villariézo. La solemnidad' cón que sé celebró esta santa y üugilsta Céremonia, y el'lucido y numeroso concurso que asistió á ella, contribuyeron á hacerla mías plausible; alternando én el…</t>
  </si>
  <si>
    <t>Tabira, Luis</t>
  </si>
  <si>
    <t>Luis Tabira</t>
  </si>
  <si>
    <t>…os guarde á V. muchos años. Madrid 30 de Abril de 181 j. El Rey se ha servido nombrar, para el corregimiento de. Conil á Pon Ramón Antonio Antuñano: para la vara de Alburquerque á D. Luis Tabira: para la.de Baena á D. Lorenzo Casaux: para la .de Arnedo á Don Manuel Martin Martin; y para la de Vexer á P«.Ramen de Jbarra Asensio: para el corregimiento de Alhama ha nombrado el Rey á D. Juan Verges y Lostau: para el de Vhlena á D, Antonio Fernandez Villa…</t>
  </si>
  <si>
    <t>Tablares, Saturnino</t>
  </si>
  <si>
    <t>Saturnino Tablares</t>
  </si>
  <si>
    <t>…ra la de Castro del Rio á D. Antonio María Navarro: para la de Villarejo de Fuentes á D. Juan Roza Ridoces: para la de Lerin a D. Francisco Mi guel Lombardo: para la de Villalon á D. Saturnino Tablares: para la de Guernica á D. Josef Manuel dp Aizpuru: para la de Jerez de la Frontera ID. Juan de Dios Aguilar: para la de Cervera del Rio Alhama á D. Miguel Antonio Rodrigo; y para la de Bórnos á D. Josef Martínez Lorenzo. En atención á los distinguidos méritos…</t>
  </si>
  <si>
    <t>Taboada, Antonio</t>
  </si>
  <si>
    <t>Antonio Taboada</t>
  </si>
  <si>
    <t>…Nules á D. Luis Castroverde: para la de Ayelo de Maiférit á D. Antonio !Lorca Herrera: para la de Mogente á D. Cristóbal Bercher: para la de Al tea á D. Miguel Sanz Aparicio, y á D. Antonio Taboada para la de Liria. El Rey nuestro Señor se ha servido admitir con aprecio el donativo que «1 ayuntamiento de la villa de Cartáya há hecho de la cantidad de 844^11 rs. de que le es deudor el Crédito público por los suministros con que ha con tribuido en la últi…</t>
  </si>
  <si>
    <t>Taboada, Benito Perez</t>
  </si>
  <si>
    <t>Benito Perez Taboada</t>
  </si>
  <si>
    <t>Lamas: para el de S. Vicente de Viíoa, en el obispado de Lugo /vacante por ascenso de D. Benito Perez Taboada al curato de Sta. María de Fecesj á D. Manuel Cuquexo, diácono, natural de Villamayór de la Boullosa,dió¿ cesis de Orense; y para el curato del lugar de Navascurial, en el estado de Piedrahita, diócesis dé Avila, vacante por ascenso de D. Juan Josef García Ma…</t>
  </si>
  <si>
    <t>Taboada, Ramón</t>
  </si>
  <si>
    <t>Ramón Taboada</t>
  </si>
  <si>
    <t>…el de Voluntarios de León, y D. Josef Llórente, en el Provincial de Santiago: de Teniente Coronel á D. Pedro Verea y D. Josef Cólmelo, del mismo Regimiento Provincial de Santiago; D. Ramón Taboada, del Provincial de Betanzos; O. Antonio García, del de Lugo; D. Francisco García, del de Orense; D. Josef Orus, D. Basilio Rubio, D Antonio Cermeño , D. Alon so Puebla y D. Antonio Alonso Isla, del de Voluntarios de León; D. Ma riano Alonso y D. Francisco Oso…</t>
  </si>
  <si>
    <t>Tacón, Andrés</t>
  </si>
  <si>
    <t>Andrés Tacón</t>
  </si>
  <si>
    <t>…a; p. Vicente de Mesa,D. Fulgencio Anríen, D. Josef Carreño, D Manuel. Ümendia, D. Julio Ponce de León, D. Josef Marco y.Espejo, D.^joaguin Vargas Machuca, D. Josef de la Sendéja, D. Andrés Tacón, P. Joaquín Ro dríguez de Ribera , D. Pedro Germán D. Josef de Torre Llobregat, D. An tonio Villavicencio , D. Mauricio Albert, D. Manuel Villavicencio, D. Fran cisco Fernandez dejos Senderos , D. Josef Saravia ,* D. Manuel Vigo, Don Gaspar Pineda, D. Josef M…</t>
  </si>
  <si>
    <t>Tacón, Bernardo</t>
  </si>
  <si>
    <t>Bernardo Tacón</t>
  </si>
  <si>
    <t>…, D. Domin go Monduiña , D. Manuel Diaz Herrera, D. Josef del Calvo, D. Manuel Bar rientes; D. Juan Robles , D. Fráncisco de los Hoyos, D. Gerónimo Fuen-?, mayor, D. Juan Becerra, D. Bernardo Tacón, D. Francisco Boneo, D. Jo sef Zorrilla, D. Santiago Regañón, D. Josef Maestre, D. Josef Olaeta■, Don Andrés Pitadaveyga, D. Ramón Bañuelos, -D. ♦ Juan Duran, D. Simón Poncé pjeLeón, D. Jóséf de Roca, D. Francisco de la Rosa, D. Alonso Tiscar* P. Manuel Tosta…</t>
  </si>
  <si>
    <t>TadeoGárate</t>
  </si>
  <si>
    <t>…e es la instrucción y felicidad de sus vasallos. ARTICULO DE OFICIO. Penetrado S. M. de los méritos é importantes servicios contraídos en esta corte en favor de la justa causa por D. TadeoGárate, gobernador intendente de la provincia de Puno , reino del Perú, se ha servido concederle los hono res de intendente de egército. Viendo el Rey nuestro Señor confirmado el buen concepto que los gefes y oficiales del regimiento de infantería de España le han m…</t>
  </si>
  <si>
    <t>Taeggí, Josef María</t>
  </si>
  <si>
    <t>Josef María Taeggí</t>
  </si>
  <si>
    <t>73^* . ... . D. Antonio Gómez,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'Aquiíinb Otolá ,(D&gt;í Josef Sálas-, ©. Antonio Bolu* fer, D. Cipriano Castro ; D. Josef Tova…</t>
  </si>
  <si>
    <t>Taíavera, Andrés</t>
  </si>
  <si>
    <t>Andrés Taíavera</t>
  </si>
  <si>
    <t>…o. sierra para la corte se le vio por el camino real dé Buítrago ; y no habiéndose vuel to á saber de él, se suplica al que tenga noticias de él las participe en Toledo á su padre D. Andrés Taíavera, sofiel del limo, ayuntamiento de Toledo, callejón de S. Pedro, núixu 10. Exercicío santo que contiene oraciones muy devoras para todos los-dias, para contesar y comulgar, para el santo sacrificio de la misa, el ofrecimiento del rosa rio, setenario doloroso,…</t>
  </si>
  <si>
    <t>Taileyrand</t>
  </si>
  <si>
    <t>…debe haber comunicado cosas imíy satisfactorias la Prusia. En general se nota-en la política inglesa muchas mudanzas. Parece1 hasta ahora que réyna la mejor inteligencia entre el príncipe Taileyrand y los ingleses. „ La Rusia y la Prusia» á representación de la Inglaterra» deben haber declarado que están prontas á prestarse á ciertas condiciones y á diferentes puntos de sus pretensiones» relativamente á la Polonia y á la Saxonia. Se cita» entre estas con…</t>
  </si>
  <si>
    <t>Taíleyrand</t>
  </si>
  <si>
    <t>…,, Siguen por orden alfabético las firmas de las Cortes. , ,t Austria. a= El príncipe Metternich. = El barón de Wessemberg. s=E s-r paña. = Pedro Gómez Labrador. = Francia, zz El príncipe Taíleyrand. = El duque de Dalberg. == El conde Alexis de Noailjes.ssGran Bretaña.^.Qan-, carty. izCathcart. == Stevo&amp;rt. ^Portugal. = Jjil conde de Pálmela.5= Saldanha. = Lko. ;= Prusia^s: Él ptrftyipe de jjardemberg.^ Mi baron de Humboldt. =sRusia.=¿/ conde de RasomoTV…</t>
  </si>
  <si>
    <t>Tala, Juan Guillermo</t>
  </si>
  <si>
    <t>Juan Guillermo Tala</t>
  </si>
  <si>
    <t>} Iri6í . . ^ ; se tita p llíma y^enfpíázd^i iódó’i fosque en cualquier modo tengan dérecW á los bienes y demas que dejó por su muerte D. Juan Guillermo Tala^uer , colector ju bilado que fue dél Real gabinete de Historia natural, para que se presenten por sí &amp; por 'medio de procurador con poder suficiente a acreditar el derecho que .ley asistie— JCC, &lt;k,de no ,1o egecutep precisamente el dia ap del corriente mes .…</t>
  </si>
  <si>
    <t>Talasac, Juan Pedro</t>
  </si>
  <si>
    <t>Juan Pedro Talasac</t>
  </si>
  <si>
    <t>…D. Juan de Dios Alon so: para el de Medina del Campo á Di Manuel Josef Sánchez Fano: para la vara de Valladoh^J á D. Fermín Fernandez de la Cuesta: para la de Aguilar de Campoo i D. Juan Pedro Talasac: para la de Muía á D. Ignacio Fran-; cisco A yuso: para la de Baños dé Jaén á D. Antonio Llata Palacios; y pará la de Puente D. Gonzalo á D. Bérnardino de Peralta. &gt; ' , También se ha dignado S. M. nombrar para juez civil de la ciudad de , Cádiz á D. Teotiímo…</t>
  </si>
  <si>
    <t>Talieyrand, Augusto</t>
  </si>
  <si>
    <t>Augusto Talieyrand</t>
  </si>
  <si>
    <t>…plenipo tenciario. Rusia, el conde de Noailles, embaxadór. Ccrdeña, el marques de Osmond, embaxador. Suecia y Noruega, Mr. de Chateaubriant, minis tro plenipotenciario. Suiza, el conde Augusto Talieyrand , ministro cerca de la Confederación. Turquía, el marques de Riviere, embaxador. Wurtemberg, el conde de Trogoft , enviado extraordinario, y ministro plenipo tenciario. Francfort del Mein, el conde de Salignac-Fenelon , encargado de Negocios. Los gobernadores…</t>
  </si>
  <si>
    <t>Talléfrand</t>
  </si>
  <si>
    <t>…nes del tratado, la Inglaterra creía no tener ninguna obligación en virtud de él, y que la cuestión relativa á la posesión de Ñapóles seria discutida separadamente del tratado. El príncipe Talléfrand queri$ principiar por esta cuestión ;pero lord Castlereagh consiguió* qué fuese lá tritima cosa que se tratase. Con este motivo', el príncipe Talleyrand prOCüró: indagar en las oficinas ministeriales de París , y en ellas se en contraron un sin nú Ulero de ca…</t>
  </si>
  <si>
    <t>Talleyrand</t>
  </si>
  <si>
    <t>…s de Europa. Lus tropas italianas, que llegan aquí van destinadas á Praga , Olmutz, Presburgo, Brunn, Buda y Pésth, en donde deben permanecer de guar nición. Habiendo suplicado el príncipe Talleyrand al Emperador que le permitie se hacer en memoria del difunto rey de Francia Luis xvi una función fú nebre en la capilla de Sta. Ana, S. M. I. no solo acogió con agrado la sú plica, sino que declaró al mismo tiempo qne asistiría con toda su familia á esta reli…</t>
  </si>
  <si>
    <t>…o de 1815.__ Siguen las firmas por el orden alfabético de las cortes. 5? Austria 9, £l príncipe de Mettsrnicb. ' == El barón de Vesiemberg. = EspañaP. Gómez Labrador.= Francia, El príncipe Talleyrand. = El duque de Dalberg. zz^La Tour~ dupin. = El conde Alexis de Ñoailles. zzGtzn Bretaña, Él duque de Wdfington. zzCiancarty. =Cathcart.-zzLord Stewart. zz Portugal V i?/ conde ,PdifhelÍd¿z Saldanha —Lobo. zzVrm'12 &gt; El Príntitpédé Hkrdembérg.sz El bátan de,…</t>
  </si>
  <si>
    <t>…aradamente del tratado. El príncipe Talléfrand queri$ principiar por esta cuestión ;pero lord Castlereagh consiguió* qué fuese lá tritima cosa que se tratase. Con este motivo', el príncipe Talleyrand prOCüró: indagar en las oficinas ministeriales de París , y en ellas se en contraron un sin nú Ulero de cartas entre Murat, Eugenio Beauharnais,Fouché, la reina de Ñápeles y el emperador Napoleón. De estas cartas resul ta que Murat, siempre adicto á la Franci…</t>
  </si>
  <si>
    <t>…e manda el príncipe Stachówski ha ll^gado aqui aesdeLithuania, y continúa su marcha háéia Alemania. i -- ■ r \} i )usa % de Junto, ;■ \ En la noche deí 24 del pasado llego aqui e{ príncipe Talleyrand sin nin guna comitiva, y: continuó, su viage áZurich. ‘ Segúnnoticias de Empipa ^ dinero' y alhajas^qúe se encentraron en un co che de Muraty' que Fue apresado, ascienden al valor de dos'millones de francos. , - .... . ‘ , g r a is R " ^ ■ 4-.: ^ " LÓndféé 22…</t>
  </si>
  <si>
    <t>Talón, Pasqual Quilez y</t>
  </si>
  <si>
    <t>Pasqual Quilez y Talón</t>
  </si>
  <si>
    <t>…uyo medio las aguas sobran tes de Segura fecunden los Hermosos y extendidos campos de la villa de Cieza, en el reyno de Murcia, su ayuntamiento por medio de sus diputadorios Sres. D. Pasqual Quilez y Talón,' del consejo de S; M.yy D. Manuel Moxó y Quadrado, coronel de exército, espitan de la brigada de Ca raba neros.,, y secretario militar del Sermó. Sf. Infante Dí Garios; habiendo pro*» &gt; nu nejado el primero el discurso siguiente: **'• : ' í - ^ &lt; ,,Señor^ la…</t>
  </si>
  <si>
    <t>Tamariz, Mariano</t>
  </si>
  <si>
    <t>Mariano Tamariz</t>
  </si>
  <si>
    <t>…l espíritu religioso, del mas ardiente pa triotismo , y de la mas afectuosa adhesión á la ileal Persona de S. M. Madrid 4 de Enero de i 8 r$. El dia 12 del mes próximo pasado tuvo D. Mariano Tamariz la honra de besar la mano á S M., y presentarle los planes de la colonia militar bernandina y canal de Andalucía, de que es autor, y que ya en iScj había ofrecido á S. M. siendo Príncipe de Asturias. Con este motivo expresó en ua breve discurso que el objeto…</t>
  </si>
  <si>
    <t>Tamayo, Ramón</t>
  </si>
  <si>
    <t>Ramón Tamayo</t>
  </si>
  <si>
    <t>…á los Gremios; en la de Sánchez, calle de Toledo, y en la de Rodríguez, calle de las Carretas: su precio 3 rs. vn. :' !' .Cartas del conde Algarotti'sobre'la Rusia, traducidas por D. Ramón Tamayo: • un tomo en 8.® Véndese en la librería de Escribano, calle de las Carretas: su pre cio 5 rs. Letrilla sagrada al nacimiento del Hijo de Dios: por D. Benito Iñiguez de Heredia, presbítero. Véndese en la librería de Gómez , caile de las Carretas: su pre cio 4…</t>
  </si>
  <si>
    <t>…ses la lengua española: un tomo en 8.° Se hallará en la librería de Calleja, calle de las Carretas, frente á la imprenta Real. Elogio del Excmo. Sr. D. Domingo de Grandallana: por D. Ramón Tamayo. Véndese en la librería de Escribano, calle de las Carretas. Puede ir en carta. Mapa mundi según la proyección de Arrowsmith, por el geógrafo D. Juan López. Se hallará con otras obras del autor en la calle de Atocha, frente á la pla zuela del Angel, núm. 1 ,…</t>
  </si>
  <si>
    <t>Tamayo, Tomas de Valderrama y Manuel</t>
  </si>
  <si>
    <t>Tomas de Valderrama y Manuel Tamayo</t>
  </si>
  <si>
    <t>…dia último de Abril para su remate. En virtud de providencia del Sr. D. León de la Cámara Cano, del consejo de S. M., primer teniente corregidor de esta villa, se cita y emplaza á D. Tomas de Valderrama y Manuel Tamayo , pura que en el término de 20 dias contados desde el 6 del corriente acudan á su juzgado y escribanía del número de D. Antonio Loyez de Salazar á deducir el derecho que puedan tener en un asunto que les puede interesar; entendidos que pasado dicho término si…</t>
  </si>
  <si>
    <t>Tandero, Josef María</t>
  </si>
  <si>
    <t>Josef María Tandero</t>
  </si>
  <si>
    <t>…apitán de inválidos de las compañías de Ciudad-Rodrigo : de capitán á D. Juan Henriqoez y D. Antonio Vázquez Aldana, ayudante y tenien te del regimiento de infantería de Mallorca, D. Josef María Tandero, Don Salvador García, tenientes del segundo batallón de Ciudad Rodrigo, y D. Francisco Picado, segundo ayudante de la plaza de Ciudad- Rodrigó: de teniente á D. Gonzalo García, subteniente entonces del batallón de vo luntarios de Avila, D. Félix Frías, D. Zac…</t>
  </si>
  <si>
    <t>Tapia, Juliana de</t>
  </si>
  <si>
    <t>Juliana de Tapia</t>
  </si>
  <si>
    <t>…e en la villa, de. M,uduex, .provincia de Guada laxara, mandó fundar el Lie. Don Pedro Lagunez, presbítero, cura que fue de la iglesia parroquial de la villa de la Toba, que posee Doña Juliana de Tapia, para que en el término perentorio de 15 diatf^se presente por sí ó por procurador con suficiente poder ante el Sr. D. Luis Gabaldon y López, del consejo de S. M., teniente corregidor de esta villa, por la escribanía de provincia de D. Juan Antonio Díaz Norie…</t>
  </si>
  <si>
    <t>Taranco, Francisco Ortiz de</t>
  </si>
  <si>
    <t>Francisco Ortiz de Taranco</t>
  </si>
  <si>
    <t>…uque de Medinaceli , conde de Torrejón, du que de Alagon, D». Francisco Saavedra, conde de Ezpeleta , D. Pedro^Gó mez Labrador y D. Antonio Vargas y Laguna. 1 De número, pequeña á D. Francisco Ortiz de Taranco. &gt; Supernumerarias á D. Gaspar Zurita, D. Ignacio Acha,D. Vicente Alzaybár., D. Josef Vareta y Montero, Barón de Gastellnou de Momech , Don Burges Camac, D. Josef Montenegro , D. Ventura Malibran, D. Pedro Juan de Olazagarre, D. Diego Henares y Tienda, D. Die…</t>
  </si>
  <si>
    <t>Tauentzien</t>
  </si>
  <si>
    <t>…nzOw; por.la Inglater ra, el duque de Wellington, y por la,Prusia,el general conde Gneizenau. El primer cuerpo de egército mandado por el general Ziethen, y el sexto cuerpo por el general Tauentzien , conde de Wittemberg, formarán el con tingente prusiano.__^Díc^se que todos éstos cuerpos, estarán ai mando del «Juque de Wellington ,y&gt; que para fines; de este mes pasarán á sus respectivo* acantonamientos. JDe xo a s 2$ hombres de tropas inglesas ocuparán…</t>
  </si>
  <si>
    <t>Tauenzien</t>
  </si>
  <si>
    <t>1200</t>
  </si>
  <si>
    <t>…arte det egórcito prusiano que no ha de quedar en Francia ha empe zado* ya á hacer su movimiento retrógrado. El sexto cuerpo que estaba acan tonado en la Bretaña á las órdenes del general Tauenzien,está ya en marcha para salir de Francia, y no pasará por París. Se cree que ascenderá á 40® hombres el número de prusianos que deben quedar en Francia. : í &gt;■ Según las-últimas noticias de Italia Luciano Bonaparte ha salido de la fortaleza de Turin, y pasa á…</t>
  </si>
  <si>
    <t>Tauerizien</t>
  </si>
  <si>
    <t>1138</t>
  </si>
  <si>
    <t>…rovidencias convenientes para qué no carezcan de los víveres necesarios, siú que reciban el menor perjuicio los labradores. En el diario de Nantes se ha insertado una proclama del general Tauerizien, comandante en gefe del sesto cuerpo del egército prusiano acantonado en los departamentos' dél O., sobre la llegada de sus tropas, exhortando á los habitantes á recibirlas ¿orno amigos , y por su parte promete la protec ción debida. ■ - : . Se cree que los 1…</t>
  </si>
  <si>
    <t>Tavarei, Manuel Montaibo y</t>
  </si>
  <si>
    <t>Manuel Montaibo y Tavarei</t>
  </si>
  <si>
    <t>…mismo los ranchos y pan de la tropa; visitó el calabozo don de halló sólo dos presos, y se sirvió indultar al uno que lo estaba por caur sálete: avisado el coronel del regimiento D. Manuel Montaibo y Tavarei de tan honorífica sorpresa, corrió impaciente y enagenado de júbilo á be¿ sar la mano de S. M., á quien halló en el cuarto del oficial de la guardia de regreso ya de sus benignas investigaciones: este instante propicio para el gefe le proporcionó la lisonjera…</t>
  </si>
  <si>
    <t>Taylor, Brooic</t>
  </si>
  <si>
    <t>Brooic Taylor</t>
  </si>
  <si>
    <t>…os , en donde asciende su nú4 mero a unos 100© hombres&gt; la mijtadrestá'ya enteramente armada, y i sus - L-. : ; . . ‘ propias espensás. \' \ ' ‘v';; 2.0 Es tracto de un oficio del’caballero Brooic Taylor, enviado estraordi* na rio de S. M. cerca de laxojrtede &gt;Stiiítgar;dt , fecha-en aquella corte el 6 de , -;J ;:r. . \ jltlio dé Í815; 1 i- ■] ‘Hr- &lt;:! f'r,T —r -i-,L l¡as intimas noticias recibidas. delPríncipe fdjeWuijemb^tg &gt;jd$ &gt; corriente, ahunciarr ía ll…</t>
  </si>
  <si>
    <t>Tbu</t>
  </si>
  <si>
    <t>…la ‘Vista de !lo¿-habitantes*-tes . habrá hecho, conocer cqan diversos sentimientos animan á unos y.;á~ otros. Habja,en la ciudad io© enemigos* cuíuidó Cin traron los soldados del-capitán Tbu£n y Bombach.i—En esta acción se hi cieron 200 prisioneros napolitanos, entre los cuales se bailaban 4 oficíales, y se tomaron muchas armas y otros efectos militares. -— En el mismo dia toimó pósedoh de Fanó eí mayor-Éi*s¿£iy. nuestra vanguardia debe estarterc…</t>
  </si>
  <si>
    <t>Tegeiro, Ines de Ovarrio.y</t>
  </si>
  <si>
    <t>Ines de Ovarrio.y Tegeiro</t>
  </si>
  <si>
    <t>…a. Díaz de Soto en Astorga / ó á D. Isidoro Díaz de Soto en la Corufia^ , 1 Ls1 persona que Supiere del paradero de D. Francisco Javier de v Rt hiera, ó .en su defecto de su muger Doña Ines de Ovarrio.y Tegeiro , se servirá avisarlo en li Coruña á D. Manuel Ortiz de Urrutia. ■ Tratado de las enfermedades verminosas, ó accidentes que causan las .lombrices en la clase de animales domésticos, como el caballo, asno, mulo, buey, cerdo y el perro V con el remedio seguro p…</t>
  </si>
  <si>
    <t>Tegeiro, Pedro</t>
  </si>
  <si>
    <t>Pedro Tegeiro</t>
  </si>
  <si>
    <t>…ón del con trato de dicha encomienda; y siendovpartes én los referidos autos el Lie. D. Juan Josef Goriiez Palenzuele , D. Pedro Manuel Folgueras, Doña Juana Rodríguez , viu da de D. Pedro Tegeiro, D. Gaspar Eugeni, D. Juan Ruiz Morales, D. Josef, D. Joaquín y D. Bernabé VcladieZ, como herederos del difunto D. Josef Veladiezj</t>
  </si>
  <si>
    <t>Teigeiro, Jacobo Antonio</t>
  </si>
  <si>
    <t>Jacobo Antonio Teigeiro</t>
  </si>
  <si>
    <t>…les confió por su decreto especial de 8 de Marzo de este año; se ha servido nombrarles Alcaldes de su Real casa y corte; y por las resultas en aquella audiencia para la de Oidor á D. Jacobo Antonio Teigeiro: para la de Alcalde á D. Josef Nuñez Garrido; y para la plaza de Oidor de la chan ciliería de Valladolid que resulta vacante á D. Eladio Valdenebro. Para el corregimiento de Illescas ha nombrado S. M. á D. Ramón Añtuñano: para el de Atienza á D. Manuel Gordo…</t>
  </si>
  <si>
    <t>TeIrán, Eugenio</t>
  </si>
  <si>
    <t>Eugenio TeIrán</t>
  </si>
  <si>
    <t>…Noriega ; y si alguno ha tenido la buena suerte en hacendase visible sn mérito, ha sido porque la fortuna le puso en el caso, pues losi deseos han -sido iguales en todos. El mayor general D. Eugenio TeIrán debía- haber marchado á la cabeza de su escuadrón; pero las amebas -atenciones de su comisión me obligaron á que lo verificase en la columna deía derecha, en que iban todos los xamQS de que estaba encargado : sirvió útil—</t>
  </si>
  <si>
    <t>Tejada, Dámaso de Rueda y</t>
  </si>
  <si>
    <t>Dámaso de Rueda y Tejada</t>
  </si>
  <si>
    <t>…ndo prir' sioñeró eti Francia se pasó á Rusia; y nó habiendo.noticia cierta de dicho sugeto, si alguno la tuviere de su muerte ó existencia, se servirá comunicarla en esta corto á D. Dámaso de Rueda y Tejada, que vive calle del Ave María, número 12 , quarto principal,-junto á la de S. Carlos, y en Búrgos á D. Félix Martin Antón, su hermano político, empleado en el hospital del Rey. Se desea saber el paradero de D. Joaqoin Marti y Sanseverino, oficial del re gimie…</t>
  </si>
  <si>
    <t>Tejada, Gerónimo Torrecilla de</t>
  </si>
  <si>
    <t>Gerónimo Torrecilla de Tejada</t>
  </si>
  <si>
    <t>…el Real Consejo de las Ordenes»-para las varas de alcalde mayor de S. Cebrian de Castrotorafe á D. Antonio Entrecanales: de Cieza á D. Felipe Antón: dé la Granja de Torrehermosa á D. Gerónimo Torrecilla de Tejada: de Villanueva de los Infantes á D. Josef Andrés de Arellano: de la Solana á Don Francisco María Osorio y Becerra: de los Santos á D. Vicente García Díaz: del Toboso á D. Francisco Juan y Cantabella: de San Mateo á Don Pedro Huerta Morales: de Almonacid de Zo…</t>
  </si>
  <si>
    <t>Tejada, Josef Lombardo Perez de</t>
  </si>
  <si>
    <t>Josef Lombardo Perez de Tejada</t>
  </si>
  <si>
    <t>Por el presente se cita á los acreedores ausentes é ignorados á la testamentaría de D. Josef Lombardo Perez de Tejada para la junta de los acreedores á la misma, que ha de celebrarse el martes ¿i del presente á las nueve de su mañana en la posa da del Sr. D. León de la Cámara Cano, del cornejo de S. M., primer teniente cor regidor de esta hcroyca villa, ante el escribano del…</t>
  </si>
  <si>
    <t>Tejada, Manuel Manso y</t>
  </si>
  <si>
    <t>Manuel Manso y Tejada</t>
  </si>
  <si>
    <t>…años. Madrid de Noviembre de 181-5:* El Rey nuestro Señor se ha servido nombrar en el territorio de las Or denes Militares para la vara de alcalde mayor de la villa de Hornachos 2 D. Manuel Manso y Tejada: para la de Segura de la Sierra, vacante por promoctQn de D. Diego Crespo de León á la de las nuevas poblaciones de Sierra Morena, á D. Joaquín Gonzalo Ramírez de Arellano: para la de fa ciudad de Alcañiz á D. Fabian Dórente; y para la de los Santos, vacante…</t>
  </si>
  <si>
    <t>Tejadár, Juan</t>
  </si>
  <si>
    <t>Juan Tejadár</t>
  </si>
  <si>
    <t>…an Gutiérrez, D. Tornas de Codes, Di Josef Navarro; D. Juan Ruiz &gt; D. Salvador González, D. Rafael Solano, Di Josef; Majríaí Prieto , Q¿ Fráncisco Cervera &gt; D. Francisco , Cascos, D. Juan Tejadár, DvBasilioBayoni, D.Joaquin Dolz, D. Salvador Arnardo, D. An tonio Marcoletá, D, Josef Gáliano, D. Manuel Ayolo, D. Ignacio Cambil, D. Vicente. Dolz , D. Manuel Fernandez , D. Rafael Montemayor, D. Ga briel Villoría, D, Diego Latorre, D. Pedro Vidal, D. Anton…</t>
  </si>
  <si>
    <t>Tellez, Juan Bautista de Galvez</t>
  </si>
  <si>
    <t>Juan Bautista de Galvez Tellez</t>
  </si>
  <si>
    <t>…fuera del salario la asistencia de eclesiásticos á beneficio del facultativo, las apela-iones y golpes de mano airada. Los que intentaren hacer gestión dirigirán sus memoriales á D. Juan Bautista de Galvez Tellez, escribano de ayuntamiento. La plaza de cirujano latino de la villa de Haro, provincia de Rioja, en el ubis-</t>
  </si>
  <si>
    <t>Tello, Pedro</t>
  </si>
  <si>
    <t>Pedro Tello</t>
  </si>
  <si>
    <t>…de recomendar á Vv £. las doctrinas de Huanta y Larrco— cha,en primer lugar, con el cura de esta y alcalde de aquella; en segundo á HuamaoguUlay tlo« Neqdes ¡ con sus curas el Dr. D. Pedro Tello y ^ Ma nuel Navarro , y en tercero al cura de Quinhua con algunos de sus indios. -j ^ La total escasea deplaratienéenciiidadoá esta intendencia, que no du da el reintegro* de lo que espera de esas cajas , realizándo las legales medidas tomadas álí efecto, des…</t>
  </si>
  <si>
    <t>…e entró al frente de sus feligreses 4e Huamanguilla. El cura de Quinhua nos ofrece algunos de sá doctrina, pues los demas están con los insurgentes* repitiendo igual oferta el Dr. D. Pedro Tello, cura de Tambillo,Con los indios de los Ñeques, que no hemos aceptado, dándoles las gracias, porque no hay icón que mantenerlos. Acabamos de recibir la correspondencia de Parínacochas y. S. Juan de Lucanas; este partido está tranquilo, y su subdelegado interi…</t>
  </si>
  <si>
    <t>Telmo, Pedro</t>
  </si>
  <si>
    <t>Pedro Telmo</t>
  </si>
  <si>
    <t>…-&gt; velo: para una canongía dt la iglesia catedral de Orense, vacante por pro-, moción de D. Bernardo Martínez al arcedianatb de Huete, dignidad de la iglesia catedral de Cuenca rá D. Pedro Telmo. Hernández , racionero de laiglesia metropolitana.de Burgos: para otra canjmgía de la iglesia colegial de Santa María deí Campo de ia ciudad de ia Coruua, en ei arzobispado de Santiago, vacante por falfecimién tb de D. Manuel de Saavedra- y Carvajal,, á D. Ma…</t>
  </si>
  <si>
    <t>Tendero, Juan Ignacio Gavaldon</t>
  </si>
  <si>
    <t>Juan Ignacio Gavaldon Tendero</t>
  </si>
  <si>
    <t>…is años en la vara de a leal- ’ de mayor de 5. Cristóbal de la Laguna, en la isla de Tenerife, una de las Canarias, a D. Josef Antonio Morales Calvo. En elcOrrégíínjento de Moya á D. Juan Ignacio Gavaldon Tendero hasta que concluya «u sexenio; y ha confirmado en el de Agreda á D. Eustaquio Martínez de Toro. En la vari de alcalde mayor de Valdepeñas ¿ D, Juan Víctor Lotente para que la sirf va hasta que cumpla su sexenio: en la de la Nava del! Rey á D. Juan Amó* nio Be…</t>
  </si>
  <si>
    <t>Tené, Manuel Cano y</t>
  </si>
  <si>
    <t>Manuel Cano y Tené</t>
  </si>
  <si>
    <t>…rcía Mellado, canó nigo de la iglesia colegial de S. Isidro de esta corte, y la canongía que ha va cado por muerte de C. Manuel Domínguez y Haro en dicha iglesia metropo litana* á D. Manuel Cano y Tené, racionero de ella; otra canongía vacan te en la iglesia colegiata del Salvador de la referida ciudad de Granada por fallecimiento de D. Josef Benito Palácios á D. Pedro Moreno, presbítero. Eldeanato de la catedral de Calahorra, vacante por ■promoción de Don…</t>
  </si>
  <si>
    <t>Teodoro, Cárlos</t>
  </si>
  <si>
    <t>Cárlos Teodoro</t>
  </si>
  <si>
    <t>…o Líbref ; D. Joaquín MuezVD. Juan Ignacio*Cervera, D. Salvador Ce bollino, D. Ventura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 Josef Valcárcel 'yRosique, D. Josef Gómez Arteche , D. Joséf Gutiér…</t>
  </si>
  <si>
    <t>Teran, Antonio</t>
  </si>
  <si>
    <t>Antonio Teran</t>
  </si>
  <si>
    <t>…neh del Rbgimiento Provincial de Segqvia: al grado de Coronela D* jibias Verdejot, Ingeniero del detall, D. Pedro Quintariilla, - Comandante del tercer Batallón de Ciudad-Rodrigo, D. Antonio Teran,</t>
  </si>
  <si>
    <t>Tercer, Barclay de TollL</t>
  </si>
  <si>
    <t>Barclay de TollL Tercer</t>
  </si>
  <si>
    <t>…de Ru sia. en esta corte ha entregado al Escmo. Sr.-D. Pedro Cevallos, primer se cretario de Estado y del Despacho, el siguiente listado del egército que marcha d las órdenes del mariscal Barclay de TollL Tercer cuerpo, general en gefe el teniente general Dokloroff._— 7.3 divi sión de infantería, teniente general Kapzeuiteh___ 24.a división id., teniente general Radls__ -27.a división id., el teniente general Berosdin____3.a divi sión, de dragones , mayor general Ale…</t>
  </si>
  <si>
    <t>Teredo</t>
  </si>
  <si>
    <t>…cuyo oficial recomiendo á V.E. Al vocal Bustamanté creen algunos haberle reconocido entre los muertos coii su muger. Yo, como no estoy cierto, no me atrevo á aseguarlo á V. E. Al coronel Teredo, nombrado plenipotenciario de los EsíudoS ' Unidos, se cono^ ció entre los muertos, y á otros varios coroneles y Oficiales, cuyos nombres ignoramos. Rayofi con solos cuatro huyó: quedaron muertos mas de 200 hombres, sin contar los muchos heridos, que por ló.…</t>
  </si>
  <si>
    <t>Terri, Antonio</t>
  </si>
  <si>
    <t>Antonio Terri</t>
  </si>
  <si>
    <t>…de D. Ber nardo Alarcon á D. Columbano de Poz y Gal indo, cura de la parroquial de S. Lorenzo de esta corte, y otra capellanía de la espresada Real capilla, vacante por muerte dé D. Antonio Terri, á D. Josef Zorrilla de la Roería. La dignidad de maestrescuela que vacó en la iglesia metropolitana de Granada por fallecimiento de D. Josef de Robles' á D. Francisco Plácido Bocanegra, canónigo doctoral de la misma iglesia; la dignidad de prior, vacante por…</t>
  </si>
  <si>
    <t>Terrón, Bartolomé García</t>
  </si>
  <si>
    <t>Bartolomé García Terrón</t>
  </si>
  <si>
    <t>…: para la de Alcañices á D. Francisco de Paula Grande: para la de Cien pozuelos á D. Francisco Herrero Blanco: para la de Salva tierra á D. Manuel del Pozo: para la de la Bañeza á D. Bartolomé García Terrón: para la de Nájera á D. Josef Eladio Garcés: para la del Ferrol y la Graña á D. Vicente García Díaz: para la de Sta. Cruz de Múdela á Don Antonio Pimentel y Valenzuela: para la de Huecija á D. Andrés Rodríguez Valenzuela: para la de Villalpando á D. Hipólito…</t>
  </si>
  <si>
    <t>Teschen, Alberto de Saxonia-</t>
  </si>
  <si>
    <t>Alberto de Saxonia- Teschen</t>
  </si>
  <si>
    <t>…el 9 del corrien te : la del rey de Prusia se verificará algunos dias después: el emperador de Rusia debe salir el 15, y el rey de Baviera el 14. Escriben de Brunn que S. A. R. el duque Alberto de Saxonia- Teschen había llegado á aquella ciudad el 28 de Febrero, y que había sido recibido por una compañía de granaderos» que le hizo los honores debidos á su cla se. Escriben también que esperaban por aquellos dias al rey de Saxonia, que salió el 22 del pasado de Berlín co…</t>
  </si>
  <si>
    <t>Tesorero</t>
  </si>
  <si>
    <t>…n general, Juzgado y Tesorería del Tabaco y demas oficinas separadas de otra cualquiera Renta de las que por el indicado regla mento se incorporan á la Dirección general; y que el Señor Tesorero general cesante del Reinó asistirá con votó i las ¡juntas de la Dirección general cuan do le acomodare para su mayor conocimiento deLproducto dé las Rentas en el año de egercicio. ' Lo que comunico á V. para $ü inteligencia y gobierno /dando de ello la notici…</t>
  </si>
  <si>
    <t>Teva, Joaquín Manuel de</t>
  </si>
  <si>
    <t>Joaquín Manuel de Teva</t>
  </si>
  <si>
    <t>…, D. Felipe Heriiahdefc, D. Pedro Valls, D. Manuel Sauz. 4 . *'¿ ,y^P. Gil ^ y Pin¿&amp; v * _ Ascenso ¿oficiales terceros á los cuantos D.: Juan de Hazas,rD. Bernar-* dino Fernandez ,D. Joaquín Manuel de Teva, D./ Francisco Cándido de Ote-* jpo , D. Juan Higinio Qyiatanilla, D. Juan Yarda, D. Francisco JavierMartinez, D. Josef M^na Blanco y í). Fulgencio Aicaraz; .: . 1 / Ascenso á oficiales quartos ¿ los quintos D. Josef de Torres Gal vez/ D. Clemente Román y Lob…</t>
  </si>
  <si>
    <t>Thiei</t>
  </si>
  <si>
    <t>…castigados. ALEMANIA. • Minden 4 de Noviembre. Seis regimientos de infantería y doce escuadrones de caballería prusiana, qtie vuelven de Francia, permanecerán bajo las órdenes del general Thiei^ mann en los distritos de Minden, Munster y Marck. Se continua trabajando en las fortificaciones de esta ciudad. Stuttgardt S de Noviembre. Habiendo accedido S. M. á la resolución tomada de acuerdo cori la cor le de Francia por las demás aliadas, relativament…</t>
  </si>
  <si>
    <t>Thieiman</t>
  </si>
  <si>
    <t>…n el 2 de Abril, se compondrán de sie te regimientos de caballería, 30 batallones de cazadores y" 14 de artilleros. Luego que pasen estas tropas, seguirán las saxonas al mando del general Thieiman, y después marchará otro cuerpo prusiano de igual fuerza que el primero. Las tropas hessesas que se reunirán á las prusianas se dirigen á las cerca nías deTréveris___Xuxétnburgo tiene en el día una guarnición de 10® hom bres , y en las fronteras de Francia se…</t>
  </si>
  <si>
    <t>Thielman</t>
  </si>
  <si>
    <t>…r» en donde se hada ahora e! quartel general. Este cuerpo brillante tiene una numerosa artillería y una caballería sobresaliente» y debe aumentarse con los sazones mandados por el general Thielman» con la legión alemana» con quatro regimientos de ca ballería y uno de infantería» que en:todo ascienden á.jó® hombres. Esté cuerpo compondrá el ala izquierda del exército grande» que estará á las ór denes del lord Wellington » y será mantenido por Isl Inglat…</t>
  </si>
  <si>
    <t>Thiélman</t>
  </si>
  <si>
    <t>…slcampo de batalla, sin que el enemigo se'hubiese atre vido áperseguirlorné molestarlo. 'Quedaroh en* nuestrojpoder durante la noche la aldea;de. Brie y la deSombreff, en donde el general Thiélman habia peleado coniel tercer cuerpó ,iy desde donde al romper el dia siguiente se retiró en orden y despacio hácia 'Gambleux:, adonde habia llegado ya por fin aquella noche:el cuarto, cuerpo ;dei egército prusiano que manda d general Bulow. Los cuerpos primera…</t>
  </si>
  <si>
    <t>…j al mismo tiempo el ataque, contra el egército; ingles continuaba con él mismo, ardor. - ¿Ge|rca tle las seis de la tarde se recibió aviso de que el tercer cuerpo, fti marídódel general Thielman ,' había sido .atacado cercádeWavrcporgrandé* fuerzas enemigas, contra, las cuales disputaba con empeño la posesión de .j.E.1 feld-mariscal Blocher oyó esto con serenidad, porque sabia que en el puí&gt;to en donde se hallaba, y no en otro , era en donde debía de…</t>
  </si>
  <si>
    <t>Thielmann</t>
  </si>
  <si>
    <t>…r á su esposa •que está gravemente enferma. - - • • - * El 3 de este mes pasó revista el Rey de Prusia en la llanura de Greneíleal tercer cuerpo de' egército que está al mando del general Thielmann, destinado! reemplazar en Pañis á la guardia Real prusiana que acaba de salir de la capital.. El gran Duque Constantino , el Príncipe Blucher, el General Gueisenau .y otros muchos^ generales asistieron á esta revista. Se ha elogiado principalmente-/Ja fbelfea…</t>
  </si>
  <si>
    <t>Thompson</t>
  </si>
  <si>
    <t>…ocas horas después salió para el mismo destino S. M. la reina de Etruriá con su corte. El 6 del corriente ancló en este puerto el navio Abukir de S. M. Británi-*ca, mandado por el capitán Thompson, procedente de las aguas de Mahon. a * * ¡i isi a * aquí una escuaclra* también inglesa, mandada por el almirante Pe-4 lew, compuesta de los navios de línea el Bayona y el Inconquistable de p8 cañones-yel Malta .y el Pómpeyo de 8o ; el Ájax 3 el Berwtck 3 el…</t>
  </si>
  <si>
    <t>Thumen</t>
  </si>
  <si>
    <t>…e Osnabruck, que forman parte del territorio de aquellos estados. PRUSIA. Berlín 2 de Marzo, S. A. R. el príncipe Federico de Prusia ha salido de aquí para Strelitz, y el teniente general Thumen para Francfort del Oder. El regimiento de coraceros de Silesia, de que es coronel Mr. de Brisen, ha entrado de guarnición en esta capital. Idem 4. El célebre príncipe de B’ucher lia marchado de Francfort del Oder. _ El regimiento de coraceros del gran duque C…</t>
  </si>
  <si>
    <t>Tía, Bruñe</t>
  </si>
  <si>
    <t>Bruñe Tía</t>
  </si>
  <si>
    <t>…han quemado en medio de la plaza pública. A la salida .del correo "último ya -principiaba árresta blecerse la tranquilidad. ' Escriben de Tolon que la noticia del fin trágico del mariscal Bruñe Tía causado tan viva impresión en el ánimo de otros generales que estañ en la .Provenza, que en vez -dej ir por tierra á susnuevos*destinos, han . mandado preparar un buque para que les.conduzca ál Havre, 'ESPAÑA.; '' A ; J' : - • Madrid ? de ‘Setiembre. Xiiego q…</t>
  </si>
  <si>
    <t>Tienda, Diego Henares y</t>
  </si>
  <si>
    <t>Diego Henares y Tienda</t>
  </si>
  <si>
    <t>…cio Acha,D. Vicente Alzaybár., D. Josef Vareta y Montero, Barón de Gastellnou de Momech , Don Burges Camac, D. Josef Montenegro , D. Ventura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Josef Gerau de Arellano , E&gt;;…</t>
  </si>
  <si>
    <t>Timarte, Josef García</t>
  </si>
  <si>
    <t>Josef García Timarte</t>
  </si>
  <si>
    <t>…ara el de Palencia á D josef Ramírez Cid: ' para la vara de.Qropesa á D. Josef Vilella y Pastor:para la déla Puebla de Sanabria á D Manuel Ibiza y Heredero: para la de Benavente á D. Josef García Timarte: para la de Hinójosa del Duque á D. Eugenio JavaIquinto; para la de Calahorra en Granada á D. Miguel de Lerin Braca monte: para el corregimiento de Reynosa á D. Josef Hervás: para la vara de Ubrique á, D. Julián Ruiz Marín: para la de Oiiva á D. Josef Fernand…</t>
  </si>
  <si>
    <t>Tineo, Pedro</t>
  </si>
  <si>
    <t>Pedro Tineo</t>
  </si>
  <si>
    <t>…Boullon y D. Josef Villaverde, del Provincial de Santiago; D. Andrés González, D. Josef Valcárcel, D. Ber nardo Amado, D. Manuel Martínez y D. Francisco Espiñeyra , del de Lu go; D. Pedro Tineo, D. Juan Puente, D. Josef Antunio Rodríguez, Don Simón Fernandez, D. Teodoro Arce, D. Juan Guasa, D. Juan Malagon, E&gt;. Cosme Arias, D. Francisco Sierra, D. Diego Osorio y D. Gregorio Diez, del de Voluntarios de León; D. Josef Yanguas, D. Josef Osorio, D. Fran…</t>
  </si>
  <si>
    <t>Tirado, Josef María</t>
  </si>
  <si>
    <t>Josef María Tirado</t>
  </si>
  <si>
    <t>…sión de la chanciller ¡a de Gra nada. . - - . ’ Para la plaza de juez mayor de Vizcaya, en la chahcilíería de Valla-* dolid, á D. Luis Gabaldon: para el corregimiento de Carmona á D. Josef María Tirado: para el de Lucena i D. Benito Saiz de Villegas: para el de Ubeda á D¿ Manuel Becerriir para el de Soria á D. Juan Meneses Calvete: para el de Linares á I&gt;. Josef Julián Ortega: para el de Tordesillas á Don redro Ventades; y confirmar en el de Sabagun á D. Jo…</t>
  </si>
  <si>
    <t>Tirlet</t>
  </si>
  <si>
    <t>…es divididos en dos caer* pos, uno al mando del conde dé Erlon, cayo cuartel general está en Lila, y el otro al del general Reitté, que tiene el cuartel general en Valencíenes. El general Tirlet manda la artillería, y á los ingenieros el general Haxo. El exército que se opone á este entre el Mosa y el mar del Norte es ya de 130© hombres. «. Hamburgo t $ de Abril. La gaceta de Stockolmo de 31 de Marzo habla de armamentos en lo ««» terior del reyno; y…</t>
  </si>
  <si>
    <t>Tirone, Arturo O'Neiü de</t>
  </si>
  <si>
    <t>Arturo O'Neiü de Tirone</t>
  </si>
  <si>
    <t>….á la expresada ^secretaría, donde le se rán entregados, acreditando su legítima pertenencia en la forma conveniente. El día 9 de Diciembre último falleció en esta corte el Excmo. Sr. Don Arturo O'Neiü de Tirone, marques del Norte, teniente general de los Rea les exércitos, y consejero jubilado del supremo de la Guerra, á los 78 años, ti meses y un dia dé edad, y 62 años, 9 meses y 9 dias de servicios: em pezó su carrera de cadete en él regimiento de infantería de Ir…</t>
  </si>
  <si>
    <t>Tiscar, Alonso</t>
  </si>
  <si>
    <t>Alonso Tiscar</t>
  </si>
  <si>
    <t>…ntiago Regañón, D. Josef Maestre, D. Josef Olaeta■, Don Andrés Pitadaveyga, D. Ramón Bañuelos, -D. ♦ Juan Duran, D. Simón Poncé pjeLeón, D. Jóséf de Roca, D. Francisco de la Rosa, D. Alonso Tiscar* P. Manuel Tosta, D. Francisco Alameda, D.. Tomas Gómez Qui janó, Don Joaquín Vial ,’D. Francisco Sirera, D. Antonio dé la Rosa y D. Juan Bermuy.' ^ Ascenso á alféreces de navio á los dé fragata D. Manuel Arechevala, Don Agustín Bocal a n, D. Matías Aldao, D,…</t>
  </si>
  <si>
    <t>TJbach, Josef</t>
  </si>
  <si>
    <t>Josef TJbach</t>
  </si>
  <si>
    <t>…En Valencia........ D. Ramón Miralles. En Avila.d...:...... D. Manuel palomares. Én Guqddlajara. D. Joaquín Veladiéfc. Eti TáiedoJ.......... D. Francisco Perez. En Murcia........ D. Josef TJbach. En Oviedo:.lD. Juan Pérez. En Ciudad*Real. D. Mateo Casado y Romero. En Jaén..... ......... D. Francisco López Zavala. En Ségüvia......^.: Señores viuda de Ramiro y Mesa. En6Cühicá.l.i ..líil 'D. Josef Escolar yNóriega. D- trenzo Gibert, : i1SLÍ En Palenda..…</t>
  </si>
  <si>
    <t>To</t>
  </si>
  <si>
    <t>…cios distinguidos que ha hecho á la réM'gtóíi , al Rey y ál estado: para otra canongía, vacante en la iglesia ca tedral dé Piasen ciá por muerte dé Dv Manuel de Rus y Contreras, á D. To mas González, cón retención del beneficio simple que obtiene en el lugar de Ve lies* obispado de Salamanca : para otra canongía * vacante en la iglesia metropolitana de Santiago por promoción de D. Manuel Martínez del Cam po y Guerra á otra canongía y dignida…</t>
  </si>
  <si>
    <t>Con fecha de 19 de este mes se ha servido el Rey dirigir al Sr. D. To mas Moyano, secretario interino dé Estado y del despacho de Gracia y Jus ticia , el Real decreto siguiente: En atención á los repetidos y- singulares servicios que me ha hecho Don Juan Garrido, y á la grande adhesión que siempre ha tenido á mi Real Per uana,…</t>
  </si>
  <si>
    <t>…de. provincia al comisario orde nador P, Andrés Gallegos : los nde combario ordeñador al comisario de guerra P, Francisco Oleadlos de comisario de artillería honorario de guerra á D. To mas Valls y D. Antonio González, guarda, almacenes ordinarios: para estos honores á D. Josef Basavey D. Santos Aparicio, guarda almacenes estraor dtnarlos v y -para estos 4 ^os escribientes de numero D. Bernardo Quintana, D. Josef Ladrón de GuevarayiX Juan Ga…</t>
  </si>
  <si>
    <t>…e generosidad patriótica. ; En el juzgado del Sr. D. León de la Cámara Cano , del consejo de S. M., te niente primero de corregidor de esta villa, y por la escribanía numeraria de D. To mas de Sancha y Prado , penden autos promovidos por D. Pedro#Man.uel Rojo so bre aprobación de la cuenta que ha presentado como administrador judicial de una ¿ásá sita en la calle ancha del Avapies, número ra de la manzana 47; y no habien do podido comunicars…</t>
  </si>
  <si>
    <t>…eL perjuicio que haya lugar. El Sr. D. León de la Cámara Cano-, del consejo de S. M.teniente primero decorregidor de esta heroica, villa, en cuyo juzgado y escribanía numeraria de D. To mas de Sancha pende la testamentaría de la Excma. Sra. Doña Teresa de Saiazar y Morales, marquesa que fue de Soásentelos, condesa de Montarco, se ha servido convocar á junta general á todos tos interesados en dicha testamentaría, para ia que ha señalado ei dí…</t>
  </si>
  <si>
    <t>…■ ■■ -r -- --- ■■■■ - - _ Habiendo acudido ál juzgado del Sr. ©. Joaquín de Almazan, del consejo de CS. M. ,• teniente corregidor de esta villa , y por la escribanía del número de D. To mas de Sancha y Prado, D. Juan Poves, vecino de esta corte, como conjunta pernwom de Btma-Lticfedtoeurto-, y apoderado de Doña Bernarda, Doña Isabel y Doña</t>
  </si>
  <si>
    <t>Todo, Pedro Rosi</t>
  </si>
  <si>
    <t>Pedro Rosi Todo</t>
  </si>
  <si>
    <t>San Pedro y D. Ramón déla Cartera; y en la qnarta D. Ramón Rui* de Egullaz'y Pe redo y D. Pedro Rosi Todo ha merecido la aprobación del pÚbliOó qué no ceso en todo el día y aun el siguiehte de reconocer y ad mirar las ob*^ as de los premi..dos, y otras de los que no lo fueron, pero que dan esperanzas dé que llegarán á serlo. Ir un a4 de Abril. * Por ijoticias rec…</t>
  </si>
  <si>
    <t>Toledano, Luis Martínez</t>
  </si>
  <si>
    <t>Luis Martínez Toledano</t>
  </si>
  <si>
    <t>…en el arzobispado de Burgos , va cante por muerte de D. Roque Rodrigó, á D. Tomas Moyano Díaz: para la pfestamera de Huelva, que ha vacado en el de Sevilla r por fallecimiento de D. Luis Martínez Toledano, á D. Simón Bayon Díaz : para el beneficio servidero de la parroquial de la villa de Viuuesa, vacante por fallecimiento de D. Francisco Gil de Sugadi, el préstamo menor del lugar de Abion, que jo está por muerte de D. Diego Bernardo Oruña, y el beneficio simp…</t>
  </si>
  <si>
    <t>Toledo, Lorenzo Cisneros de</t>
  </si>
  <si>
    <t>Lorenzo Cisneros de Toledo</t>
  </si>
  <si>
    <t>…or y adheóon á su augusta Real Persona, hechas porTá ciudad de Chinchilla , se ha servido resolver se,le den gradas en su Real nqinprefy que.s? IppJjjqueií para su satisfacción. T D. Lorenzo Cisneros de Toledo, agente de negocios y procurador del número de la corte y Reales consejos, encargado por el Escmo.;Sr¿ embaja-5 dor de Holanda para cuidar de las diligencias a la' aprobación - por S. M. G.&gt; de los execuatur de los cónsules y vice-cónsuíes de su potencié en i…</t>
  </si>
  <si>
    <t>Tolli, Barclai de</t>
  </si>
  <si>
    <t>Barclai de Tolli</t>
  </si>
  <si>
    <t>…n con la- retaguardia se asegurarán mejor, y se formarán varias columnas movibles para dejar seguros los varios' pasos de los Vósges, y los grandes bosques y el país cercano. ’ El general Barclai de Tolli sigue al Príncipe \Vrede por Nanci, y hoy está en Pont-au-Mousson. La caballería de los generales Lambe rt y Korff ocupan el país, y patru llan hácia Verdun, Clermont, Dunn, Montmedi &amp;c. El general CzernicheíF estaba el 29 en Rheims , y se adelantó el 2 á Cha…</t>
  </si>
  <si>
    <t>Tolly, Barclay de</t>
  </si>
  <si>
    <t>Barclay de Tolly</t>
  </si>
  <si>
    <t>…príncipe Eugenio, y para algunos oficia les frátícesés qué se bailan en *Baviera. Éstas cartas han sido remitidas á S. M. él émpeífaáor de Austria. ' El exército ruso al mando del general Barclay de Tolly se divide en tres columnas: la del Norte, que consta de 7 &gt;© hombres, pasará por Leipsick á Bamberg*. la del centro, compuesta de 43© hombres, irá por Bareuth á Nuremberg; y la del i&gt;ud, que‘consta de mas de 100© hombres, se partirá en dos divisiones, las cua…</t>
  </si>
  <si>
    <t>…able conde de Czernitschef, que salid de aquí el 22 ,se halla ya en acción, y con su intrepidez y actividad bien conocidas mantiene las comunicaciones entre los egércitos del feld-mariscal Barclay de Tolly. y del Príncipe Blucher. Las guardias del egército* p;rüsiahólos húsares y los cazadores de á pie de la guardia, tropa toda escogida y la mas bizarra que es posibie concebir, han pasado hoy por: aquí. . : ^ ^ u Mdnhein de Junio. El feld-mariscal Wrede luego q…</t>
  </si>
  <si>
    <t>…lanuras ascienden, según se dice , á 200® hombres, y ocupan "desdé Vertus hasta Clamange, VilleSeneux y Ecury-le-Repos y lo que co.mpone cuatro leguas de largo y tres de ancho. E[ mariscal Barclay de Tolly está aqui hace algunos dias. Las al deas circunvecinas están llenas de oficiales generales; solo en la de Avice estan alojados 50 de estos con sus comitivas. A pesar dejos almacenes y pro visiones de algunos particulares, faltaban pronto los víveres á esta re…</t>
  </si>
  <si>
    <t>…Europa para arreglar diversos puntos, sobre que todavía tío se está de acuerdo en París. ! v — El Príncipe Real de Wurtemberg pasa á Berlín. &gt; ; Francfort tj de Noviembre. Él feld-mariscal Barclay de Tolly ha establecido un camino militar des de Varsovia á Nanci para mantener las comunicaciones del, cuerpo de egército ruso que ha de permanecer en Francia á las órdenes del teniente general conde de Woronzow, como también para el regreso á Rusia de todos los mili…</t>
  </si>
  <si>
    <t>'1426 El mariscal Barclay de Tolly ha sido nombrado Príncipe, y el Conde de Capo de Istria Secretario de Estado. ' La Inglaterra acaba de adquirir las islas Jónicas, que son de la mayor importancia para el comercio. Corfú, una de ellas, es la llave del Adriático, y Cérigo lo es del Archipiélag…</t>
  </si>
  <si>
    <t>Tomas</t>
  </si>
  <si>
    <t>…."' •• “ ; ' ‘V ^,, . . - v -v ---q q * i vf * ■ ^ ■1 * *■ * í ‘ t. ■ t ^ • íl ■ , - * | , s ■ * i i ¿ 1 y, •' ' ■. , Co,h: fecha, 6 deoe^te mesase fia sefwidp^eJ^Riey ídirigir á .D. Tomas ~ j_______l_ j _ __ • __ r _cr„j blecer la, saljt de alcaldes aje casa y. corte, para que confórmela su antigua planta exerdese- sus funciones guardando Jas reglas prescritas en! aquel, y atendiese é$enciaimente vaí remedíosle jqs*delitos de, qp#:abundaba ¡ e…</t>
  </si>
  <si>
    <t>…esta villa, y de todas las costas del proceso; con la prevención de que cumplido el tiempo de su condena, deberá reclamar á S. M. por su in dulto, y concedido quedará el expresado D. Tomas baxo dé la inspección de los jueces de su domicilio ó residencia, á fin de que estos velen con ener gía su conducta: que á la notificación de esta providencia jure la fidelidad y vasailage que debe al Rey; la que para escarmiento de los malévolos de berá ser…</t>
  </si>
  <si>
    <t>…os de los medicamentos. El señor D. León de la Camara Cano, del consejo de S. M., teniente de cor regidor de esta heroyea villade Madrid, en cuyo juzgado y escribanía numeraria de Don Tomas deSancha pende la testamentaría de la Excma. Sra. Dona Teresa de SaJazar y Mora'es , marquesa que fue deSomeruelos y condesa de Montarco; se ha ser vido convocar á junta general í todos los interesados en dicha testamentaria, para la que ha señalado el día 7…</t>
  </si>
  <si>
    <t>…jfóédícápa ra que ésta llegue1 dl:iiiifs alto grádo dé perfección poAscenso á brigadieres á los capitanes de navio D. Pedro Ruiz Mateos» D.Joaquin de ■la-Croixy'D. Joalquin Mozo, D. Tomas, Herrera y Cruzar» D.Francisco Vizcarrondo, D-Joaquiñ !de Castañeda» D. Juan Francisco Püi¿t D. Ramon Hcrrera yíCfüzat, D. Francisco Millau, D. Vicente Fran cisco1 de ¡Voz , Martin Francisco Triarte, D. Josef Sartorio, D. Diego Bu trón, D. Francisco Ciscar, D…</t>
  </si>
  <si>
    <t>Tomas, Cristóbal</t>
  </si>
  <si>
    <t>Cristóbal Tomas</t>
  </si>
  <si>
    <t>…4 rs. en rústica ^60 en pasta. —Tratado y nuevo método curativo .de las enfermedades gotosas y reumáticas: por el célebre P. J.-Bartbez, compendiado al castellano por su discípulo D. Cristóbal Tomas: un torno en 8.** á i 2 rs. en pasta. — Diclionarium theologícum portadle, primum Gallice edictum, dein ItálLe versum ac plurtmis adnotationibus, novisque articulis locupletatum. A P. Abbate D. Prosperó ad Aguila.&amp;c. ; 3 tomos en 8.° mayor á 40 rs. en pasta;…</t>
  </si>
  <si>
    <t>Tomas, Juan</t>
  </si>
  <si>
    <t>Juan Tomas</t>
  </si>
  <si>
    <t>…de granaderos ¿ los de fusi leros D.^ Miguel Román, D. Francisco Josef Miura y D. JoSef Céspedes: ¿ subtenientes de fusileros á los de bandera D. Antonio Saez, D» Franciscó Caro, D. Juan Tomas de la Torre y D. Josef Rivas: á subtenientes de ban dera ¿ los cadetes D. Josef María Arroyo, D. Pedro Safazar, D. Diego Li atón, y kl sargento primero de granaderos D. Serafín Adrián. En consideración al mérito contraído en la Florida Oriental en las últi ma…</t>
  </si>
  <si>
    <t>…reino de Navarra, que por Octubre de 1808 se trasladaron desde Valencia de Alcántara i la corte de Madrid, siguiendo en su empleo de contralor en hospitales militares el expresado D. Juan Tomas, quien llevaba en su compañía al citado D. Silvestre su hijo, desde cuya época nada se ha sabido de ninguno de los dos, y el que suple-, se de sus existencias ó fallecimientos se servirá avisarlo en Madrid á D. Salvador Tusál, calle de Milaneses, núm. 10; en…</t>
  </si>
  <si>
    <t>Tomas, S.</t>
  </si>
  <si>
    <t>S. Tomas</t>
  </si>
  <si>
    <t>…ía , todas sus tentativas fueron rechazadas del modo mas firme. En este encuentro se distinguieron sumamente S. A. R. el prípeipe de Orange ,, el duque de. Brunswick, el. teniente general S. Tomas ricton, el general S. James Kempt y S. Dionisio Pack, que se empeñaron eri la acción desde el principio del ataque del enemigo-, Como también el teniente general Carlos barón Alten, el mayor general S. C. Halket, el teniente ge neral Cooke y los mayores gener…</t>
  </si>
  <si>
    <t>Tomes, Vicente</t>
  </si>
  <si>
    <t>Vicente Tomes</t>
  </si>
  <si>
    <t>…. Fabian de Lastra, 0. Ricardo Rey roso, Don Víctor Cabeza de Vaca, D. Casimiro Salcedo, y D. Miguel González, del de Voluntarios de Avila; D. Francisco Herranz ,'D. Angel Díaz, y Don Vicente Tomes, del Provincial de Segovia; D. Pedro NuñeZ;, D. Manuel Calderón, D. Matías Frade, D.Francisco Antonio Ledesmá, y LF. Andrés .Muñoz, del primer Batallón de Ciudad-Rodrigo; D. Miguel Retámar, Don Juan Atienza, D. Isidoro Caballero* 0. Julián Avilé*, D¿! Juan Ma…</t>
  </si>
  <si>
    <t>Tommassich</t>
  </si>
  <si>
    <t>•X El duque de Saxonia-Weimar ha tomado el título dé gran duque. S. M. I. ha hombrado al barón Tommassich para gobernador civil y militarlde Dalraacia, Ragusay Albania. ■ GRAN BRETAÑA. Londres 79 de Abril. Continuación de Jas notas al informe que dtó el consejo de Estado de Francia sobre la declaración que firmaron eti Vitna tos Soberanos alia dos el ij de Marzo…</t>
  </si>
  <si>
    <t>Topete, Francisco</t>
  </si>
  <si>
    <t>Francisco Topete</t>
  </si>
  <si>
    <t>…f Renau, del segundo Batallón de idem;á D. Joaquín Rodríguez, 0. Vicente González , D. Fabian de Saave4xa, D. Casimiro Vinuesa, y D. Santiago Gómez, del tercer Batallón de ídem; á D. Francisco Topete y D. Juan de Acuña , Ayudantes de dicha plaza ; á D. Juan Galeas , agre gado al Estado Mayor de la misma', y á D. Josef Bérmudez, del Batallón de Urbanos : al grado de Teniente á los Subtenientes D. Josef Ramírez y D. Gaspar Reyna, del Real Cuerpo de Artir!ería ; D. Agustín Vic…</t>
  </si>
  <si>
    <t>•Y-: - ■ ' /' - 1 . L 62^ _ • nip de Lema, D. Jijan Vigodet, Dv Josef Ruiz dé Apodápa* D. Francisco Topete, D, Bonifacio de Tosta, D. Gabriel Olivar, D. Miguel Díaz,,D. An tonio Qiiintario," D. Manuel Pardo’, D. Antonio Valcárcel, D. Francisco Cartillo, D. Eligió Croquer, D. Manuel Balay, D. Juan Godoy , D. Manuel Gutiérrez Gaviedes, D. Francisco Quiroga, D. Tomas…</t>
  </si>
  <si>
    <t>Tor</t>
  </si>
  <si>
    <t>…á sociedad,Ja que por su parte tam bién remuneró el mérito particular de otros dos niños con un vestido como los anteriores al uno y al otro con el escudo y el.arte de escribir de D. Tor— quato Torio, distribuyendo también 400 rs. entre los 12 jóvenes de ambos sexosíque'lograron el accessit. r v ,r : . Concluido éste acto , ¡ qúe causó Jen todos los espectadores ; la mas viva emoción, léyó el segundó director de láisóciedad D. Fernando Osório…</t>
  </si>
  <si>
    <t>Tor, Antonio</t>
  </si>
  <si>
    <t>Antonio Tor</t>
  </si>
  <si>
    <t>…Badajoz» vacante por muerte de D. Francisco Herme negildo Corchado, á D. Francisco Martin Escudero: para otro beneficio de Adanero, en la diócesis de Avila, vacante por muerte de D. Antonio Tor res, á D. Julián de la Peña: para otro beneficio simple de Santa María de Atienza de ia ciudad de Huete, en el obispado de Cuenca, vacante por di misión de D. Francisco Fernandez, í D. Isidoro Salazar, con retención del de Adamuz en la diócesis de.Córdoba; y…</t>
  </si>
  <si>
    <t>Torices, Josef Bravo y</t>
  </si>
  <si>
    <t>Josef Bravo y Torices</t>
  </si>
  <si>
    <t>…eclesiástico secular, prelados de la&amp; religiones, las personas de mayor distinción y 1 otras diversas de eorpoira— ciones y gremios, presididos todos por su ilustre ayuntamiento. D. Josef Bravo y Torices abrió el acto con un sucinto y elegante discurso. Siguióse otro del dbcípulo D. Josef Zarzuela , de edad de siete años , quien se produjo con el mayor orden y claridad; y en seguida por su orden se fueron presen tando, los niños á la doctrina cristiana desde…</t>
  </si>
  <si>
    <t>Torices, Pedro Rodríguez</t>
  </si>
  <si>
    <t>Pedro Rodríguez Torices</t>
  </si>
  <si>
    <t>…do acordado el ayuntamiento proceder á la provisión de dicha plaza, se anuncia al público para que los pretendientes puedan dirigirle sus memo riales con sobre al escribano de él D. Pedro Rodríguez Torices hasta el dia 10 de Enero del año próximo. ' En la villa de S. Vicente de la Sosierra, provincia de la Rioja, se halla vacan te el magisterio de primera educación: su dotación son 500 ducados, pagados mensualmente. Los pretendientes han de tener título de S.^C…</t>
  </si>
  <si>
    <t>Toro, Andrés</t>
  </si>
  <si>
    <t>Andrés Toro</t>
  </si>
  <si>
    <t>…Fernandez de Castró: para Otra canongía, que resulta ^ácánté en ia catedral de Avila por promoción de D. Joaquín Ferraz y Cortiél á otra de la iglesia metropolitana de Valencia, á D. Andrés Toro é Iriiárri, cura párroco de Foncastin, vicaría de Medina del Campo: para otrá canongía, vacante en la iglesia metropolitana de Sevilla por promoción de 15. Juan Acisclo de Vera y Delgado, arzobispo de Laodicea, al obispado de Cádiz, D. Francisco de Sales Rodr…</t>
  </si>
  <si>
    <t>Toro, Eustaquio Martínez de</t>
  </si>
  <si>
    <t>Eustaquio Martínez de Toro</t>
  </si>
  <si>
    <t>…de las Canarias, a D. Josef Antonio Morales Calvo. En elcOrrégíínjento de Moya á D. Juan Ignacio Gavaldon Tendero hasta que concluya «u sexenio; y ha confirmado en el de Agreda á D. Eustaquio Martínez de Toro. En la vari de alcalde mayor de Valdepeñas ¿ D, Juan Víctor Lotente para que la sirf va hasta que cumpla su sexenio: en la de la Nava del! Rey á D. Juan Amó* nio Bernal hasta que cumpla el suyo: en la de .Odiar de Baza a D. CárloS Co va rubias hasta que cumpl…</t>
  </si>
  <si>
    <t>Toro, Manuel</t>
  </si>
  <si>
    <t>Manuel Toro</t>
  </si>
  <si>
    <t>…Carmqna, p. Josef Montes y Flores,;!). Pedro Bringas, D^ Bartolomé Amat, Don Mariano Albo, J). Salvador Mamullares , D. Antonio Lasauca, D. Pablo ipacdgalupi , D. Domingo Ranee! y D. Manuel Toro: grados de capitanes á los tenientes D. Josef Fernandez de Apero, D. Vicente Herrera y D. Lufs Garcíay. grados de tenientes; á los subtenientes D. Pedro* Pirez &gt; D.-Manuel Angusaao y D/ Francisco Luqub (- ** (Se continuara.) &gt; ■■ s t. i ■' i. O '*■ ■ *V i i *…</t>
  </si>
  <si>
    <t>Toro, María Teresa</t>
  </si>
  <si>
    <t>María Teresa Toro</t>
  </si>
  <si>
    <t>…ones á una de las huérfanas de los militares ó patriotas que hubieren muerto en defensa de la justa causa de la nación, ha cabido en suerte del primer estracto de la de este día á Doña María Teresa Toro, hija del teniente coronel D. Francisco, muerto en el campo del honor. La estraccion siguiente se egecutará el 17 de Julio próximo. ARTICULO DE OFICIO. * El Rey nuestro Señor se ha servido espedir el decreto siguiente: ,,Para que en el caso de que las actuale…</t>
  </si>
  <si>
    <t>Toroneíl, Pedro</t>
  </si>
  <si>
    <t>Pedro Toroneíl</t>
  </si>
  <si>
    <t>…propia cate dral á D. Josef Antonio Díaz Pallarás, canónigo de la colegiata de Iría Flavia. = La canongía vacante en la iglesia catedral de Gerona por muerte de D. Jo sef Viñas á D. Pedro Toroneíl, capellán párroco del fuerte del Condestable en dicha ciudad: otra canongía de la misma iglesia , vacante por muerte de D. Juan Manegat, á D. Domingo Cassiot, director del hospicio de la espresada ciudad de Gerona: otra canongía que vacó por fallecimiento de…</t>
  </si>
  <si>
    <t>Torrado, Bartolomé</t>
  </si>
  <si>
    <t>Bartolomé Torrado</t>
  </si>
  <si>
    <t>…l supremo consejo dé las Ordenes, y pre sidente de dicha comisión: ét ¿fue quiera enterarse dél espediente del primer remate, plan de condiciones, y hacer alguna mejora, acudirá a D. Bartolomé Torrado, Secretario dé dicha junta, que Vivé calle del: Carmen, núm. 4. Por ef árrendamiéntó de los frutos y rentas de ía encomienda vacante de-, Portomarih, en Galicia, perteneciente á dicha orden de S. Juan, están dan-, do 160© rs. en cada año de los tres por que h…</t>
  </si>
  <si>
    <t>Torre, Manuel de</t>
  </si>
  <si>
    <t>Manuel de Torre</t>
  </si>
  <si>
    <t>…1815.= YO EL REY.= Yo D. Juan Ignacio de Ayestarán, Secretario del Rey nuestro Señor, lo hice escribir por su mandado. = El Duque dei Infantado. = D. Miguel Al fonso Vilagómez. = D. Manuel de Torre$.= D Juan Antonio González Car rillo. = D. Tadeo Gómez. =r Registrada, Aquilino Escudero. =s Teniente de Canciller mayor, Aquilino Escudero. El Rey nuestro Señor se ha servido expedir con fecha de 25 del cor riente el decreto que sigue : ,, Habiendo visto con…</t>
  </si>
  <si>
    <t>Torregrosa, Antonio</t>
  </si>
  <si>
    <t>Antonio Torregrosa</t>
  </si>
  <si>
    <t>…r* Manejo mecánico,de un regimiento de infantería dividido en quatro, partes: pri mera; de compañía; segunda, dé mayoría; tercera, cuenta de caxa, y quarta, de . habilitado :• por D. Antonio Torregrosa ,* primer ayudante del batallón de infintería-ligera de cazadores extrangéros, y aprobado por el Excmo. Sr. capitán general D. Francisco Xavier Castaños : ún tomó en 4.0 Véndese en la librería' de Calleja, " caáled^las.Carretas,¿áaars. eitrfotifa. ; &gt; ■ f Exp…</t>
  </si>
  <si>
    <t>Torrens</t>
  </si>
  <si>
    <t>f02 Ha» venido ya de Brusélas eí lord Harrowby, Mr. Wellesley Pole y el general Torrens, habiendo desempeñado la comisión que se les había encar gado desempeñar con el duque de Wellington, sobre la conducta que debe seguirse en la guerra actual. El 2$ de Marzo se firmó el nuevo tratado de alianza entre Austria, Ru sia , Prusia y la Gran Bretaña…</t>
  </si>
  <si>
    <t>Torres, Bartolomé Muñoz de</t>
  </si>
  <si>
    <t>Bartolomé Muñoz de Torres</t>
  </si>
  <si>
    <t>…os corresponda, sin contrave nirlas, permitir ni dar lugar á que se contravengan en manera alguna: que asi es m! voluntad; y que al traslado impreso de esta mi Cédula, firmado de D. Bartolomé Muñoz de Torres, mi Secretario, Escribano de Cámara mas antiguo, y de Gobierno del mi Consejó , se le dé la misma fe y crédito que á su original. Dada en Palacio á 18 de Marzo de 1815.= YO EL REY.= Yo D. Juan Ignacio de Ayestarán, Secretario del Rey nuestro Señor, lo hice es…</t>
  </si>
  <si>
    <t>Torres, Domingo</t>
  </si>
  <si>
    <t>Domingo Torres</t>
  </si>
  <si>
    <t>…dé Dólagaráy, subteniente del batallón de vo luntarios de Madrid, qtie esistia en Montevideo. Igualmente ha concedido S. M. hóriióres de intendentes de egército á ios de provincia D. Domingo Torres y D. Josef Gómez Liaño, y de comisario ordenador á D. Francisco Gimeiiez; de Saavedra, ministro contador dé las caReales de la Puebla de los Ángeles en Nueva-España, y ha nombrado Í’as dedicador Real' al P. Fr. Cirilo Alameda, del orden de S. Francisco. Honores del Real y suprémo c…</t>
  </si>
  <si>
    <t>Torres, Hilario</t>
  </si>
  <si>
    <t>Hilario Torres</t>
  </si>
  <si>
    <t>…ediata protección el estudio de clínica central de esta corte creado en 1795, S. M. haya nombrado ya para una de las cátedras que había vacantes en él al médico de su Real familia D. Hilario Torres, sugeto harto conocido por su vasta erudición, talento y mérito singular. La junta directora del;establecimiento de medicina práctica, en confor midad de las piadosas y expresas intenciones de S. M., ha determinado se dé quanto antes principio á la enseñanza…</t>
  </si>
  <si>
    <t>…s dias 6 y 7 de Marzo; leyendo en el primero de estos á las 10 de la ma ñana una oración inaugural en castellano, como previene la ordenanza del estudio, el catedrático de clínica D. Hilario Torres, y en el dia 7 de la mis ma hora otra el catedrático de química-médica D. Higinio Lorenté, aun que ambos discursos serán sobre asuntos diversos, y análogos á las asigna turas que tienen cada uno de los citados maestros. Con arregio á las ordenanzas insertas e…</t>
  </si>
  <si>
    <t>…próximo, Leerá en público aquel día á las i o de la magaña ’orácjon inaugural ^c,ül,ta.tiva: que previenen las oráenañza.s :de la escuela de Clínica, el primer catedrático de esta D. Hilario Torres, médico de cámara de número ae S. M. &amp;e.«_,La Real junta superior gubernativa de Medici na, directora por el Rey nuestro Señor del enunciado establecimiento , pre^ viene, en conformidad al reglamento inserto en la cédula de S. M. de 23 de. Noviembre de 1795,…</t>
  </si>
  <si>
    <t>…Jáuregui, su primer medico y director del establecimiento, di jo *una ¿sucinta arenga, acomodada de pronto á las circunstancias; y en se guida pronunció el catedrático mas antiguo D. Hilario Torres , médico de cá mara ae número de S. M., una oración inaugural en idioma latino. La benignaiátencion y.gusto con que S. M. se dignó escuchar estas dos produccio nes; las penetrantes miradas con que recorría todo el recinto del anfiteatro en ademan de considera…</t>
  </si>
  <si>
    <t>Torres, Jacinto Marzo y</t>
  </si>
  <si>
    <t>Jacinto Marzo y Torres</t>
  </si>
  <si>
    <t>…a D. Mariano Ruiz Loren zo , é igualmente ha prorogado en el corregimiento de la ciudad de Barbastro por un sexenio á D. Andrés Santolario. Asimismo se ha servido S. M. nombrar á D. Jacinto Marzo y Torres pa ra la vara de alcalde mayor de la villa de Mbmblanch: para la de la ciudad de Balaguer á D. Agustín Velasco Calleja: para la de la villa de Callosa de Segura á D. Vicente Diez Ruesgas: para la de Lombay á D. Manuel Polar y Clemente: para la de Bicon y Ques…</t>
  </si>
  <si>
    <t>Torres, Juan Bautista-</t>
  </si>
  <si>
    <t>Juan Bautista- Torres</t>
  </si>
  <si>
    <t>…sia colegiaL de Junquera deAmbia, dió cesis de Orense , que.resaltará v.icante.por promocíon de D. Josef Moure al arcedianato de Limia dignidad/de laiiglesia catedral de Orense, á D. Juan Bautista- Torres: para unajracioiii.de la- igiesia colegial de la ciudad de Al fa ro, diócesis,dé Tarazona, vacante 1 por promoción de D. Tomas María Ma yor á una canongía de la misma'colegial, á D. Manuel María Gervasio Se gura, clérigo de prima y cantor de la misma iglesia.…</t>
  </si>
  <si>
    <t>Torres, Manuel de</t>
  </si>
  <si>
    <t>Manuel de Torres</t>
  </si>
  <si>
    <t>…es próximo pasado la honra de presentarse á cumplimentar áLS. M. por su7 fe liz regreso al trono el Excmo. Sr. D. Juan Perez Villamil , del consejo de Estado de S. M., y los Sres. D. Manuel de Torres y D. Manuel Mendez ■ ■ , de Vigoi arengándole en los términos siguientes: ■! &amp; Señor: entre los tributos de respeto, fidelidad y amor ofrecidos á V; M/ por?las clases y gremios del estado, .presentan! hoy el. de I3 universidad de Oviedo tres hijos suyos, á quienes esta ilustré…</t>
  </si>
  <si>
    <t>…EL REY. = Yo Don Juan Ignacio de Ayestarán, Secretario del Rey nuestro Señor, la hice escri bir por su mandado.=rEl Duque del Infantado. = D. Tadeo Gómez. = Don Francisco Marín. =±D. Manuel de Torres. = D. Ramón López P¿legrin. = Re gistradas Aquilino Escudero.—Teniente de Canciller mayor, Aquilino Es cudero. En virtud de providencia del Sr. D. León de la Cámara Cano, dei consejo de S. "M., teniente primero de corregidor efe esta heroica villa , refrendad…</t>
  </si>
  <si>
    <t>Torres, Miguel de</t>
  </si>
  <si>
    <t>Miguel de Torres</t>
  </si>
  <si>
    <t>…. Ignacio de Mora,;D.i Juan .Martin, D. Miguel Labiaga, D. Josef Mendicuti, D. Francisco de Mena, D. Nicolás Landazuri, D. Manuel Sayago, D. Jldefonso Nieto, D. Cristóbal Giménez, D. Miguel de Torres, D. R.afael Sánchez Sáravia, D. Ramón Polo, D. Miguel Linares, D. Juan Larrua , D. .Tomas Montero ,'D. Antonio Enfy, D. Josef Aguilar, D.” Juan de DiosVaidivia,D. Lázaro Caballero ,D. Antonio Floran, D.'Manuel García SegóVia,D. AntonioCarly , D. Mariano Baeza…</t>
  </si>
  <si>
    <t>Torres, Salvador Fernandez y</t>
  </si>
  <si>
    <t>Salvador Fernandez y Torres</t>
  </si>
  <si>
    <t>…ques de Albo. También se ha servido nombrar S. M. para ,1a plaza de alcalde del cri men de la chancillería de Granada, vacante por premoción de D. Andrés Subiza á oidor de ella, á D. Salvador Fernandez y Torres. Habiéndose dignado el Rey nuestro Señor admitir los donativos que han hecho D. Manuel Alonso Martin, vicario del monasterio de S. Andrés del Arroyo, en la provincia de Palercia, de 2500 rs. vn., única cantidad que há podido rescatar de la rapacidad de las tr…</t>
  </si>
  <si>
    <t>Torres, Sebastian de</t>
  </si>
  <si>
    <t>Sebastian de Torres</t>
  </si>
  <si>
    <t>127 íEI.Rey íen jceoipneración í|e los. distinguidos servicios en la carrera de la toga del ministro del consejo Real D. Sebastian de Torres t se ha dignado nombrarle para.naa_ .plazaLiíei .coj|sejaJfÍ£. la._cámara de Castilla; teniendo taq$y;eij en^onsideijadpn haber, obtengo fy servido Ia misma plaza con acep tado?, y^or* largo'en virtud de pombra miento de la Junta central, . Halándose jíI R.ex…</t>
  </si>
  <si>
    <t>…alacio á 19 de Febrero de 1815 . == YO EL REY.sr Yo D. Juan Ig nacio 'de Ayeitaráu, Secretario!del Rey nuestro Señorito hice escribir por Sii mándado. ¿s El Dú^ue del InfántadO.!= D. Sebastian de Torres. = D. Mi?guel ‘Alfonso Villagomez. =±D. Gerónimo* Antonio Diez; == D. Tadeo Go*mez. = Registrada, Aquilino Escudero. = Teniente de Canciller mayor¿ Aqui lino Escudero. / ¡7 El Rey, se ha servido nombrar para úna ración , vacante en la iglesia me. t ropel i ta…</t>
  </si>
  <si>
    <t>…•, i Los comisionados para hacer el. pago mandado egecutar de orden del Con sejo Real á los acreedores á la comisión de vestuario y armamento que en 1808 estuvo á cargo del limo. Sr. D. Sebastian de Torres , llaman por el pre sente á todos los que tengan derecho á dicho pago para que acudan á mani festar sus documentos en el término de 30 dias fijos, contados desde esta fe cha, á D. Francisco López Olavanxeta, en la casa rinconada junto ai arco de S. Guiescuart…</t>
  </si>
  <si>
    <t>Torres, Vicente</t>
  </si>
  <si>
    <t>Vicente Torres</t>
  </si>
  <si>
    <t>…ual de los Cobos* Don Leonardo Zaballa , D. Juan Ilzalbe, D. Ventura Correjes, D. Agustín Gar cía , D. Pedro Menor, D. Rafael Santiago; D. Ramón Franc, D. Juan de la Cruz de Tena, D. Vicente Torres* D. Gaspar .Fernandez Bobadilla, D. Pe dro Ramos , D. Pedro del Castillo, 0. Anafes García, D. Manuel Govantes, D. Juan Esdovar, D. Cayetano Salcedo, Dw Andrés Nieto.-, B; Manuel Nifo, D. Juan Ltiis&gt; Astraudi yB* Martin dé lbs¡filenos ,D¿ Gabriel: fescolar, D…</t>
  </si>
  <si>
    <t>TorreV, Salvador Antonio Fernandez y</t>
  </si>
  <si>
    <t>Salvador Antonio Fernandez y TorreV</t>
  </si>
  <si>
    <t>. .. £¥» Hería dé Granada á D. Francisco'Fe rhatidez del Pino j D. Antonio de f« Parra y D. Joaquín Lorenzo Mózq; y para alcaldé del;crimen dé la misfma?á D. Salvador Antonio Fernandez y TorreV: pára Oidores; de la áudieñ. ciá de Sevilla á D . Josef Miér, D. Pédro Simo y D: Francisco Ola va rrieta ; y pará alcaldes de la qnadra de 'éUa’á ■ D. josef Santa 1 María, Don Eugenio de Larrumbide y- D. Manuel "Victoriano Moyaíios. Asimismo' ha conferido el…</t>
  </si>
  <si>
    <t>Torrontegui, Félix</t>
  </si>
  <si>
    <t>Félix Torrontegui</t>
  </si>
  <si>
    <t>…ñb ,30. Luis Boisgroller, D. Jacin to Marcayda, D. Rufino Torrótitegui y D." Josef García Campero, D.* Pedro Montuel, D. Joaquín Moyua, D. Manuel Salaberria, &gt;D. Eugenio Vizcaíno, D. Félix Torrontegui, D. Luis de ios Riosy1Ü&gt;.: Vicente Sáavedrá, D. Migue! Montemayor, D. Martin Mendoza, D. Julián Henriquez, D. Josef'dél' Rio Eligió, D; Juan jósef Giiidoy D/ BenitodelaRigádtf &amp; Miguel Lizarza, D. Tgnacio Glaetay D/Francispo de Zayasy-D. ;juanrMiyáres ¿ jD.&gt;A…</t>
  </si>
  <si>
    <t>Tosantos, Bonifacio</t>
  </si>
  <si>
    <t>Bonifacio Tosantos</t>
  </si>
  <si>
    <t>…año , á D. Bernar do Alarcon, capellán de la Real capilla denominada de Reyes nuevos de To* ledo ; la canongía que vacó en la misma iglesia por muerte de D. Pablo Re cio y Tello á D. Bonifacio Tosantos, lectoral cíe la de Sto. Domingo de la Calzada; la capellanía Real que resulta vacante por promoción de D. Ber nardo Alarcon á D. Columbano de Poz y Gal indo, cura de la parroquial de S. Lorenzo de esta corte, y otra capellanía de la espresada Real capilla, v…</t>
  </si>
  <si>
    <t>ToTli, Bardai de</t>
  </si>
  <si>
    <t>Bardai de ToTli</t>
  </si>
  <si>
    <t>El feld-mariscal conde Bardai de ToTli y el general conde Platoff en contraron al Emperador en Vick. El cuartel general * con las divisiones rusas, pasará el Mosela j&gt;or debajo de Toul, donde Iiay un vado , y el Mosa en Fagrti, y avanzara á Uvid. Tengo la honra de incluir una relación de la ocupac…</t>
  </si>
  <si>
    <t>Tournel, Cesar</t>
  </si>
  <si>
    <t>Cesar Tournel</t>
  </si>
  <si>
    <t>…ez Campillo, D. Juan Villapaderna, D. Juan Manuel Mancebo, D. Francis co Diez Sopeña, D. Josef Provedo, del de Voluntarios del Ribero; Don Gerónimo Roxo, del de Cazadores del Rey; D. Cesar Tournel, d¿l Real Cuerpo de Artillería , y D. Gerónimo Alvarez , del de Húsares extinguidos de León: de Teniente á D. Felipe Castro, D. Ramón Cespon, D. Jacinto Arteaga y D. Bernardo de Castro, del Provincial de Santiago; D. Jacobo Pardo y D. Josef Boltorna, del de T…</t>
  </si>
  <si>
    <t>TouX, Juan de</t>
  </si>
  <si>
    <t>Juan de TouX</t>
  </si>
  <si>
    <t>…de la religión y del trono el presbítero D. Juan de Ta pia, ha venido S. M. en nombrarle para el beneficio «imple de Cespon, en arzobispo de Santiago, vacante por fallecimiento de D. Juan de TouX &gt; aebiendo;.pesar p{6r ésta gracia la pensión dé\i5® rs. que» le concedió sobre las rentas dé la mitra de Segovia : para una capellanía, vH cante en la Real capilla de Granada por muerte de D. Pedro Josef Victo ria, a D. Francisco Nunez, capellán del colegio…</t>
  </si>
  <si>
    <t>Tovar, Josef</t>
  </si>
  <si>
    <t>Josef Tovar</t>
  </si>
  <si>
    <t>…n Solera v D. Juan Manuel Pro i D: Nieblas LlondeÜá i ’D. ¡Juan: PeA: rez , D; Ca"rlos ÍMariri ,f D. 'Aquiíinb Otolá ,(D&gt;í Josef Sálas-, ©. Antonio Bolu* fer, D. Cipriano Castro ; D. Josef Tovar y D. Josef González , Di Josef de : los Reyes y D. Joséf Sálazar, D. Pedro Briones, D. Félix Carrasco, D. Fran cisco Puerto, D. Florentino Herreros, D. Antonio del Hoyo, D. Cristóbal ‘ Moreno, D. Antonio Mercádo, D. Manuel Castilla , D. Miguel Campanon,' D. Josef Patricio Castro…</t>
  </si>
  <si>
    <t>Tovar, Manuel de</t>
  </si>
  <si>
    <t>Manuel de Tovar</t>
  </si>
  <si>
    <t>I2Í7 y 96bS~rs. de ¡uros. D. Manuel Suarez Bustamante 6® rs. en réditos de va les. D. Manuel de Tovar, alférez de caballería, 1410 rs. de sueldos venddós. D. Josef Montano, capitán retirado, los sueldos que ha dejado de percibir desde el año de 1808 hasta el dé 1812. D. Vicente Modrego y Morales la mitad de su sueldo de secretario del ayuntamiento de la ciuda…</t>
  </si>
  <si>
    <t>Toxo, Antonio</t>
  </si>
  <si>
    <t>Antonio Toxo</t>
  </si>
  <si>
    <t>…Benisia, de la escuela militar de Santiago; D. Francisco Julia, de Cazadores Extrangeros, y D. Pablo Puente, del Real Cuerpo de Artillería: grado de Capitán á D. Antonio Salazar, D. Antonio Toxo, Don Xavier Pimentel y D. Ramón Osores, del Provincial de Santiago; D. Ber nardo Becerra, del de Betanzos; D. Joaquín López Varela, D. Antonio Guerrero, D. Josef Guerrero, D. Juan de Castro, D. Juan López, Don Pedro Santistéban y D. Josef Novoa, del de Lugo;…</t>
  </si>
  <si>
    <t>Tpara, Melchor Díaz Valcárciel</t>
  </si>
  <si>
    <t>Melchor Díaz Valcárciel Tpara</t>
  </si>
  <si>
    <t>534 D. Josef María Yanguas: para la de alcalde mayor teniente tercero de asís* tente dé la misma ciudad á D. Gaspar Armengol: pará lajdeT alcalde mayor de Viilafranca del Vierzo á D. Melchor Díaz Valcárciel Tpara la de Agui*? lar de Cimpoo á D. Pedro de Tagle Velarde; y para el corregimiento de Lerma á D. Isidro Balseyro. D. Antonio Alvarez Youtes, cura propio de la paroquial de Pascualgrande^ obispado de Avila, desea saber el paradero de Pedro Martin Gutiérrez, que f…</t>
  </si>
  <si>
    <t>Trapero, Tiburciq Fernandez</t>
  </si>
  <si>
    <t>Tiburciq Fernandez Trapero</t>
  </si>
  <si>
    <t>…spañola, inglesa y francesa, y en elbordado, con las demas labores, pertenecientes á su sexo y condición, dirigiendo sus memorialeshasta últimos de Setiembre^próxi mo por medio de D. Tiburciq Fernandez Trapero,, notario de dicho hospital, que los hará presentes á los señores patronos, y;será agraciada la mas benemérita en 15 de Octubre siguiente. Se desea saber el paradero de Pascual Gilabert, sargento del regimiento drago nes de Numancia, de Josef Gárcía,sargéntó…</t>
  </si>
  <si>
    <t>Trauenzien</t>
  </si>
  <si>
    <t>…tres. El primer cuerpo del egército^ prusiano mandado por el general Zíethen, que guarnecía á París, ha salido para la Nórmandía. El sesto cuer po de este egército, mandado por el general Trauenzien , ha llegado al depar tamento del Norte. El mariscal Jourdan hizo proclamar el 19 en Besanzon el restableci miento de la autoridad Real3 é inmediatamente toda la guarnición se puso la escarapela blanca. Han llegado á Autun 10$ austríacos, parte del egército d…</t>
  </si>
  <si>
    <t>Travássos, Antonio de Araujo</t>
  </si>
  <si>
    <t>Antonio de Araujo Travássos</t>
  </si>
  <si>
    <t>…on Henrique en ia Palestina en el año de 1103 , por el Sr. Francisco Ribeiro Dosguimaraes: 2.a sobre la destilación del aguardiente y construcción délos mejores aíambiques, por el Sr. Antonio de Araujo Travássos: 3.a sobre la perfección de los elementos de geometría,ordenados según los deBezout,por el Sr. Francisco Vilela Barboza; y 4.a la ^recapitulación histórica de los tra bajos del instituto de*la vacunación de la academia en su tercer año, por el Sr. Francisco M…</t>
  </si>
  <si>
    <t>Travesí, Josef María</t>
  </si>
  <si>
    <t>Josef María Travesí</t>
  </si>
  <si>
    <t>…d^Qbe^érflróicbn dbs piezas dé aítillería qíie mandaba el capitán Don Gaspar de Reina; todo á las Órdenes del"teniente coronel D. Pedro Zarzosa y dé sO •‘seguhdo el sargento mayor D. Josef María Travesí. jfReunrda toda la columna de la izquierda en el rancho deChililico, cin co lé^ía§rde Tulancingo y- ochó de Apan, el 24 al anochecer seguí la mar cha. Ariá misma hora sé reunió la columna de la derecha en Maeaquiahüa, cinéo r'íégu4s de Apan*, teniendo órdeh d…</t>
  </si>
  <si>
    <t>…setiem bre de 1814. = Anastasio Bustamaiite; = Sr. comandante general coronel Don Luis del Aguila.’* &lt; „ Consecuente á la orden de V. S. del 24, que recibí por el sargento ma yor D. Josef María Travesí, me puse en marcha á las nueve dé la noche des de, la hacienda de Mazaquiahua. Unida que me fue la división del sargentp mayor D. Josef Barradas, marché desde dicha hora en el mejor ordenya pesar de una cruda noche de frió, viento y agua, á las seis de la mañ…</t>
  </si>
  <si>
    <t>Travot</t>
  </si>
  <si>
    <t>…el valor de la • tropa , y porque el pueblo de Francia está decidido ya á atandonar el par-1-tidoede Napoleón;r — Hoy se ha recibido aquí la noticia de que el egército francés del general Travot ha tenido que capitular con los realistas de laVendee. • ESPAÑA. ' Madrid jp de Julio. '■ ¡ ■ ' .-■■■■ í.' ^ En el dia 30 de Junio próximo pasado-el Sermo* Sri Infante IXAntonió*</t>
  </si>
  <si>
    <t>…ticia de que Ios-realistas de la: Véndee habían conseguido iiriá gran jvictoría contra las tropas de&gt; Na^olebn r que &lt;*e")hhbian, apoderado de» 40. cañones , y hecho prisionero al general Travot , ¿comandante en gefe de í.las tropas de Napoleón.: . -■••■.«■hí?,- ;; . r Idem y de Julio. : ; Ha pasado pór $quLun ¿correo prusiano-procedente del cuartel general de los aliados , y bíi dicho^lque el geheiral] Rapp;:hizo el: aó.una salida dé Strásbutgo , en…</t>
  </si>
  <si>
    <t>Trelles, Nicolasa Antonia Méndez</t>
  </si>
  <si>
    <t>Nicolasa Antonia Méndez Trelles</t>
  </si>
  <si>
    <t>…o, de la imprenta Real á razón de 44 rs. para Madrid y de 60 para lá pénín-' sula, á rao rs. para Canarias, á 160 para la América, y en venta á 4 rs* Se desea saber el paradero de Doña Nicolasa Antonia Méndez Trelles, ó el de sus hijas Doña María Carmela y Doña María-Josefa Diaz, para, hacerlas entrega de* varios intereses que las pertenecen. La persona que sepa de ellas se sqrvtrá dar n&lt; tici% i Pedro Antonio Fernandez en la tienda de géneros ultramarinos,;calle de Alcal…</t>
  </si>
  <si>
    <t>Trespaiacios, Juan Antonio</t>
  </si>
  <si>
    <t>Juan Antonio Trespaiacios</t>
  </si>
  <si>
    <t>…el Real; de Villa, plazuela de Sta. Domingo, y de Novillo, calle de la Concepción Gerónima. Derecho público escrito en francas por Mr. Domit, y traducido al castellano por el Dr. D. Juan Antonio Trespaiacios, prebendado de ja santa iglesia de Cór doba. El mérito de este autor es tan conocido que no necesitamos recomendarlo: quatro tomos en 4.0 Se vende en las librerías de Brun, frente á las gradas de S. Fe lipe el Real, y de Llera , plazuela del Angel, á 60 rs. e…</t>
  </si>
  <si>
    <t>Treviño, Alvaro Pedro Maldonado y</t>
  </si>
  <si>
    <t>Alvaro Pedro Maldonado y Treviño</t>
  </si>
  <si>
    <t>…ado á V. para su inteligencia y gobierno. Dios guarde á V. muchos años. Madrid 30 de Noviembre de 1815. El tribunal de la Sta. Real y vieja hermandad de Ciudad-Real, y á su nombré D. Alvaro Pedro Maldonado y Treviño, maestrante de la Real de Rondan uno de l°s alcaldes de él , Lugarteniente del Sermo. Sr. Infante Don Carlos María, alcalde perpetuo y protector del mismo, acaba dé hacer a S. M. por el respetable conducto de S. A. R. el donativo dé 13600 rs. en metálico, y 3…</t>
  </si>
  <si>
    <t>Trigozo, Francisco Manuel</t>
  </si>
  <si>
    <t>Francisco Manuel Trigozo</t>
  </si>
  <si>
    <t>…según los deBezout,por el Sr. Francisco Vilela Barboza; y 4.a la ^recapitulación histórica de los tra bajos del instituto de*la vacunación de la academia en su tercer año, por el Sr. Francisco Manuel Trigozo. También se dió cuenta de las obras nueva mente publicadas, que fueron la i.a parte del tomo 4.0 de la historia y me morias de la Academia Real de las Ciencias; el tomo 5 .0 de las memorias eco nómicas, y- las tablas perpetuas astronómicas para usos de la nav…</t>
  </si>
  <si>
    <t>Trigueros, Juan Villa y</t>
  </si>
  <si>
    <t>Juan Villa y Trigueros</t>
  </si>
  <si>
    <t>…verde del Camino á D. Francisco de Paula Escudero: para la de OI vera á D. Antonio Manuel de Gamez y Lechuga: para la de Lezuza á D. Alfonso Josef de Soto: para la de Carvajales á D. Juan Villa y Trigueros: para la de Tiedra á D. Juan Padilla: para la de Gausin á D. Manuel Medi na y Giménez; yapara la primera de Granada á D. Manuel Alonso Her nández. - ■ ' &lt; ■ • •</t>
  </si>
  <si>
    <t>Trink</t>
  </si>
  <si>
    <t>…s se .hallan seis oficiales austríacos y cuatro piamonteses. . En virtud de la abdicación dé Bonaparte propusieron poCo después' los franceses un armisticio, y fue aceptado por el general Trink, conviniendo en ffixe él enemigo ocuparía á G regis ,Tournoz y Gilí, y los aliados á Conflans, VHospital y sus dependencias, y que cesarían las hostilidades por espacio de 4$ horas*. - - \\ ■'■'■•'V ; : Tonda la infantería y artillería del general la Tour, qu…</t>
  </si>
  <si>
    <t>Trip</t>
  </si>
  <si>
    <t>…o, y asi su muerte es una .grave pérdida para el servicia dé fe M. roí vi Si general Kruse, al servicio dé Nassau, se condujo también^ fiitiy á sa tisfacción mía; 3lo mismo que el general Trip, que mandaba la * brigada dé balíería pesada, y del general'jVanliope, comandante de la brigada de iáfantería del Rey de los Países-Bajos. -supí , ' s.*i :j v it-r ^Uos generales Pózzo di Bbrgo fbaron VmeéntqMuffiing y A lava estuvie ron en el campo durante l…</t>
  </si>
  <si>
    <t>Tristan, Francisco Xavier</t>
  </si>
  <si>
    <t>Francisco Xavier Tristan</t>
  </si>
  <si>
    <t>…la de Obanos, diócesis de Pamplona r y re tención de la capellanía de altar que sirve en dicha Real capilla: para otra de la iglesia catedral de Jaén, vacante por fallecimiento de D. Francisco Xavier Tristan, á Frey D. Josef Serafín de Lara, cura rector de la parro quial de Martos en el mismo obispado: para otra de la de Lugo * vacante por muerte de D. Miguel Uñarte, á D. Tomas Cuellar, medio-racionero dé la de Segovia: para otra canongía de la iglesia catedral d…</t>
  </si>
  <si>
    <t>Trota, Francisco</t>
  </si>
  <si>
    <t>Francisco Trota</t>
  </si>
  <si>
    <t>…cipio de hacer notoria" so administración de justicia, ha determinado que se publique la condena impuesta con acuerdo de uno de los señores sus asesores alcaldes de casa y corte á D. Francisco Trota, natural de esta corre, y vecino de Torrenueva en la Mancha, de resultas de la causa principiada en i$ de Abril último, y terminada en 27 del mismo, sobre el destino de contador de rentas Rea les, que sirvió en Infantes y su partido baxo los auspicios del gob…</t>
  </si>
  <si>
    <t>Trugillo, Francisco</t>
  </si>
  <si>
    <t>Francisco Trugillo</t>
  </si>
  <si>
    <t>…JosefSoler , D. Diego Delgado* D* Rafael Vargas, D. Josef Llanzo, Don Josfef Astraudi ,.D. Juan de Sotomáy or, D. Cayetano Perez Dávila, D. Ma nuel Drapie, D. Antonio Henriqiiez , D. Francisco Trugillo, D. Joaquín Huerta , D. Francisco de Paula Moreno, D. Mariano Millar, D. Juan Eira, D. Antonio Castaño, D. Josef Ferraz , D. Francisco Arroyo, D. Raimundo * Carbonell , D.'Rafael Amandi,D. Matías Cirer , D. Andrés Ramos, D. Jo sef Ibardó, H; Gabriel Calabaza…</t>
  </si>
  <si>
    <t>Trugillos, Juan Adan</t>
  </si>
  <si>
    <t>Juan Adan Trugillos</t>
  </si>
  <si>
    <t>…se Doña Máría ;de, la CpncepciqnGonzalezde -Avellaneda , cqndesa del Valle de S. Juan ,• de 28564 rs. y 32 mvs. vn. á que asciende el rédito_que se la de-*be de unas imposiciones: D. Juan Adan Trugillos,. alcalde mayor de la ciu dad de Caiatayud; dé 1® rs. vn.; y una persona^ que ha pedido se oculte sil nombre de 116200 rs. que alcanza de sus sueldos. Jmmm PufReal orden de;^dcMarz,0 ñlíiiiiGSedígíiüS.M. mandar que lasaos juntas de los montes píos del ministe…</t>
  </si>
  <si>
    <t>Trúpita, Josef</t>
  </si>
  <si>
    <t>Josef Trúpita</t>
  </si>
  <si>
    <t>…uan Hernández de Prado, ración ñero de la misma; y para una capellanía titulada de Reyes nuevos de To-&lt; ledo en la villa de Valdeolivas, diócesis de Cuenca, vacante por muerte den D. Josef Trúpita, á D. Antonio Martínez Viaña. El Rey se ha servido nombrar para el corregimiento de letras de la ciu dad de Borja á D. Pedro Martínez de Baños: para las dos alcaldías mayo res de ia ciud¿d de Valencia á D. Josef Fernandez Quevedo y D. Ignacio Guseme: para la…</t>
  </si>
  <si>
    <t>Truxillo, Ramón</t>
  </si>
  <si>
    <t>Ramón Truxillo</t>
  </si>
  <si>
    <t>…al aplicada á lá fisiología y á la medicina, por Francisco Xavier Bíchat, médico del hospital de Humanidad de París , y catedrático dé anatomía y fisiología , traducida por el-Dr. D. Ramón Truxillo . profesor dé cirugía , y médi co de número de los Reales hospitales General-y dé la Pasión de esta corte: to mo g.®, al qual seguirá en breve el 4.0, con el que concluye la obra. Se Hallará con los anteriores en las librerías de Quiroga, calle de las Carreta…</t>
  </si>
  <si>
    <t>Truyols, Ignacio</t>
  </si>
  <si>
    <t>Ignacio Truyols</t>
  </si>
  <si>
    <t>…, D. Fran cisco Puerto, D. Florentino Herreros, D. Antonio del Hoyo, D. Cristóbal ‘ Moreno, D. Antonio Mercádo, D. Manuel Castilla , D. Miguel Campanon,' D. Josef Patricio Castro, D. Ignacio Truyols, Ó. Josef Mateos, D. Ramón ‘Riotórt, D. Francisco Luis Jácome, D. Josef.Escovar;D.:Santos Leccea£ D. Bernardo Latorre, D. Joaquín de la Cámara, D; Josef HidalgoDon Tpmás Gutiérrez, D. Francisco de Paula Castro, D. Jorge Valderrábano, D. Josef María Palma, D.…</t>
  </si>
  <si>
    <t>Tucar, Jo.ef</t>
  </si>
  <si>
    <t>Jo.ef Tucar</t>
  </si>
  <si>
    <t>…el vireynato, capitán á D. Josef Valdés; Teniente de granaderos á D. Melchor Duran; idem de ca zadores á D. Ramón Lorente; idem de fusileros á D, Josef Salazar, D. Ra fael Galdia, D. Jo.ef Tucar, D. Juan Mijares, D. Tomas Agudo, Don Francisco Manuel Alvarez, D. Gregorio Baeza, D. Francisco La-Reguera y D. Vicente Aneses ; subtenientes de cazadores á D. Domingo Miranda y D. Juan Manuel Piedra, y subtenientes de fusileros á D. Juan de la Rosa, D. Juliá…</t>
  </si>
  <si>
    <t>Tuero, Francisco Alfonso de</t>
  </si>
  <si>
    <t>Francisco Alfonso de Tuero</t>
  </si>
  <si>
    <t>…e 203152 rs. 4 mrs. de vn., sin gravamen alguno mas que el de dos faroles; para cuyár subasta se han señalado 30 días, contados desde el i.° del cor riente mes de Setiembre por el'Sr. D. Francisco Alfonso de Tuero, del consejo de S. M., alcalde de su Real casa y corte, a quien ha sido cometida dicha Real facul tad. Quien quisiere hacer postura á eílá 4cuda ante el mlámo señor y escribanía de provincia de D. Valdomero Moraleda, que se admitirán siendo arregladas. ; : Se…</t>
  </si>
  <si>
    <t>…igencia de que pasado el citado término sin otra diligencia se procederá en los referidos autos á lo que corresponda según su calidad. _ , . En virtud de facultad Real cometida al Sr. D. Francisco Alfonso de Tuero, del consejo de S. M., alcalde de su Real casa y corte, se ha publicadÓpor termino de 30 dias úna casa, sita en esta corté y subida de los Angeles, señálada con cl^ nume ro 2,i correspondiente ai mayorazgo fundado por D. Pedro de Castro Neira ,‘que actualment…</t>
  </si>
  <si>
    <t>Tueros, Juan</t>
  </si>
  <si>
    <t>Juan Tueros</t>
  </si>
  <si>
    <t>…politana de Santiago, á D. Francisco de Zúñiga, cura vica rio de S. Vicente dé Mañufé: para el arciprestazgo de la Rioja, en el obispado de Calahorra, vacante por fallecimiento de D. Juan Tueros, á D¿ Ignacio María Salazar: para el benefició préstamo del lugar de Encinas^ obispado de Segovia , vacante por muerte denD. Josef Perez, á D/ Frau* cisco Antonio ’de Antuñano: párá los'beneficios de Fiñana y Hevia , qué han vacado en el obispado de Oviedo po…</t>
  </si>
  <si>
    <t>Tuertólas, Ramón de</t>
  </si>
  <si>
    <t>Ramón de Tuertólas</t>
  </si>
  <si>
    <t>…Aníbal Chela, D. Antonio Melgarejo, D. Miguel María Campero, D. Baltasar Belmohte, D. Manuel Mendoza, D. Manuel de Reina; D. Josef Navarro, D. Miguel Mauduit, D. Francisco Rico., D. Ramón de Tuertólas *D. Antonio Gállarza^ -D. Luis Campos, D. Josef Serón., I}. Isidoro Lacrbix, D. .. Rafael Luengo, D. Manuel Ortiz Villalon, D. Antonio López, D. Pascual de los Cobos* Don Leonardo Zaballa , D. Juan Ilzalbe, D. Ventura Correjes, D. Agustín Gar cía , D. Pedro M…</t>
  </si>
  <si>
    <t>Tulleken</t>
  </si>
  <si>
    <t>…la isla de Java, otra ál maridó del vice-almirante VanBraem, que va, á Curazao; y la tercera, compuesta de cinco fragatas, dos bergantines y cuatro goletas, mandadas por el contra-almirante Tulleken, que cruza en el-Mediterráneo para proteger él comercio holandés contra los insultos dé los corsarios berberiscos» GRAN BRETAÑA. Londres 1 i de Diciembre. En los periódicos de esta capital se ha publicado el siguiente documento oficial. Los infrascritos pleni…</t>
  </si>
  <si>
    <t>Turner</t>
  </si>
  <si>
    <t>…a capital la princesa de Gales; ; » : c Ayer dio audiencia S. A,. R- el Príncipe Regente al duque de .Orleans, al embaxador de Rusia, Eduque de -MÚntiróse y á otros personages. El general Turner ha marchado con, un encargo particular del Príncipe Régente para las potencias aliadas. 1 • El ioid Gombermere (*ir Stapleton Cotton) tiene ordende estar pron to á partir para mandar la caballeril en la Bélgica.</t>
  </si>
  <si>
    <t>Tusál, Salvador</t>
  </si>
  <si>
    <t>Salvador Tusál</t>
  </si>
  <si>
    <t>…a al citado D. Silvestre su hijo, desde cuya época nada se ha sabido de ninguno de los dos, y el que suple-, se de sus existencias ó fallecimientos se servirá avisarlo en Madrid á D. Salvador Tusál, calle de Milaneses, núm. 10; en Zaragoza á D. Fermín Erro, calle de San, Pablo, núm. 39; en Pamplona i D. Matías Iribarren, administrador del hospital. General; en Lumbier á Doña Lucía Blanco, ó al .párroco de la misma. Obras escogidas de 0. Francisco Que ve…</t>
  </si>
  <si>
    <t>Tyrwhitt, Tomas de</t>
  </si>
  <si>
    <t>Tomas de Tyrwhitt</t>
  </si>
  <si>
    <t>…conquesta del JEfCmo. Sjp. D. Henrique Wellesley, del ; caballero Jsác Heátdí Jarretera y rey de armas de la muy noble orden, y . primer, reyj de tarmas de? ios &gt; ingleses, &lt;y del caballero Tomas de Tyrwhitt, géillilÍóiiÍbte.'^'lÜgtérl4erdlk. varia tu^grade dicha.muy noble orden ; y recibido eljawto derquediRYY nuestro ¡Señor*estaba; ya en su Real 'cámara , seídirigióíá ella,(cón; árréglo á la instiuccion que£teniían detsu corte ,*en la forma ságpiente!ihi¿ n&amp;&lt;í…</t>
  </si>
  <si>
    <t>Ubach, Josef</t>
  </si>
  <si>
    <t>Josef Ubach</t>
  </si>
  <si>
    <t>En r. vio k; * nl¡ En Guadalajara. D. Joaquín Veladiez. * tJ« Toledo.......,.."-‘D:! 'Francisco Pérez! oh ?. • ' n Murcia..,....». D. Josef Ubach. " En Oviedo... '....... D. JuanPerez. 2í * Ciudad ^.Real.r D.MateoGasado y Romero. I 1 r • ■ : - i i4 .En Jaén..... .^.;..;i I&gt;^ Frane¿sGb^Lopíez Zavala. &gt; ■'! - i. *¡ " Q’.» EnSegovia.,...}.... Señores ■viuda deRamií*o y Mesa. ' En Cuenca........... D. Jose…</t>
  </si>
  <si>
    <t>Ubi, Manuel</t>
  </si>
  <si>
    <t>Manuel Ubi</t>
  </si>
  <si>
    <t>…tenientes, á los guardias D. Jiian Soto , D/Vicente Hore , D. Estéban Sarrie, D. Siiñpií Bañuelos , D. Juan de la Cruz González , D. Antonio Gárcía Prado, D/ Ju lián Villacampa y D. Manuel Ubi ría : grado de tenientes á los guardias Dori Juan Nepbmuceno Roldan, D. Laureano Melena, D. Josef Sandoval, t). An&gt; • tonio Megía, É). • Eugenio Ábergoza , D. Francisco Aguírre , D. Braulio Ro-í drigo, D. Manuel Medina , D: Josef Ria ño y D. Benito Coca. (Se…</t>
  </si>
  <si>
    <t>Udaeta, Antonio Pablo de</t>
  </si>
  <si>
    <t>Antonio Pablo de Udaeta</t>
  </si>
  <si>
    <t>…4Í2O9 i fívór de Doña Josefa del Rio y- Zarate, que debió presentarse para sd1 retiovacim¿ en Abril de 1809í obro idéin; núint. 4360.4 $: otro ,de 150 pesos núm.449458:/i Favor de D. Antonio Pablo de Udaeta, quedebió presentarse parasuTenovacíoh en Diciembre de 1808 : otro¡demonárh.. 258345/: ottP de 150 pososni»úfl!kra4 55to. á favor de.D. Juan Sintes, qué debió.presentirse,5a igual. tiempo,otrg ¡d,e 300 peses núm. 109619 i fa^or de Dj Manucl de Yela. fuyjO últ…</t>
  </si>
  <si>
    <t>Ufano, Alejandro</t>
  </si>
  <si>
    <t>Alejandro Ufano</t>
  </si>
  <si>
    <t>…cia de Goatemala; y la ración que vacó por fallecimiento de D. Melchor de Cuesta á D. Diego Martin Blan co : el beneficio servidero de la ciudad de Cazorla, que vacó por muerte de D. Alejandro Ufano, á D. Juan Gómez de la Torre: otro beneficio servide ro vacante en la parroquia de S. Pablo de Ubeda por muerte de D. Manuel Aguayo á D. Gaspar Montejano.=El beneficio simple servidero de S. Pedro de la villa de Moya, diócesis de Cuenca, vacante por promoción…</t>
  </si>
  <si>
    <t>Ugarte, Tomas</t>
  </si>
  <si>
    <t>Tomas Ugarte</t>
  </si>
  <si>
    <t>…de D. Juan Ser rano á D. Gavino Ramón Díaz.=rLa abadía de Castrogeriz, dignidad de la iglesia metropolitana de Burgos, vacante por fallecimiento de D. Dionisio Sainz Galinsoga, á D. Tomas Ugarte , canónigo de la catedral de Teruel, ss La dignidad cíe chantre que ha vacado en la catedral de. Cádiz por falleci miento de D. Nicolás de la Rosa y Chacón á D. Fernando Alba, cura del Sagrario de la misma iglesia. = La canongía de la catedral de Cuenca, vaca…</t>
  </si>
  <si>
    <t>Ulbers</t>
  </si>
  <si>
    <t>…en marchar á Francfort. Sin embargo, su ida no está tan próxima como algu nos lo creen en Viena. ALEMANIA. Brema 8 de Ma?'2o. El 6 del corriente á las io de la noche descubrid el doctor Ulbers un cometa nuevo entre las estrellas de la Mosca y del Perseo. A las io horas y 55 minutos de ha noche (tiempo medio) de aquel dia la ascensión del come ta era de 49 grados y 7 minutos, y la declinación septentrional de 32 gra dos y 7 minutos. Al dia siguiente…</t>
  </si>
  <si>
    <t>Uliarté, Manuel de</t>
  </si>
  <si>
    <t>Manuel de Uliarté</t>
  </si>
  <si>
    <t>…Micaela Andrés, que nació en Enero de 1758, el que hace algunos años pasó á las Américas espa ñolas. El que supiese de su existencia Ó fallecimiento se dignará avisar en Madrid i D. Manuel de Uliarté, del comercio, en la plaza Mayor, y en Daroca á D. Estékan Eznarcegá. El que sepa donde se halla D. Angel Casimiro Ruiz, natural de Aranda de Duero, y capitán de cazadores del regimiento de Cantabria, se servirá avisarlo en Madrid, á p. Manuel de Trasviña, de…</t>
  </si>
  <si>
    <t>Ulibarri, Segundo</t>
  </si>
  <si>
    <t>Segundo Ulibarri</t>
  </si>
  <si>
    <t>…onio García, D. Víctor Perez, D. Francisco Laborda, D. Antonio Echavarri, I). Josef Valcárcel 'yRosique, D. Josef Gómez Arteche , D. Joséf Gutiérrez, D. Josef B en i tez Cafrípou ,D. Segundo Ulibarri, D. Miguel Párraga, D- Juan Amonio Pereyra, D. Pablo Ortiga Samaniego, D. Joséf Valcárcel y Arias, D. Francisco Dugi y D. Manuel Fontiyerbs. " Es crecido el número de los capitanes, tenientes, subtenientes, sargentos primeros y cadetes'que 'por el mismo motiv…</t>
  </si>
  <si>
    <t>Ulloa, Ignacio María de Funes y</t>
  </si>
  <si>
    <t>Ignacio María de Funes y Ulloa</t>
  </si>
  <si>
    <t>…aquín María de Egui^uren: de Dos-Barrios á D. Jorge Ferrer: de Segura de la Sierra á D. Diego Crespo de León! de Porcuna á D. Josef Antonio de Oscoz y Recarte: de Totana y Aledo á D. Ignacio María de Funes y Ulloa; y para el corregimiento de Guadalcanal á D. Gaspar Armengol.</t>
  </si>
  <si>
    <t>Ulloa, Josef</t>
  </si>
  <si>
    <t>Josef Ulloa</t>
  </si>
  <si>
    <t>…tarios de León; D. Raymundo Provedo, D. Cipriano Alvarez, D. Mariano López y D. Andrés Garrido,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
  </si>
  <si>
    <t>Uñarte, Miguel</t>
  </si>
  <si>
    <t>Miguel Uñarte</t>
  </si>
  <si>
    <t>…ento de D. Francisco Xavier Tristan, á Frey D. Josef Serafín de Lara, cura rector de la parro quial de Martos en el mismo obispado: para otra de la de Lugo * vacante por muerte de D. Miguel Uñarte, á D. Tomas Cuellar, medio-racionero dé la de Segovia: para otra canongía de la iglesia catedral de Zamora, qne re sultará vacante por promoción de D. Juan de Vargas y Varaez á otra de la iglesia metropolitana de Granada, á D. Nicolás Colmenero: para otra ca-…</t>
  </si>
  <si>
    <t>Unzaca, Francisco de</t>
  </si>
  <si>
    <t>Francisco de Unzaca</t>
  </si>
  <si>
    <t>…público, y en las provincias á los comisionados siguientes: Mn Sevilla............ D. Nicolás Jorge de Arespacochaga. JEn Córdoba......... D. Rafael de Mentís. Mn Granada..... .. D. Francisco de Unzaca. JEn Badajoz.,»......D. Garlos Sebastian Malagamba» JEn Pldsencia.......D. Juan Campo y Oliva. Mn Valencia..... . D. Ramón Miralies. Mn Avila............. D. Manuel Palomares. JEn Guadalajara. D. Joaquín Veladiez. Mn Toledo D. Francisco Peréz.. ■ Mn Murcia...…</t>
  </si>
  <si>
    <t>Unzaga, Raymundó de</t>
  </si>
  <si>
    <t>Raymundó de Unzaga</t>
  </si>
  <si>
    <t>…D. Ma-„ miel Fernandez Rey na, D. F raneisco Bonet, D. Josef María de Novoa, Don Miguel Mir, D. Antonio Cidron , D. Santos Cremona, D. Josef Joaquín Ayestáiran, D. Vicente Ordoño, D. Raymundó de Unzaga, D. Manuel Arangu, d: Vicente Agreda , D. Manuel Jones, D. Joaquin Henriquez, D. Isi dro de Diego, D. Silverio López, D. Francisco de Oña, D.. Francisco Antdhio Líbref ; D. Joaquín MuezVD. Juan Ignacio*Cervera, D. Salvador Ce bollino, D. Ventura Córdoba, D.Í…</t>
  </si>
  <si>
    <t>Uoífmeyer</t>
  </si>
  <si>
    <t>…exel la escuadra de S.&gt; Mi destinada á Batavia, y mandada por el vice-almirante Buiskens. Se compone de los navios siguientes: el Almirante Evertzen, capitán Dietz ; el Amsterdam, capitán Uoífmeyer; el Brabante s capitán vandet-Hatt; ed Almirante Ruyter, capitán l’Hoeft;* ja fragata Marta van Reigers bergen, capitán vander-Nieport; la corbeta la Irá, capitán Pool, y el brickél Espía3 ca pitán vander-Loef. Ayer fueron licenciadas con solemnidad las compa…</t>
  </si>
  <si>
    <t>Upton</t>
  </si>
  <si>
    <t>…que ocupaba el general Rapp cerca de Strasburgo, que en esta ocasión fue perseguido hasta debajo de los fuegos de aquella fortaleza , que quedó cercada. ¡ El io.° es del brigadier general Upton desde Chateau-Salines el 27 de Junio, en el cual comunica haberse dirigido una diputación al mariscal Wre de , y que al dia siguiente ocuparía á Nanci y Luneville. * Oficios del lord Stewart. i.° Cuartel general imperial de Saárebourg 3 de Julio de 1815.=Milo…</t>
  </si>
  <si>
    <t>Uraga, Josef</t>
  </si>
  <si>
    <t>Josef Uraga</t>
  </si>
  <si>
    <t>…ra y Oca, á D. Manuel Fontan , cora párroco de aquella diócesis: para el arcedianato de Baronceli, dignidad de la misma iglesia , vacante por muerte de D. Manuel Blanco San tos, á D. Josef Uraga, canónigo cardenal de la misma catedral: para el de Litnia, dignidad de la propia iglesia, vacante por fallecimiento de D. An tonio Getino, á D. Josef Moure, prior claustral de la colegial de Junquera de Ambia en aquella diócesis: para el arcedianato titular…</t>
  </si>
  <si>
    <t>Uria, Miguel</t>
  </si>
  <si>
    <t>Miguel Uria</t>
  </si>
  <si>
    <t>…ante por fallecimiento de D.Francisco Pelaeé CaUOedo y á D. Juan1 Cnácón&gt;. para otracanongíádé (la - íglésia: Catedral dé Ciudad-Rodrigó j que 'resulta vacante por prófnocíoh &lt;dé -D. Miguel Uria á la abadía de Santa María de Jares en el obispado de Astorga , á D. Fernando'Manuel de la Concha, cura párroco del lugar de Só*bradillo én aquella diócesis: para k dignidad de maestreseuela dela ig!esí]aCíítedrál de; Güadixí vacante! pór! í muerte dé Di Anto…</t>
  </si>
  <si>
    <t>Uribe, Miguel de Lardizabal y</t>
  </si>
  <si>
    <t>Miguel de Lardizabal y Uribe</t>
  </si>
  <si>
    <t>…brarse en unos puntos y no en otros. Tendreislo entendido, y dispon dréis lo necesario á su cumplimiento. = Señalado de la Real mano de S. M.= ’Mn Palacio á 4 de Marzo oe 1815.= A D. Miguel de Lardizabal y Uribe. Circular que en virtud del anterior decreto se ha expedido por el Ministe rio Universal de Indias. El adjunto exemplar del Real decreto que el Rey nuestro Señor se ha dignado dirigirme con fecha de ayer, enterará á V. de lo que S. M. ha tenido á bien declara…</t>
  </si>
  <si>
    <t>…gala podrá usarse la venera de pedrería. Tendreislo entendido, y dispondréis lo conveniente á su cumplimiento. = Rubricado de la Real mano. = En Palacio á 24 de Marzo de 1815. = A D. Miguel de Lardizabal y Uribe.” El Rey nuestro Señor se ha servido conceder al coronel D. Agustín de Árnuada en atención á sus méritos y servicios militares, y á la constante adhesión que siempre ha mostrado á la i-ustre casa de los Borbones, el per miso de poder usar la decoración de la…</t>
  </si>
  <si>
    <t>…isó,sin escolta alguna, y acompaña do de su capitán de guardias el Excmo. Sr. duque de Aiagon. S. M. tuvo la dignación de ocupar la silla del presidente; y este , que es el Excmo. Señor D. Miguel de Lardizabal y Uribe, como secretario de Estado y del despa cho universal de Indias, le dirigió un breve discurso, en que después de dar á S. M. una idea dei origen y objeto de este Real establecimiento desde el Sr. D. Felipe v que lo proyectó, y de los obstáculos que han puesto…</t>
  </si>
  <si>
    <t>Uriz, Joaquín Javier de</t>
  </si>
  <si>
    <t>Joaquín Javier de Uriz</t>
  </si>
  <si>
    <t>…Resultado vacante por la espresada promo ción, á D¿ Josef Eleutetio Barona, racionero de la colegiata de Briviesca. El priorato de Roncesvalles, que deberá vacar por promoción de Don Joaquín Javier de Uriz á la iglesia y obispado de Pamplona, á D. Juan Bau tista Reta, rector del seminario conciliar de dicha ciudad. Las canongías vacantes en la metropolitana de Zaragoza por muerte de D. Juan Antonio Rosillo y D. Josef María Azpiazo á D, Josef Asensio de Ocon, ca…</t>
  </si>
  <si>
    <t>Uriz, Joaquín Xavier</t>
  </si>
  <si>
    <t>Joaquín Xavier Uriz</t>
  </si>
  <si>
    <t>…rillo Mayoral, deán y canónigo dé la iglesia catedral de Calahorra: para el de Pamplona, vacante por traslación del limo. Sr. D. Fr. Veremundo Arias al arzobispado de Valencia, á D. Joaquín Xavier Uriz, prior de la Real iglesia y monasterio colegial de nuestra Señora de Roncesvaíles : para el deanato de la iglesia catedral de Cádiz, vacante por fallecimiento de D. Fran cisco Caraza y Sousa, á D. Juan Josef Cordon, canónigo de Ia.de Guadalaxara de Indias: pa…</t>
  </si>
  <si>
    <t>Urquia, Miguel</t>
  </si>
  <si>
    <t>Miguel Urquia</t>
  </si>
  <si>
    <t>…,vivos,(o/:..,yH efectivos ;Je infantería: á lpsr alfére ces D. Cárlos de-Sentmanat, D. Josef Aicaíá Galiano, D. Josef Miró , Don Antonio Arménteros, X). Lorenzo Fernandez Somera, D. Miguel Urquia, D. Cárlos Armenteros y D. Juan Jbséf Baríiteli. Grado de capitán de infantería al sargento primero graduado de teniente D. Bernardino Garay: grados de teniente á los de lá misma clase graduados de subteniente D. Blas Ñégfo y D.- Rufino de Castro ; y grados d…</t>
  </si>
  <si>
    <t>Urquiága, Manuel de</t>
  </si>
  <si>
    <t>Manuel de Urquiága</t>
  </si>
  <si>
    <t>…iglesia de Cartagena: D. Antonio Remon del Valle , secre tario de la junta/milítar de Indias: D. Diego Fernandez Peredo, prior del consulado dé México; D. Tomas Ramón de Ibarrola^ D. Manuel de Urquiága y el conde de la Cortina, cónsules del expresado consulado.</t>
  </si>
  <si>
    <t>Urra, Sebastian de</t>
  </si>
  <si>
    <t>Sebastian de Urra</t>
  </si>
  <si>
    <t>…Guillelmi ;0.^Jüañ Pé rez Dd vi la, 0. Antonio Primo de Ribera, D. Miguel Coca ySandovalt0bn Juan Pernee de León, 0. Juan López Pinto , 0. Eusebio Martínez* 0* Fran* cisco Bedoya, D. Sebastian de Urra, 0. Patricio Ortiz, D. Francisca Escara re, 0. Nicolás Fuentes, 0. Vicente Buyo, 0, Antonio Basurta, D. Melr* i Gareíajchór Quintana, &gt;0. Josef Nava jas*. D. Josef Arnaiz y 0 Gerónimo de capitanes á los tenientes 0. Juan Mendez Vigo, D„ Pedro Masdeuy íDoin Jo…</t>
  </si>
  <si>
    <t>Urraca, Luis</t>
  </si>
  <si>
    <t>Luis Urraca</t>
  </si>
  <si>
    <t>…í Sedesea saber de Doña María Bautista , viuda de D. Joaquín Martínez que'mu rió en la plaza de S. Sebastian, ó su hija Doña Rosa Martínez, cuya noticia sé ser virán comunicarla á D. Luis Urraca, carrera de S. Gerónimo, pasada la Fontana de Oro, núm.,4. ‘ r v ■ . Apuntamientos de cómo se deben estudiar y enseñar las ciencias, y reformar las doctrinas para reducirlas á su antigua perfección y entereza, presentados al'Rey Fe lipe 11 por el Dr. Pedro Si…</t>
  </si>
  <si>
    <t>Urrejola, Luis</t>
  </si>
  <si>
    <t>Luis Urrejola</t>
  </si>
  <si>
    <t>…¡ Vivan los Bortones l ESPAÑA. Madrid 17 de Noviembre. El dia 13 de Octubre se presentaron á felicitar á S. M. como diputados por el egército y tribunales de Santiago de Chile, el coronel D. Luis Urrejola y el capitán D. Manuel Elizalde; el primero arengó en estos términos: „ Vuestro ñel y valiente egército pacificador de Chile, el muy ilustre ca-</t>
  </si>
  <si>
    <t>Urroz, Eusebio María</t>
  </si>
  <si>
    <t>Eusebio María Urroz</t>
  </si>
  <si>
    <t>…de L&gt;. Franci seo de Figueroa, las dos en el expresado obispado de Cuenca, á D. Eusebio Hernández: para otro beneficio de S. Esteban de la ciudad de Cuenca, vacante por muerre de D. Eusebio María Urroz, á D. Antonio Carretero; y para otro beneficio servidero de Hontoria del Pinar, en el obis pado de Osma, vacante por muerte de D. Josef Domínguez, á D. Josef Gil y Gil. Enterado el Rey del distinguido servicio que con notable riesgo de sus vidas practicaron e…</t>
  </si>
  <si>
    <t>Urrutia, Josef de</t>
  </si>
  <si>
    <t>Josef de Urrutia</t>
  </si>
  <si>
    <t>…nte de clase de oficial desde general hasta cápitan inélusí-r ve. Este * sistema proporcionará las ventajas que notablemente se advirtieron, cuando en 1795 lo estableció el Escmo. Sr. D. Josef de Urrutia , general en gefé del egército de Cataluña. - „ 7.0 El tribunal para los juicios verbales podrá componerse en caso preci só del que mandase, que presidirá, de un subalterno fiscal, y de solo cuatro jueces de la clase de oficial, y aun dos si no hubiese los su…</t>
  </si>
  <si>
    <t>Urrutia, Manuel Ortiz de</t>
  </si>
  <si>
    <t>Manuel Ortiz de Urrutia</t>
  </si>
  <si>
    <t>…ia^ , 1 Ls1 persona que Supiere del paradero de D. Francisco Javier de v Rt hiera, ó .en su defecto de su muger Doña Ines de Ovarrio.y Tegeiro , se servirá avisarlo en li Coruña á D. Manuel Ortiz de Urrutia. ■ Tratado de las enfermedades verminosas, ó accidentes que causan las .lombrices en la clase de animales domésticos, como el caballo, asno, mulo, buey, cerdo y el perro V con el remedio seguro para destruir huéspedes tan perniciosos, fruto dé la di latada pr…</t>
  </si>
  <si>
    <t>Urrutia, Matías de Elexaburu y</t>
  </si>
  <si>
    <t>Matías de Elexaburu y Urrutia</t>
  </si>
  <si>
    <t>…o cabildo de Cádiz para presentar un ex-emplar de la defensa que hizo el último en la célebre causa, formada de orden de la Regencia al expresado arcediano y á ios prebendados Dr. D. Matías de Elexaburu y Urrutia y Don Manuel de Cos, comisionados de su cabildo eclesiástico,y al vicario capitu lar de aquella diócesis D. Mariano Martin de Esperanza, por hiber co sol tado á diferentes RR. obispos y santas iglesias sobre lo/contenido en ic&amp; de cretos de abolición del santo tribunal de la Inq…</t>
  </si>
  <si>
    <t>Ürteaga, Pedro</t>
  </si>
  <si>
    <t>Pedro Ürteaga</t>
  </si>
  <si>
    <t>…de infantería de Caxámarca ai teniente D. Juan Francisco de Arana i para tres tenencias en el propio regimiento á los subtenientes D. Josef Isidro Bonifaz, D. Fernán* do Loredo y D. Pedro Ürteaga: para una subtenéncia en el mismo cuerpo ai cadete D. Narciso de Boniiaz y Castañeda : para dos subtenencias de ban dera en el expresado regimiento ádos cadetes. D. Juan Josef García Perez y D. Manuel Pascual de la Rocha, y para una subtenencia en el de infan…</t>
  </si>
  <si>
    <t>Ustariz, Fulgencio</t>
  </si>
  <si>
    <t>Fulgencio Ustariz</t>
  </si>
  <si>
    <t>…irán al ayuntamiento por medio de D. Manuel Martin Serrano, su escribano, hasta el 30 del corriente, en que se hará la elección en el mas benemérito. Se desea saber el paradero de D. Fulgencio Ustariz, que por noticias poco exac tas se halla sirviendo á S. M. en clase-de sargento én -uno de los regimientos que se hallan en la raya de Cataluña ó. Valencia. Se suplica á la persona que lo.pueda saf •ber ló avise á D. Agustín Pascual en la Real escuela de vete…</t>
  </si>
  <si>
    <t>Uxbridge</t>
  </si>
  <si>
    <t>…argajde haberse hecho 4 la mitad del día , escepto un gran cuerpo de caballería traído de su derecha, el cual siguió ía caballe ría ael mando del conde de Uxbridge. r „Esto dio al lord Uxbridge ocasión de cargar con el i.° de guardias el desfiladero de lapídea de Genappes , con cuyo motivo 3- S» declaró estar muy satisfecho de aquel regimiento. ^ I</t>
  </si>
  <si>
    <t>V'elasco, Matías</t>
  </si>
  <si>
    <t>Matías V'elasco</t>
  </si>
  <si>
    <t>…s de revalida y de doctor en farmacia, sin cuyos requisitos, y pasado dicho término, no serán admitidos. Dado en Madrid á i.° de Marzo de 1815. = Dr. D. Agustín Josef Mestre. =Dr. D. Matías V'elasco. = Dr. D. Gerónimo Lorenzo. = Por acuerdo de la Real junta = Manuel de Granda y Ribero, secretario*</t>
  </si>
  <si>
    <t>V, Cristóbal Perez</t>
  </si>
  <si>
    <t>Cristóbal Perez V</t>
  </si>
  <si>
    <t>…de la parroquia de Santiago y S. Juan de esta corte: para el arciprestazgo y canongía , que resultará va cante en la iglesia colegial de Ubeda, diócesis de Jaén, por promoción de D. Cristóbal Perez V íala á la iglesia y obispado de Jaca, á D. Antonio ReveHar. En atención á los distinguidos méritos y servicios de D. Eugenio García González , arcediano titular de la iglesia de Cartagena , se ha servido el Rey nuestro Señor concederle honores de auditor del…</t>
  </si>
  <si>
    <t>Va, Antonio</t>
  </si>
  <si>
    <t>Antonio Va</t>
  </si>
  <si>
    <t>…e las Carretas: su precio n rs. En la misma librería se halla la historia cierta de los francmasones por el mismo autor. La Leandra: novela original que comprende muchas: su autor D. Antonio Va lladares y Sotomavor, editor del semanario erudito: 9 tomos en 8.° á 117 rs. en pasta.zzMisiones y sermones del P. Calatayud, de ^compañía de Jesús: tercera edición: 3 tomos en 4.0 á 66 rs. en pasta.»Cuestiones críticas sobre varios puntos de historia y econo…</t>
  </si>
  <si>
    <t>Va, Juan Guillen y</t>
  </si>
  <si>
    <t>Juan Guillen y Va</t>
  </si>
  <si>
    <t>…rio y Mesía á D. Josef Hayela y.Caballero, canónigo .de la de Lérida, y el arcedianato titular de ja misma catedral, que ha vacado por muerte de D. Juan Rodríguez Atbarrán, á Frey D. Juan Guillen y Va lencia , con dimisión de la capellanía de honor que en la actualidad obtiene., .. La canongía vacante en la catedral de Málaga por fallecimiento de Don -Salvador Casamayor á D. Josef Ortuzar., racionero de la misma iglesia; la / .que ha vacado en la propia ca…</t>
  </si>
  <si>
    <t>Vaca, Víctor Cabeza de</t>
  </si>
  <si>
    <t>Víctor Cabeza de Vaca</t>
  </si>
  <si>
    <t>…sas,. D. Henrique Puga, y D. Carlos ViHarejo, del Regimiento de Mallorca; D. Ignacio Llánderas , D. Miguel Moretid, D. Gregorio del Pozo, D. Fabian de Lastra, 0. Ricardo Rey roso, Don Víctor Cabeza de Vaca, D. Casimiro Salcedo, y D. Miguel González, del de Voluntarios de Avila; D. Francisco Herranz ,'D. Angel Díaz, y Don Vicente Tomes, del Provincial de Segovia; D. Pedro NuñeZ;, D. Manuel Calderón, D. Matías Frade, D.Francisco Antonio Ledesmá, y LF. Andrés .Muñ…</t>
  </si>
  <si>
    <t>Vacas, Manuel Vicente</t>
  </si>
  <si>
    <t>Manuel Vicente Vacas</t>
  </si>
  <si>
    <t>…Toledo, que se halla vacante por muerte de D. Manuel Mendivil, á Don Cirilo Simón Carrillo: para otra ración de la misma iglesia, vacante por fa llecimiento de,D. Benito Aragón, á D. Manuel Vicente Vacas, con dimi sión de la capellanía de coro que obtiene en la propia iglesia: para otra ra ción de'la iglesia catedral de Piasencía, vacante por muerte de D. Manuel de la Vega, á D. Manuel Elvira: para otra ración de la de Segovia, que resultará vacante pbr promo…</t>
  </si>
  <si>
    <t>Vaida, Francisco Antonio Cebrian y</t>
  </si>
  <si>
    <t>Francisco Antonio Cebrian y Vaida</t>
  </si>
  <si>
    <t>…de palacio el limo. Sr. D. Pedro Manuel Ramírez de la Pis cina, maestro que ha sido del Rey nuestro Señor y de los Sermos. Sres. In fantes; siendo el prelado consagrante el Excmo. Sr. D. Francisco Antonio Cebrian y Vaida, patriarca de las Indias, y asistentes los Excmos. Sres. Don Rafael Muzquíz y Aldunate, arzobispo de Santiago, y D. Francisco Mier y Campillo, inquisidor general. S. M. asistió á tan augusta función en so tribuna, y el Sermo. Sr. Infante D. Antonio en la suya…</t>
  </si>
  <si>
    <t>Vaíén, Joaquín</t>
  </si>
  <si>
    <t>Joaquín Vaíén</t>
  </si>
  <si>
    <t>…éritoque han contraído en la anterior guérra, sosteniendo los sagrados derechos dé 1 trono. Grados de tenientes coroneles de infantería á los sargentos mayores Don Manuel García , D. Joaquín Vaíén?uela ; D. Josef Solana Cagigal, D. Nico lás Gallego , D. Francisco Montenegro, D. JuanOliver, D. Timoteo Connelli, D. Juan Mitlan , D. Manuel Cortas,, D. Francisco'Velasco , D. Alejo González, D. josef Lázaro Vallejo, D. Ramón Carreño, D. Matias Case ro, D. M…</t>
  </si>
  <si>
    <t>Vailejo, Josef Mariano</t>
  </si>
  <si>
    <t>Josef Mariano Vailejo</t>
  </si>
  <si>
    <t>…ratado elemental de matemáticas, escrito de orden de S. M. para uso de los caballeros seminaristas del Real seminario de Nobles de Madrid y demas casas de educación del reino, por D. Josef Mariano Vailejo, catedrático que fue de mate máticas, fortificación, ataque y defensa de las plazas en dicho Real seminario &amp;c. &amp;c.: tomo i.°, parte segunda, que contiene la geometría, trigonometría rectilínea y geo metría práctica. Segunda edición , corregida y aumentada co…</t>
  </si>
  <si>
    <t>Val, Josef León</t>
  </si>
  <si>
    <t>Josef León Val</t>
  </si>
  <si>
    <t>…o de las medicinas suministradas á la plana mayor, curia eclesiástica y empleados en correos y Real Hacienda. Los'aspirantes dirigirán sus memoriales al secretario de ayuntamiento D. Josef León Val, precisamente hasta el dia 22 del corriente mes de Setiembre, pues debe proveerse la plaza al siguiente. Traducción en castellano de las misas-del misal romano, para que los fieles fo menten su devoción, leyendo todos los días las mismas misas y ordinario de…</t>
  </si>
  <si>
    <t>Valarino, Tomas</t>
  </si>
  <si>
    <t>Tomas Valarino</t>
  </si>
  <si>
    <t>…odea, hoy teniente del de Truxillo, ha venido S. M. en concederle el grado de tal teniente con la antigüedad del io de Julio de 1810. El Rey nuestro Señor se ha servido conceder á D. Tomas Valarino el permiso de llevar la condecoración de la fíor de Lis con que S. M. cristianí sima ha premiado su valor y constante adhesión á la augusta casa de los Borbones. A consulta de la cámara se ha servido S. M. nombrar para la plaza del consejo Real, vacante por t…</t>
  </si>
  <si>
    <t>Valbüena, Francisco Gómez</t>
  </si>
  <si>
    <t>Francisco Gómez Valbüena</t>
  </si>
  <si>
    <t>…dimisióíl déí §n^ediáñatO de Sabogal (que obtiene en la propia iglesia: pára Otro deaÉáto también primera1 silla de la iglesia catedral de! Salamanca, vacante pór fallecimiento de D. Francisco Gómez Valbüena, á D. Benito Lobato y Ca4 balleró, canónigo magistral de la de Coria: para la dignidad de chantre dé la iglesia catedral de Zamora ¿vacante por muerte de D. Antonio Chacón , á Pedro Tíbiircio Gútiérrejí, Conservándole los honores de oidor de la Reíd fcbanfeif…</t>
  </si>
  <si>
    <t>Valcárcel, Antonio</t>
  </si>
  <si>
    <t>Antonio Valcárcel</t>
  </si>
  <si>
    <t>…nip de Lema, D. Jijan Vigodet, Dv Josef Ruiz dé Apodápa* D. Francisco Topete, D, Bonifacio de Tosta, D. Gabriel Olivar, D. Miguel Díaz,,D. An tonio Qiiintario," D. Manuel Pardo’, D. Antonio Valcárcel, D. Francisco Cartillo, D. Eligió Croquer, D. Manuel Balay, D. Juan Godoy , D. Manuel Gutiérrez Gaviedes, D. Francisco Quiroga, D. Tomas Cervino, D. Luis Liniers, D. Domingo. Mesa ¿ D. Manuel Villavicencio, D. Josef Aldana, Don Juan Lasqueti, D. Pedro Caamaño…</t>
  </si>
  <si>
    <t>Valcárcel, Baltasar</t>
  </si>
  <si>
    <t>Baltasar Valcárcel</t>
  </si>
  <si>
    <t>…spon, D. Jacinto Arteaga y D. Bernardo de Castro, del Provincial de Santiago; D. Jacobo Pardo y D. Josef Boltorna, del de Tuy; D. Lorenzo Valcarcel y D. Josef Sansiz, del de Lugo; D. Baltasar Valcárcel, del segundo de Asturias; Don Josef Martínez, del de Cazadores del Rey; D. Rainon Maurin, del de Zaragoza; D. Gregorio Flores, D. Juan Miguel Rodríguez, D. Eusebio Rodríguez, D. Francisco Masías, D. Pedro Rodríguez, D. Manuel Diez, D. Miguel María Robles, D.…</t>
  </si>
  <si>
    <t>Valcárcel, Josef</t>
  </si>
  <si>
    <t>Josef Valcárcel</t>
  </si>
  <si>
    <t>…, D. Pedro Beyro, D. Juan Cuicheyro, D. Pedro Lado, D. Pedro Gonzá lez, D. Blas Iglesias, D. Domingo Boullon y D. Josef Villaverde, del Provincial de Santiago; D. Andrés González, D. Josef Valcárcel, D. Ber nardo Amado, D. Manuel Martínez y D. Francisco Espiñeyra , del de Lu go; D. Pedro Tineo, D. Juan Puente, D. Josef Antunio Rodríguez, Don Simón Fernandez, D. Teodoro Arce, D. Juan Guasa, D. Juan Malagon, E&gt;. Cosme Arias, D. Francisco Sierra, D. Diego O…</t>
  </si>
  <si>
    <t>Valcárcel, Juan</t>
  </si>
  <si>
    <t>Juan Valcárcel</t>
  </si>
  <si>
    <t>…z, D. Mariano López y D. Andrés Garrido, del de Voluntarios del Ribero: de Subteniente á D. Pedro Losada, D. Jo sef Novales, D. Josef Ulloa, D. Nicolás Quiñones, D. Andrés Blanco, D. Juan Valcárcel, D. Roque Suarez, D. Jacobo Gil, D. Fernando Gil, D. Pedro Beyro, D. Juan Cuicheyro, D. Pedro Lado, D. Pedro Gonzá lez, D. Blas Iglesias, D. Domingo Boullon y D. Josef Villaverde, del Provincial de Santiago; D. Andrés González, D. Josef Valcárcel, D. Ber nard…</t>
  </si>
  <si>
    <t>Valcarcel, Lorenzo</t>
  </si>
  <si>
    <t>Lorenzo Valcarcel</t>
  </si>
  <si>
    <t>…de León: de Teniente á D. Felipe Castro, D. Ramón Cespon, D. Jacinto Arteaga y D. Bernardo de Castro, del Provincial de Santiago; D. Jacobo Pardo y D. Josef Boltorna, del de Tuy; D. Lorenzo Valcarcel y D. Josef Sansiz, del de Lugo; D. Baltasar Valcárcel, del segundo de Asturias; Don Josef Martínez, del de Cazadores del Rey; D. Rainon Maurin, del de Zaragoza; D. Gregorio Flores, D. Juan Miguel Rodríguez, D. Eusebio Rodríguez, D. Francisco Masías, D. Pedro Rodríguez, D. Manu…</t>
  </si>
  <si>
    <t>Valcárcel, Pedro</t>
  </si>
  <si>
    <t>Pedro Valcárcel</t>
  </si>
  <si>
    <t>4^4 nio Perez, D. Fidel Provecho, D. Francisco Masías, D. Antonio Fernan dez, D. Valentín Roxo, D* Carlos Osorio y D. Josef Laso de la Vega, del de Voluntarios de León; D. Pedro Valcárcel, D. Manuel González Campillo, D. Juan Villapaderna, D. Juan Manuel Mancebo, D. Francis co Diez Sopeña, D. Josef Provedo, del de Voluntarios del Ribero; Don Gerónimo Roxo, del de Cazadores del Rey; D. Cesar Tournel, d¿l Real Cuerpo de Artillería , y D. Gerónim…</t>
  </si>
  <si>
    <t>Valdemoro, Felipe López</t>
  </si>
  <si>
    <t>Felipe López Valdemoro</t>
  </si>
  <si>
    <t>…: S. M. oyó este discurso con señales de benevolencia y estímacbn. El dia 9 de Enero próximo pasado se presento á $. M. la diputación de la villa de Alcobendas, compuesta del Dr. D. Felipe López Valdemoro, abogado del ilustre colegio de esta corte , de los señores alcaldes Ramón Perdiguero Caballero y Félix Hidalgo, y de su procurador Pedro Abeila, con él noble objeto que contiene el discurso siguiente, que pronunció el pri mero de sus individuos. ,,Señor: la…</t>
  </si>
  <si>
    <t>…y nuestro Señor se ha servido expedir el decreto'siguiente: t ,,Los nobles sentimientos de los vecinos de la villa de Alcobendas mani festados por su diputación, compuesta del Dr. D. Felipe López Valdemoro, de los alcaldes Ramón Perdiguero Caballero, Félix Hidalgo, y su procurador Pedro Abella, en la audiencia que para el efecto me pidieron, y tuve á bien darles el dia 9 del próximo mes pasado, han penetrado mi corazón, y con solidado mas el concepto qne siempr…</t>
  </si>
  <si>
    <t>Valdenebro, Eladio</t>
  </si>
  <si>
    <t>Eladio Valdenebro</t>
  </si>
  <si>
    <t>…iencia para la de Oidor á D. Jacobo Antonio Teigeiro: para la de Alcalde á D. Josef Nuñez Garrido; y para la plaza de Oidor de la chan ciliería de Valladolid que resulta vacante á D. Eladio Valdenebro. Para el corregimiento de Illescas ha nombrado S. M. á D. Ramón Añtuñano: para el de Atienza á D. Manuel Gordo Vidal: para el de Coronil á D. Pedro García Cembrero: para el de la Puebla de Alcocer á D. Francisco González Vilches: para el de Palencia á D. Manu…</t>
  </si>
  <si>
    <t>ValdénebrÓ, Josef Alonso</t>
  </si>
  <si>
    <t>Josef Alonso ValdénebrÓ</t>
  </si>
  <si>
    <t>…os D. Manuel Rodríguez Sote* lo, D. Tomas Saenz y D.í ¡ Josef Riera. V !* ! ^ ' - ■ . ; i -/cS ■' ■ &gt; . • : r.:u v.,* : S. M. ha nombrado oidor de la chancilíería de Valládolicl á D. Josef Alonso ValdénebrÓ t. pkfá 'qnatro plazas de alcaldes del" crimen de ella á D. Josef Gónzalei Villar ,. D. Josef María García Carrillo, Di. Manuel An* ionio Gómez y Di Mariano Castíilon y Torres: para oidores de la ehanci-</t>
  </si>
  <si>
    <t>Valderrábano, Jorge</t>
  </si>
  <si>
    <t>Jorge Valderrábano</t>
  </si>
  <si>
    <t>…tórt, D. Francisco Luis Jácome, D. Josef.Escovar;D.:Santos Leccea£ D. Bernardo Latorre, D. Joaquín de la Cámara, D; Josef HidalgoDon Tpmás Gutiérrez, D. Francisco de Paula Castro, D. Jorge Valderrábano, D. Josef María Palma, D. Marcos de Zeberio y D. Josef Antonio de S. Juan. ( Se continuará.) ' Circular del ministerio dt Guerra. Convencido el Real ánimo del Rey nuestro Señor de que para llevar á - debido efecto él plan' adoptado para la infantería der lí n…</t>
  </si>
  <si>
    <t>Valdés, Benito Alonso Ablanedo</t>
  </si>
  <si>
    <t>Benito Alonso Ablanedo Valdés</t>
  </si>
  <si>
    <t>…enD. Josef Perez, á D/ Frau* cisco Antonio ’de Antuñano: párá los'beneficios de Fiñana y Hevia , qué han vacado en el obispado de Oviedo por fallecimiento de D. Carlos Car rera, á D. Benito Alonso Ablanedo Valdés, con sujeción á lo que se re suelva en el expediente cónsúltivo que pende en la cámara sobre dotación de los curatos de las expresadas feligresías, y sin perjuicio de ser atendido en? otro beneficio &lt;5 préstamela én razoó de la renta que se segregue de aquell…</t>
  </si>
  <si>
    <t>Valdés, Fernando</t>
  </si>
  <si>
    <t>Fernando Valdés</t>
  </si>
  <si>
    <t>…r de Policía y Gobierno de la plaza de Ciudad-Rodrigo: al de Teniente Coro nel á D. Benito Sandoval y D. Pablo Pairot, Capitanes del Real Cuerpo de Artillería, D. Fernando Mateos, D. Fernando Valdés, D. Juan Solda do, y D. Juan Pió Quijano, Sargento mayor y Capitanes del Regimiento Provincial de Segovia; á 0. Fernando Alcocer, D. Josef Gines de Zamora, 0. Joaquín. Esoatolero, y D. Rafael Pizarro , Capitanes del Regimiento de Mallorca; á D. Ildefonso Prie…</t>
  </si>
  <si>
    <t>Valdés, Josef</t>
  </si>
  <si>
    <t>Josef Valdés</t>
  </si>
  <si>
    <t>…stro y D. Josef Fernandez Pare des, y subteniente agregado á D. Josef Xamarilío; y en el regimiento de infantería de línea de Talavera , que se halla en aquel vireynato, capitán á D. Josef Valdés; Teniente de granaderos á D. Melchor Duran; idem de ca zadores á D. Ramón Lorente; idem de fusileros á D, Josef Salazar, D. Ra fael Galdia, D. Jo.ef Tucar, D. Juan Mijares, D. Tomas Agudo, Don Francisco Manuel Alvarez, D. Gregorio Baeza, D. Francisco La-Regue…</t>
  </si>
  <si>
    <t>Valdeyuli, Salvador</t>
  </si>
  <si>
    <t>Salvador Valdeyuli</t>
  </si>
  <si>
    <t>…s á los tenientes D. Josef López y D; Luis Ginetir á ayu dante mayor del 2° batallón al capitán segundo D. Josef Osorio: á tenien te de granaderos al de la misma clase graduado de capitán D. Salvador Valdeyuli: á tenientes de fusileros á los subtenientes D. Cárlos Ñoñez, Don Juan Nuñez y D. Josef Freyre: á subtenientes de granaderos ¿ los de fusi leros D.^ Miguel Román, D. Francisco Josef Miura y D. JoSef Céspedes: ¿ subtenientes de fusileros á los de bandera D. An…</t>
  </si>
  <si>
    <t>Valdivíeiso, Juan</t>
  </si>
  <si>
    <t>Juan Valdivíeiso</t>
  </si>
  <si>
    <t>…tenientes de granaderos á D. Josef Moreno y D. Juan Cosío; ídem de fusileros á D. Josef Cañas, D. Ignacio de Castro y Neg reyros y D. Francisco Cañas; subteniente de granaderos á D. Juan Valdivíeiso, y subtenientes de bandera á D, Manuel Gil, D. Josef Nicolás Esre’Ia, D. Ignacio Alcázar y D. Jacinto del Rico: con la de 30 de Enero último capitán de granaderos en el propio cuerpo á D. Josef Lanao ; ídem de fusi leros á D. Josef Bello y D. Ignacio Saenz; a…</t>
  </si>
  <si>
    <t>Valdivielso, Melchor de</t>
  </si>
  <si>
    <t>Melchor de Valdivielso</t>
  </si>
  <si>
    <t>…cante por muerte de D. Manuel Anselmo Enderica, á D. Francisco Sainz de Escalona, con dimisión del arcedianato de Medinaceli que obtiene en la de Sigüenza ; y para esta resulta á D. Melchor de Valdivielso. D. Pedro Antonio Olleros, hijo y compañía, fabricantes de paños y ve cinos de la villa de Béjar, provincia de Salamanca, han puesto por vía de donativo á disposición del Rey nuestro Señor un crédito de 92941 rs.; y habiéndose dignado S. M. admitirlo, ha mand…</t>
  </si>
  <si>
    <t>Valdivieso, Antoiiio</t>
  </si>
  <si>
    <t>Antoiiio Valdivieso</t>
  </si>
  <si>
    <t>…l Alcalde, D, Ambrosio Doz, D. Vicente Guisber, D. Mariano Rodríguez, D. Eusebio Gavilanes, D. Juan Polo, D. Josef Baeza, D; Josef Dávila , D. Francis co Frades., D* Josef Urbiña, D. Antoiiio Valdivieso, D. Juan Sánchez , Don Manuel Laso, D. Domingo Cepeda, D. Mariano Mayor&gt; D*5Juan Bastos,</t>
  </si>
  <si>
    <t>Vale, Francisco del Castillo</t>
  </si>
  <si>
    <t>Francisco del Castillo Vale</t>
  </si>
  <si>
    <t>…y al son de la música, al ruido del repique de campanas, y en medio de los incesantes vivas y aclamaciones del inmenso concurso reunido á presenciar esta ceremonia, ei Corregidor D. Francisco del Castillo Vale ro descubrió,el monumento, q-ue fue la señal para que se redoblasen las acla maciones de todos. Concluido este acto se dirigieron conduciendo procesionaímente á las salas de ayuntamiento ei retrato en lienzo de S. M., que antes había estado espuesto bajo de u…</t>
  </si>
  <si>
    <t>Valencia, Antonio Camilo de</t>
  </si>
  <si>
    <t>Antonio Camilo de Valencia</t>
  </si>
  <si>
    <t>…ntendente de marina á los comisarios ordenadores D, Domingo CarruagatovD; Juan Nieto y D. Antonio Ventura Cincúnegui. 1 Gradó; de. comisarios de marina ordenadores á lps de guerra D. Antonio Camilo de Valencia y D. Francisco Paula Bermudez. •, s Obeion al sueldo. de i $0 escudos á los comisarios de guerra de 100 Don</t>
  </si>
  <si>
    <t>Valenzuela, Andrés Rodríguez</t>
  </si>
  <si>
    <t>Andrés Rodríguez Valenzuela</t>
  </si>
  <si>
    <t>…e Nájera á D. Josef Eladio Garcés: para la del Ferrol y la Graña á D. Vicente García Díaz: para la de Sta. Cruz de Múdela á Don Antonio Pimentel y Valenzuela: para la de Huecija á D. Andrés Rodríguez Valenzuela: para la de Villalpando á D. Hipólito Gil Hernández: para la de Jorquera á D. Domingo Puertas*, para la de Aillon á D. Josef Puerta Benito: para la del Carpió á D. Ignacio Gil de Sagredo: para la de Potes á D. Joaquín González Ramírez: para la de S. Esteban á…</t>
  </si>
  <si>
    <t>Valenzuela, Antonio Pimentel y</t>
  </si>
  <si>
    <t>Antonio Pimentel y Valenzuela</t>
  </si>
  <si>
    <t>…la de la Bañeza á D. Bartolomé García Terrón: para la de Nájera á D. Josef Eladio Garcés: para la del Ferrol y la Graña á D. Vicente García Díaz: para la de Sta. Cruz de Múdela á Don Antonio Pimentel y Valenzuela: para la de Huecija á D. Andrés Rodríguez Valenzuela: para la de Villalpando á D. Hipólito Gil Hernández: para la de Jorquera á D. Domingo Puertas*, para la de Aillon á D. Josef Puerta Benito: para la del Carpió á D. Ignacio Gil de Sagredo: para la de Potes á…</t>
  </si>
  <si>
    <t>Valenzuela, Josef García</t>
  </si>
  <si>
    <t>Josef García Valenzuela</t>
  </si>
  <si>
    <t>nana el catedráticó de latinidad , poesía y elocuencia D. Josef García Valenzuela con un discurso latino, en que ponderó la utilidad de estos estudios y laprotección que á ellos dispensa nuestro amado Soberano. En seguida se presentaron varios niños de la primera clase , que dieron prueba de su ins trucción en la doctrina cristiana y en le…</t>
  </si>
  <si>
    <t>Valera, Antonio Venero de</t>
  </si>
  <si>
    <t>Antonio Venero de Valera</t>
  </si>
  <si>
    <t>…ncia del Sr. Vicente Peralta, alcalde ordinario de Ja villa de Torrejon de Velaseo, se. manda llamar á quantos puedan tener derecho á tos bienes, que quedaron por fallecimiento de D. Antonio Venero de Valera, vecino que fue ¿i ella, y a todos sus acreedores, para que dentro de 30 dias, siguientes á esta fe-</t>
  </si>
  <si>
    <t>Valero, Francisco del Castillo</t>
  </si>
  <si>
    <t>Francisco del Castillo Valero</t>
  </si>
  <si>
    <t>…Alacete á D. Jo .quin de la Escalera Benedicto: para el ae Toledo á D. MaE nuel Ortiz de^Pinedo:para él de Jaén á D. Rafael Amat y Sala: para el de Iniesta y VUlanuevade la Xará á D. Francisco del Castillo Valero: para el de Huete á I). Rafael Abreu:para el de Palencia á D josef Ramírez Cid: ' para la vara de.Qropesa á D. Josef Vilella y Pastor:para la déla Puebla de Sanabria á D Manuel Ibiza y Heredero: para la de Benavente á D. Josef García Timarte: para la de Hinój…</t>
  </si>
  <si>
    <t>…niesta por medio de. sus dipu-i tados D. Josef Osorio de los Ríos, brigadier de los Reales égércitos, caba llero de la Real orden de Garlos m, y gentilhombre de cámara de S. M., y D. Francisco del Castillo Valero, corregidor de la expresada villa, al mis mo tiempo que han felicitado al Rey nuestro Señor con igual motivo, hárr hecho presente los particulares servicios que ha égecutádo aquélla villa-;en la última guerra, contribuyendo con gente y con mas de dos millones…</t>
  </si>
  <si>
    <t>Valero, Pedro</t>
  </si>
  <si>
    <t>Pedro Valero</t>
  </si>
  <si>
    <t>…r de las armas ¿españolas mientras ha estado invadida la península por las tropas de Napo león: para una canongía, vacante en la iglesia metropolitana de taragoza por promoción de D. Pedro Valero á la iglesia y obispado de Gerona, i I). Mariano. Martin Esperanza, vicario capitular y gobernador de la mitra de Cádiz; y para la canongía que obtiene en la catedral de dicha ciudad de .Cádiz á D. Joaquín Izquierdo, racioneroide la misma iglesia: para otra c…</t>
  </si>
  <si>
    <t>…iglesia metropolita na de Valencia, á D. Francisco Moros, cura párroco déla villa de Iguala da: para una canongía de la iglesia metropolitana de Zaragoza, vacante por promoción de D. Pedro Valero á’la iglesia y obispado de Gerona, á D. Mariano Martin Esperanza, vicario capitular y gobernador de ja mitra de Cádiz; y para la canongía en la catedral de dicha ciudad de Cádiz á Don Joaquín Izquierdo, racionero de la misma iglesia. Igualmente ha nombrado 5.…</t>
  </si>
  <si>
    <t>Valiente, Josef Pablo</t>
  </si>
  <si>
    <t>Josef Pablo Valiente</t>
  </si>
  <si>
    <t>…ales ? además dp da que anteriormente disfrutaba para la de sus cátedras, nombró .tina dipúta1cionr de sus individuos, compuesta del limo. Sr. arzobispo obispo de Cádiz, del limo. Sr. D. Josef Pablo Valiente/; dep concejo y camara ae Indias , y del Escmo. Sr. D. Josef María Goyeneche, teniente general de la Real ar mada; y |ran. ¿niz'ide larReal orden tAmericana , para que en su nombre diV</t>
  </si>
  <si>
    <t>Valiente, Julián</t>
  </si>
  <si>
    <t>Julián Valiente</t>
  </si>
  <si>
    <t>…Valdejudíos en la iglesia parroquial de Carrascosa del Campo, vacante por muerte de D. Manuel Peñuelo Polo, la que lo está asi mismo en la Villa de Barbalimpia por haber tallecido D. Julián Valiente, la de Armaüones que vacó por haber contraído matrimonio D. Narciso Mallol, la media préstamera de la villa de Recuenco, que obtuvo D. Diego Mateo Villalobos, y vacó por igual motivo, el préstamo de la iglesia de Valdecabrillas, que lo está por muerte de D. D…</t>
  </si>
  <si>
    <t>ValJejo, Felipe González</t>
  </si>
  <si>
    <t>Felipe González ValJejo</t>
  </si>
  <si>
    <t>…siguiente en que se casen. Tendreislo entendido, y dispondréis lo conveniente á su cumplimiento. =: Está rubricardo de la Real mano de S. M.zsEn Palacio á ^ de Marzo de 1815. = A D. Felipe González ValJejo.** Siendo el ánimo del Rey que las preciosas colecciones de individuos ys muestras de los tres reynos de la naturaleza, reunidas por disposición de sui augusto Abuelo.en el gabinete de Historia natural de esta corte, no sirvan* tínicamente en ella de ostentac…</t>
  </si>
  <si>
    <t>Valladares, Josef María</t>
  </si>
  <si>
    <t>Josef María Valladares</t>
  </si>
  <si>
    <t>…D. Manuel Mena, cura párroco de Sta. María de la villa de Alaejos en aquella diócesis: la canongía que ha vacado en dicha iglesia por fallecimiento de D. Josef Sán chez Velasco á D. Josef María Valladares, medio-racionero de la misma ca tedral; y esta resulta á D. Ruperto Sacristán, teniente cura de la Real cole giata de S. Ildefonso. = La canongía vacante en la catedral de Lugo por muer te de D. Joaquín Bear á D. Juan Pedro Miranda, cura párroco de Cabanillas…</t>
  </si>
  <si>
    <t>Valladolid, Ramón</t>
  </si>
  <si>
    <t>Ramón Valladolid</t>
  </si>
  <si>
    <t>…dia 9 del corriente tuvieron el honor de presentarse á S. M. y be sar su Real mano en nombre de la Real sociedad ae Amigos del país, esta blecida en la ciudad y provincia de Jaén, D. Ramón Valladolid, administra dor general de todas rentas, y D. Pedro del Prado, maestrante de la Real de Granada, individuos de aquella corporación; de los cuales el primero aren gó á S. M. esponiendo los esfuerzos de los individuos: de aquel cuerpo patrió-: tico, asi como el…</t>
  </si>
  <si>
    <t>Vallarino, Francisco Javier de</t>
  </si>
  <si>
    <t>Francisco Javier de Vallarino</t>
  </si>
  <si>
    <t>…y./ •* ’ / / : ri . &lt;;•&gt; i.&gt;u\r Á;' ‘-.-fí f -orne! ru l v |: ,:l¡ Grado de teniente coronel á los segundos tenientes D. Juan de Vargas, D. Ramqnde Zujuag^, J&gt;. Josef las Cuevas r D. Francisco Javier de Vallarino|} D. JpsefíídfrÍA.Casasolai.D;; Fernando i JLuis María Montero, e ¡conde, deTprre jon p.¡Ran¡ian Qrpzco!, í&gt;.¡ j^e£ Hezeta* í&gt;. Maijmei.Vazr quez y D.-Francisco Velarde,áe;$te último* ppr gracia particular en cpnsir ^deracion al merito.de su hermano J). Hemet…</t>
  </si>
  <si>
    <t>Valle, Alejandro</t>
  </si>
  <si>
    <t>Alejandro Valle</t>
  </si>
  <si>
    <t>…-,ó Grado de capitan.de intateríaqal sargento.primero. y .furriel mayór gra.duado de teniente D. Antonio Andrí: grados de teniente á los de la misma clase graduados de subteniente D. Alejandro Valle y D. Guillermo Yanosen; y grados de subteniente á los de la propia clase D. Cárlos Busi,T&gt;. Jacobo Steingel,. D.* Pedro Baritch y D. Luis Vinaut» ■ ^ » ./-^oía..- En la clase de:segundos tenientes de esteReal euerpo tiene S. M. concedidos.dos grados mas d3 teniente coronel, que? fe…</t>
  </si>
  <si>
    <t>Valle, Antonio Remon del</t>
  </si>
  <si>
    <t>Antonio Remon del Valle</t>
  </si>
  <si>
    <t>…la, y presidente de la junta de Hacienda de Indias: D. Diego de lá Vega, oficial de la secretaría del despacho de Marina: D. Blas Ostolaza, deán de la sarita iglesia de Cartagena: D. Antonio Remon del Valle , secre tario de la junta/milítar de Indias: D. Diego Fernandez Peredo, prior del consulado dé México; D. Tomas Ramón de Ibarrola^ D. Manuel de Urquiága y el conde de la Cortina, cónsules del expresado consulado.</t>
  </si>
  <si>
    <t>Valle, Josef Francisco del</t>
  </si>
  <si>
    <t>Josef Francisco del Valle</t>
  </si>
  <si>
    <t>…de la villa de Torrijos; á Carlos y Antonio Sánchez. Antonio Blazquez, D. Serafín y D, Agustin Lezamaiz, vecinos de la vi lla del Prado; á D. Ramón de Ataola, de la de Ajofrin; á D. Josef Francisco del Valle, de Madrid, y á D. Josef Irunzaga, de la de Bilbao; todos acreedores á la testamentaría de D. Frutos Rodríguez Noles, vecino y del comercio que fue de la referida villa del Prado, para que en el término preciso y perentorio de 15 días, contados desde hoy . co…</t>
  </si>
  <si>
    <t>Valle, Josef Mateos y</t>
  </si>
  <si>
    <t>Josef Mateos y Valle</t>
  </si>
  <si>
    <t>…de Valde-Caballeros, y Juez privativo ae las Reales dehesas de los Guadalupes á D. Pedro León de la Plaza Segura: para la de Portillo á D. Garlos Covarrubias: para la de Gimena á D. Josef Mateos y Valle: para la de Garrobillas á D. Dionisio Marcelino Angulo: para la de Cuevas de Vera á D. Josef Vicente de Castro: para la de Benvipre á Don Josef Ruvial: para la de Orgiva á D. Gines Muñoz Paíao: para la de Revi lla á Juan Bautista Loperraez: para la de Ardales…</t>
  </si>
  <si>
    <t>Valle, Juan Fernandez del</t>
  </si>
  <si>
    <t>Juan Fernandez del Valle</t>
  </si>
  <si>
    <t>…timos dueños se le entregarán. Cirugía forense general y particular, dividida en 4 partes, que son cirugía foren se civil, política, militar, canónica y criminal: obra original de D. Juan Fernandez del Valle, profesor de cirugía, dividida en 3 tomos en 8.°, de los cuales el tomo 2 ° contiene la cirugía forense criminal, que comprende todas las enfermedades qui rúrgicas que reconocen por causas las violencias, y el 3.0 la decisión de todos los casos que se pueden…</t>
  </si>
  <si>
    <t>Valle, Juan Francisco del</t>
  </si>
  <si>
    <t>Juan Francisco del Valle</t>
  </si>
  <si>
    <t>…minación dé marques de Villa verde de Limia, dispensándole el pago de lanzas y medias anatas, por su vida y la de su inmediato sucesorÉl Rey nuestra Señor se ha servido conceder á D. Juan Francisco del Valle , contador de Reales maestrazgos de la villa de Alcántara, ios hono res dé tesorero de exército , en atención á los buenos servicios y distingui dos méritos, que ha contraído durante la guerra que acaba de fenecer, coatribuyendo con sus esfuerzos i la justa c…</t>
  </si>
  <si>
    <t>Valle, Manuel</t>
  </si>
  <si>
    <t>Manuel Valle</t>
  </si>
  <si>
    <t>…e sin habersesacado todo el fruto que se. propuso aquel presidente de la espedicion respetable que con aquel y otros cuerpos en combinación, dirigió al mando del Tenien te Coronel D. Manuel Valle contra^Padilla y otros varios caudillos, que desde el cerro de Carretas, Tarabuco y otras posiciones amagaban á la ciu dad; porque los infames las abaldonaron á-la-aproximación de nuestras tro pas*. Solo el cerro alto y escarpado.de G-uancaraniintentó el mula…</t>
  </si>
  <si>
    <t>Valle, Pedro García del</t>
  </si>
  <si>
    <t>Pedro García del Valle</t>
  </si>
  <si>
    <t>…a universidad de Osma, y besar su. Real mano á nombre de esta corporación ei limo. Sr. D. Juan de Cavia, obispo de aquella diócesi, su canciller; D, Manuel Serrano, pres bítero, y D. Pedro García del Valle, individuos de ella, y el último tam bién catedrático de instituciones canónicas de la misma; habiéndole dirigido ei primero el discurso que sigue : „Señor: si la universidad de Osma hubiera existido ai-tiempo del feliz regreso de V. M. á sus dominios y á su…</t>
  </si>
  <si>
    <t>Valle, Pedro Nicolás del</t>
  </si>
  <si>
    <t>Pedro Nicolás del Valle</t>
  </si>
  <si>
    <t>bernadór que era entonces del Consejo, para auxiliar a! alcalde de casa y corte D. Pedro Nicolás del Valle; y para la canongía, que resulta vacante en la referida catedral de León por la promoción del expresado D. Josef Perez García, á D. Fernando Hermoso, El Rey se ha dignado nombrar para el corregimiento político de la ciudad y plaza de Almería á D. Ramón Conti,…</t>
  </si>
  <si>
    <t>Vallejo, Benito</t>
  </si>
  <si>
    <t>Benito Vallejo</t>
  </si>
  <si>
    <t>…,0 i 1 i ? ví 0..r-C . T A . , En el Real cuerpo de Guardias de su Real Persona. Grados de tenientes coroneles, a los subrtgadieres D.Luls Fernandez Li nares , D.'Miguel Santiago, D. Benito Vallejo, D. Bernardo Cantero', Don Fernando Orozco, D. Julián Cano, D. Alfonso Leiva, D. Manuel Martínez de Velasco y D. Francisco Vaca: á subrigadieres del cuerpo al cadete Don Luis del Panva Cadétés supernumerarios á los guardias DV Ráfaél de Córdo ba y D. Josef Po…</t>
  </si>
  <si>
    <t>Vallejo, Benito Josef Moyano y</t>
  </si>
  <si>
    <t>Benito Josef Moyano y Vallejo</t>
  </si>
  <si>
    <t>…á D. Gaspar Montejano.=El beneficio simple servidero de S. Pedro de la villa de Moya, diócesis de Cuenca, vacante por promoción de D. An selmo Aguado al de la villa de Sacedon, á D. Benito Josef Moyano y Vallejo..^ La ración, vacante en la catedral de Ciudad-Rodrigo por muerte de Do»</t>
  </si>
  <si>
    <t>Vallejo, Diego</t>
  </si>
  <si>
    <t>Diego Vallejo</t>
  </si>
  <si>
    <t>…étés supernumerarios á los guardias DV Ráfaél de Córdo ba y D. Josef Ponce de León i á tenientes vivos y efectivos de caballería ; eo¿ sueldo y antigüedad de tales, á los guardias D. Diego Vallejo, D. Gabriel VallejoDi Pedro Lüengó Alderéte^ y D. Dámaso Ghamoohln: á alféreces vivos y efectivos de caballería, Cón süéldó de talesjy grado de tenientes, á los guardias D. Jiian Soto , D/Vicente Hore , D. Estéban Sarrie, D. Siiñpií Bañuelos , D. Juan de la C…</t>
  </si>
  <si>
    <t>Vallejo, Domingo</t>
  </si>
  <si>
    <t>Domingo Vallejo</t>
  </si>
  <si>
    <t>7°8 D. Domingo Vallejo, vecinos de dicha villa, hasta el día a fie Julio próximo, en que se hará la provisión. * Se desea saber el paradero de D. Francisco Giménez, natural de Gete en el rei no de Granada, subteniente retirado del regimiento de infantería de Sevilla: en is de Octub…</t>
  </si>
  <si>
    <t>Vallejo, Felipe González</t>
  </si>
  <si>
    <t>Felipe González Vallejo</t>
  </si>
  <si>
    <t>ioi 8 Tendreíslo entendido, y fo comunicareis a quienes corresponda.=Señala do de la Real mano. = En Palacio á de Agosto de í8i¡. = A Don Felipe González Vallejo. Pura ocurrir á los gastos del estado se saca á pública subasta el destroce y roza de las leñas de los montes nuevo y castaños de lá'villa del Villar del Olmo; lo que se verificará ante la justicia de dicha villa el dia 9 de Setiembre á las 12 de la mañana. Q…</t>
  </si>
  <si>
    <t>…muestre las alteraciones que convenrga hacer. Tendreislo entendido, y lo comunicareis á quienes correspondaéar: Señalado de la Real mano. = En Palacio á 31 de Agosto de 1815 .:= A Don Felipe González Vallejo. 2.0 Habiendo tenido á bien por decreto de esta fecha restablecer el sistema general de mi Real Hacienda al ser y estado que tenia antes de la pro mulgación del Real decreto de 2 5 de Setiembre de 1799, el CDa^ be’derogado y anulado en todas sus partes,.asi c…</t>
  </si>
  <si>
    <t>Vallejó, Felipe González</t>
  </si>
  <si>
    <t>Felipe González Vallejó</t>
  </si>
  <si>
    <t>…ndoos responsable y á la Secretaría de vuestro car go de su cumplimiento. Tendreislo entendido , y lo comunicareis á quien cor responda. = En Palacio *á 3 r de Agosto de 1815. = A D. Felipe González Vallejó.” % ' ■ / 1 . * ■ ■ 3.0 ,,Estimando no solo conveniente sino de justicia que en atención al ser vicio de mar y tierra que en la -ultima guerra han hecho los individuos de mi Armada naval , se hagan estensivas á1 los mismos las gracias que me digné Conceder á…</t>
  </si>
  <si>
    <t>Vallejoen, Felipe González</t>
  </si>
  <si>
    <t>Felipe González Vallejoen</t>
  </si>
  <si>
    <t>…ministerio de Estado. Con fecha de 3 del presente mes comunica el Sr. Secretario de! Despa cho de Estado el Reai decreto siguiente : „ Hallándome satisfecho del buen desempeño de D. Felipe González Vallejoen el Despachó interino de la Secretaría de Hacienda que le confié por mi decreto de 2 de Febrero último, he venido en nombrarle para que sirve dki propiedad lá referida Secretaría.” Lo traslado 4 V. de Real orden pata su inteligencia y efectos conve* ■¡entes. M…</t>
  </si>
  <si>
    <t>Valleste</t>
  </si>
  <si>
    <t>…lvr resistido el re gimiento de Lena en columna cerrada y con sus bayonetas tres cargas por dos regimientos de caballería. Por lo que respecta á la acción de Bornos, para tener el general Valleste ros en continuo movimiento al egército de Soult, sacar subsistencias del país que aquel ocupaba, y animar á los pueblos que el enemigo con su política procuraba desalentar, le convenia atacar el centro de su línea mandada por el general Semelé, lo que verific…</t>
  </si>
  <si>
    <t>Vallesteios, Francisco</t>
  </si>
  <si>
    <t>Francisco Vallesteios</t>
  </si>
  <si>
    <t>…al del mismo, con el debida respeto hacen presente á V. M., á su nombre y al de la oficialidad y trppa que tienen la gloria de haber pertenecido al egército que mandó el te niente general D. Francisco Vallesteios, que habiendo visto con satisfacción la soberana resolución de V. M. con fecha 26 del próximo pasado, que de clara los medios de comprobación al mérito del valor imperturbable, no sa brían apreciar su honor, ni tendrían aquella ¡dea de sí mismos que conduce á…</t>
  </si>
  <si>
    <t>Vallesteros</t>
  </si>
  <si>
    <t>…todas estas fuerzas de 14© infantes, 700 caballos y ocho piezas de ar tillería; y el total de las nuestras de 5® infantes y la caballería referida con. cuatro piezas da á tres. El general Vallesteros para contrariar esta operación, y al mismo tiempo egecutar otra muy importante en el orden militar y po lítico, resolvió emprender una de las mas atrevidas campañas: en consecuen cia dejó al brigadier marques de las Cuevas con una brigada en observación de Go…</t>
  </si>
  <si>
    <t>…ue el de la graduación de su mérito exige un giro opuesto; pero de todos modos procurarán omitir todo lo que sea:proligidftdf- , . . ; En cuanto á la accion.de Lo ja í^gtiiendo el general Vallesteros el movi miento general de Soult en su retirada de las Andalucías, dejó el egército al cargo del Príncipe de Anglona en Antequera y Archidona, y marchó con 3® infantes y la caballería en seguimiento de Courrous, que cubría la reta guardia con la división emple…</t>
  </si>
  <si>
    <t>Vallesteros, Francisco</t>
  </si>
  <si>
    <t>Francisco Vallesteros</t>
  </si>
  <si>
    <t>…rdenes competentes, co municando ademas á quienes, corresponda este mi decreto para- su; cumplí-, miento. = Señalado de la Real mano de S. M.=En Palacio á 15 de Junio de i8i5.==:A D. Francisco Vallesteros/V ’ Continuación de las gracias que se ha servido hacer el Rby nuestro Señor en celebridad de sus dias por la secretaría de Estado y del despacho de Gracia y Justicia (*). En la iglesia catedral de Urge) la dignidad de capiscol, vacante por muer te de D. Silv…</t>
  </si>
  <si>
    <t>…Ronda en clase de granjero, y en la misma pasó posteriormente á continuar su mérito en el batallón nombrado de Bar bones , perteneciente al tercer egército del mando del teniente general Don Francisco Vallesteros: durante el tiempo de dicha guerra acreditó en las ac ciones de ella un valor heroico, y en los trabajos y privaciones una resigna ción egemplar, sin aspirar ni admitir recompensa alguna. Enterado sel Rey nuestro Señor de esta distinguida conducta de Casa Roj…</t>
  </si>
  <si>
    <t>…dad*Real. ARTICULO DE OFICIO. El Rey se ha servido expedir el decreto siguiente: He tenido á bien nombrar para Secretario de Estado del despacho de Guerra, vacante por renuncia de D. Francisco Vallesteros, al Capitán Ge nera! de Cataluña Marques de Campo Sagrado ; y para que no padezcan atraso las atribuciones de dicho Ministerio, es mi voluntad que hasta su ar ribo se encargue del Despacho D, Luis de Salazar , mi Secretario dé Estado y del despacho de Marina.…</t>
  </si>
  <si>
    <t>Vallesterosr</t>
  </si>
  <si>
    <t>…de estar apoyado en su castillo, y ser muy superior en fuerzas. Por lo que mira á la acción de Cartama, cuando todas las fuerzas de Soult se hallaban á una, dos y tres marchas del general Vallesterosr y en observación de sus movimientos, era necesario que la rapidez y buen concier to de estos imposibilitara al enemigo el combinar una operación general para destruirle, con mucha mas razón en una época en que por las desgracias ocurridas en varías provincias…</t>
  </si>
  <si>
    <t>Valls, Pedro</t>
  </si>
  <si>
    <t>Pedro Valls</t>
  </si>
  <si>
    <t>…oficiales segundos á los terceros D. Prudencio María Piohai*do,' Po Joaquín Navarro, &gt; i).«Juan /Francisco, Vivanco, D.'Eugenio Hetnaez,* D.Ignacio dePazo^, D. Felipe Heriiahdefc, D. Pedro Valls, D. Manuel Sauz. 4 . *'¿ ,y^P. Gil ^ y Pin¿&amp; v * _ Ascenso ¿oficiales terceros á los cuantos D.: Juan de Hazas,rD. Bernar-* dino Fernandez ,D. Joaquín Manuel de Teva, D./ Francisco Cándido de Ote-* jpo , D. Juan Higinio Qyiatanilla, D. Juan Yarda, D. Francisc…</t>
  </si>
  <si>
    <t>Valmont</t>
  </si>
  <si>
    <t>…estado eclesiástico. Les qúe quieranso licitarlo dirigirán sus memoriales al ayuntamiento de dicha villa. Triunfos de la- verdadera religión contra los extravíos dé la razón en el conde Valmont: cartas recogidas y publicadas por el Sr. N.-: traducidas del francés al cas tellano por el M. R. P. Fr. Clemente Miliaria, predicador é hijo de la provincia de Cartagena, de la regular observancia de N. P. S. Francisco: cinco tomos en 4.* Se hallarán en la l…</t>
  </si>
  <si>
    <t>Valverde, Blas Perez</t>
  </si>
  <si>
    <t>Blas Perez Valverde</t>
  </si>
  <si>
    <t>…7 de Febrero de 1815. El Rey se ha servido nombrar para una canongía con el título de.digr nidad cardenalicia, vacante en la santa iglesia metropolitana de Santiago por muerte de D. Blas Perez Valverde, á D. Pedro Andrés Poúrret, canónigo de la catedral de Orense; y para la maestrescolía, vacante en la iglesia ca tedral de Zamora por muerte de D Francisco González, á D. Agustín Sán chez Villalobos, admitiéndole la renuncia que ha hecho de igual dignidad en…</t>
  </si>
  <si>
    <t>VanBraem</t>
  </si>
  <si>
    <t>…en estado en que se halla el reino de los PaísesBajos basta saber, que el Rey Guillermo tiene ahora tres escuadras en la mar, una que va á la isla de Java, otra ál maridó del vice-almirante VanBraem, que va, á Curazao; y la tercera, compuesta de cinco fragatas, dos bergantines y cuatro goletas, mandadas por el contra-almirante Tulleken, que cruza en el-Mediterráneo para proteger él comercio holandés contra los insultos dé los corsarios berberiscos» GRAN…</t>
  </si>
  <si>
    <t>Vandamme</t>
  </si>
  <si>
    <t>754 ' . ■ • puerpo del general Vandamme , y la guardia y los coraceros del general Mil&lt;;*. ...I lj^ud* se formaron eji Ia.¿altura,deJ^loro. | A las tres de la tarde , estando ya acabadas de tomar estas disposiciones, la división del general Lesól, que componía parte del cuerpo del general Vandamme,…</t>
  </si>
  <si>
    <t>…y en las cuales hemos hecho un número considerable de prisioneros, nuestras tropas hicieron prodigios dq valor. Las tropas francesas que se hallaron en esta jornada fuer®n“las del general Vandamme. Se han echado sobre el Sena tres puentes de barcas, dos debajo del puen te de Austerlitz, del lado de la Gara , y otro cerca del puente de, Jena. Se cree que sea con el objeto ¡ de que la infantería pueda pasar con mas pronti tud y espedicion. vy r, * , Esta…</t>
  </si>
  <si>
    <t>…rouchy se encuentra en la necesidad de abreviar su movimiento hácia París, y situar su cuartel gene ra^ en Dammartin. El cuerpo del general Reille se apostará en Gónésse, y el del general Vandamme en Nanteuil. - : ' Se hallan interrumpidas l» comunicaciones telegráficas de Lila y Metz cóir;Pari&amp; i. ; n-‘ • ::í:■ Se asegura que en la sesión secreta de anoche, en la cámara de los repre4* sentantes, él gobierno dio' las seguridades mas positivas de que la…</t>
  </si>
  <si>
    <t>…rden de enca minarse á'Marsella. Se asegura: qué van á ponerse guarniciones en diferentes pueblos de la Provenza para mantener en ellos el buen orden. Limoge* k.° de- Agosto* &gt; El general Vandamme ha establecido su cuartel general en Argenton. Los soldados de la guardia nueva que. están en Massay, desean incorpo^ jarse en la guárdiá. realtodos ellos llevan escarapela blanca.. ■A ;■ Soi&amp;ons. z de Agosto*. Las tropas, aliadas que sitian í. esta plaza no.…</t>
  </si>
  <si>
    <t>…la guardia nacional y los volunta rios Reales de Marsella* Las ¿ropas inglesas quedos acompañaban, se volvieron sin entrar en Tolon, por hallarse ya esta plaza sometida al Rey. El general Vandamme ha pásado'revista el 26 de Julio en Chateaurour á las tropas de su división, qu el levaban ya la escarapela blanca, y deshilaron gritando /piyaiel Rey ^ viva la nación. ) ¡El mariscad ;Ney Jposéia 1 dos magníficas casas de campo á poca distancia de Ghateaudui…</t>
  </si>
  <si>
    <t>Vandamrne</t>
  </si>
  <si>
    <t>…ar con toda severidad las leyes y órdenes, no solo sobre los pasapor tes , sino también sobre cualquiera otro particular. Esta mañana se ha publicado una memoria justificativa del general Vandamrne: el mariscal Soult había ya publicado otra suya en que procuran respectivamente hacer sus apologías. ESPAÑA. Madrid, o.$ de Diciembre. ARTICULO DB OFICIO. Circular del Consejo Real, . Por difxcmó. Sr. D. Tomas Moya no, Secretario dé Estado y del Des cacho uni…</t>
  </si>
  <si>
    <t>Vandeleur</t>
  </si>
  <si>
    <t>…ierabrigadade dé húsares^, y íá:mandaifá sir Henrique Vivían.___ La segunda brigada in* glesa se compone de los regimientos ii.°, 12.0 y 16.0 de dragones, á las ór denes del mayor general Vandeleur.—-El i.° y 2.0 de dragonea ligeros, y él 2?*‘de húsares de lá legión alemana deh Rey, formarán la primera briga* da de caballería de la legión alemana del Rey , la cual mandará el maycyr general sir W . Bomberg..__ LoSHrdgimfetítos i.° y 3.0 de húsares de la…</t>
  </si>
  <si>
    <t>Varaez, Juan de Vargas y</t>
  </si>
  <si>
    <t>Juan de Vargas y Varaez</t>
  </si>
  <si>
    <t>…por muerte de D. Miguel Uñarte, á D. Tomas Cuellar, medio-racionero dé la de Segovia: para otra canongía de la iglesia catedral de Zamora, qne re sultará vacante por promoción de D. Juan de Vargas y Varaez á otra de la iglesia metropolitana de Granada, á D. Nicolás Colmenero: para otra ca-‘ nongía de la iglesia catedral de Orense, que resultará vacante por promo ción de D. Pedro Andrés Pourret á otra de la iglesia metropolitana de San-; tiago, á D. Matías Gonzá…</t>
  </si>
  <si>
    <t>Varan, Juan</t>
  </si>
  <si>
    <t>Juan Varan</t>
  </si>
  <si>
    <t>…obo, núm. 16, quarto ;éntrésueló¡ ’’ • : :T ' • * \ Se desea saber si existen los individuos siguientes, ó en su defecto sus' herede ros ó sucesores D, Francisco Rodríguez Rey na, D. Juan Varan got,; 0¡. Pedro Bornaldely compañí&amp;,&gt;yrD¿ Gabriel del Campo y Saiazar. qne todos, Al los i ma* de ello», ;es fu vieron' establecidos. &amp; 'con negoctp* en Gádi z., 5e&gt; su plica afque! hf ísepa se sjrva avisarlo á p. Juan Antonio Llo/eute , vecino y dcl comercio…</t>
  </si>
  <si>
    <t>Vardera, Francisco Díaz</t>
  </si>
  <si>
    <t>Francisco Díaz Vardera</t>
  </si>
  <si>
    <t>…ja Inqui sición ; el Dr. D. Domingo de Arce, del gremio y claustro de la universidad de Alcalá, del Consejo de S. M., y su ministro jubilado de la chancillería de Granada; el Dr. D. Francisco Díaz Vardera, agente fiscal del Supremo Consejo de Hacienda, del gremio y claustro de |a misma universidad; el Dr. D. Josef Saiz de Rozas, presbítero, y del de la universidad de Osma; el Dr. D. Mauricio Baradat, del de la de Salamanca, y abogado de los Rea les Consejos; e…</t>
  </si>
  <si>
    <t>Varela, Francisco Javier Vázquez</t>
  </si>
  <si>
    <t>Francisco Javier Vázquez Varela</t>
  </si>
  <si>
    <t>…de la audiencia de Estremadura, se ha servido S. M. jubilarle con las dos terceras pajrtes de sueldo. Atendiendo el Rey á los méritos y servicios contraídos por D. Felipe Sobrado, D. Francisco Javier Vázquez Varela y D. Josef Alonso Valdenebro, Oidor el primero de la audiencia de Galicia, el segundo Alcalde mayor del crimen de la misma, y el tercero Oidor de la chanciliería de Valladolid* adhesión á su Real Persona, actividad y buen desempeño en la comisión que S. M. les confió po…</t>
  </si>
  <si>
    <t>Varela, Joaquín López</t>
  </si>
  <si>
    <t>Joaquín López Varela</t>
  </si>
  <si>
    <t>…po de Artillería: grado de Capitán á D. Antonio Salazar, D. Antonio Toxo, Don Xavier Pimentel y D. Ramón Osores, del Provincial de Santiago; D. Ber nardo Becerra, del de Betanzos; D. Joaquín López Varela, D. Antonio Guerrero, D. Josef Guerrero, D. Juan de Castro, D. Juan López, Don Pedro Santistéban y D. Josef Novoa, del de Lugo; D. Luis Blanco, Don Pedro Iglesias, D. Pedro Ruiz Peña, D. Pedro Rodríguez, D. Isidro del Rio, D. Antonio Arias, D. Manuel Quiñones…</t>
  </si>
  <si>
    <t>Varela, Josef</t>
  </si>
  <si>
    <t>Josef Varela</t>
  </si>
  <si>
    <t>…arroquial de Berbegal, diócesis de Lérida, á D. Josef Cagigos.=La canongía presbiteral que ha va cado en la colegiata de Junquera de Ambia, en el obispado de Orense, por muerte de D. Josef Varela, á D. Manuel Fernandez Ama. = La ración'va cante en la catedral de Salamanca por muerte de D. Manuel Sánchez Alonso á D. Lucas Cotilla y Sánchez, cura párroco de Nava-Gallega en aquella diócesis.=La ración vacante en la catedral de Avila por fallecimiento de…</t>
  </si>
  <si>
    <t>Varela, Manuel Fernandez</t>
  </si>
  <si>
    <t>Manuel Fernandez Varela</t>
  </si>
  <si>
    <t>…or muerte de D. Miguel Craoyvinguel, á D. Josef Alonso Montoya, deán de la iglesia catedral de Almería: para el de la de Lugo , vacante por fallecimiento de D. Antonio de Lence, á D. Manuel Fernandez Varela, prior de Accba, y canónigo de la misma catedral: para una canongía de la iglesia catedral d.e Ceuta,, vacan-, te por muerte dé D. Juan Duran, á D. Juan Hernández de Prado, ración ñero de la misma; y para una capellanía titulada de Reyes nuevos de To-&lt; ledo e…</t>
  </si>
  <si>
    <t>Várela, Manuel Fernandez</t>
  </si>
  <si>
    <t>Manuel Fernandez Várela</t>
  </si>
  <si>
    <t>…xcmos. Sres. marqueses de Astorga y Castelar, gentileshombres de cáma ra de S. M., grandes de España de primera ciase, grandes cruces de la Real orden de Cirios m &amp;c. &amp;c. y el Dr* D. Manuel Fernandez Várela, prior de Acoba, dignidad y canónigo de aquella santa iglesia, quien tomando la palabra, dirigió á S. M. el siguiente discurso: r Señor: En representación de vuestra M. N. y M. L. ciudad de Lugo, y de toda la provincia de su nombre, venimos á rendir"! V. M. e…</t>
  </si>
  <si>
    <t>…e los honores de oidor de la Reíd fcbanfeiflería dé Valkdólid: para la dignidad de prior de Acoba- ycanongía de la iglesia catedral de Lugo, que resultan vacantes por promoción de Don Manuel Fernandez Várela át deanato de la misma iglesia, á D. Miguel Gregatio Salazar, Canónigo y dignidad de maestrescuela de la de Mondoñedo*: *bara 'otra canongía de la misma catedral de Lugci ¿ vacante por fallecimiento de D.Francisco Pelaeé CaUOedo y á D. Juan1 Cnácón&gt;. para otr…</t>
  </si>
  <si>
    <t>Vargas</t>
  </si>
  <si>
    <t>…D. Josef Olasarra, al comandante accidental de artillería D. Antonio Riozo, al teniente del mismo cuerpo D. Agustín Rodríguez , á un pardo comandante del escuadrón de Gorrín, y al comandante Vargas del batallón de infantería. Todo lo quede-* vo ai superior conocimiento de V. E. para su inteligencia y satisfacción.” Por Real resolución, á consulta de la Cámara, se ha servido S. M. con ceder á D. Manuel Ortiz de Pinedo, corregidor de la ciudad de Toledo,…</t>
  </si>
  <si>
    <t>Vargas, Antonio de</t>
  </si>
  <si>
    <t>Antonio de Vargas</t>
  </si>
  <si>
    <t>…Doria. = Brancadoro. = Scotti. s Saluzzo. ss Ruñó. = Lina. Asimismo desde el 28 de Marzo hasta el 3 de Abril han llegado á esta ciudad los personages siguientes: Los Excmos. Sres. D. Antonio de Vargas, ministro de S. M. Católica cerca de la Santa Sede: el caballero de Lebzeltern, enviado extraordinario de S. M. el emperador de Austria cerca de la Santa Sede : el arzobispo Gio; Marcheti; el conde De-la-Tourdupin, embaxador extraordinario en el con greso de…</t>
  </si>
  <si>
    <t>Vargas, Cristóbal Jurado de</t>
  </si>
  <si>
    <t>Cristóbal Jurado de Vargas</t>
  </si>
  <si>
    <t>…Madrid 29 de Julio dé 1815. ’ El Rey nuestro Señor se ha dignado admitirla oferta de 75284^5. que en varios recibos de suministros entregados á nuestros egárcitos na hecho á S. M. D. Cristóbal Jurado de Vargas, regidor perpetuo de la ciudad dé Ubeda, maridando! que se le den gracias y publique este acto de generosidad patriótica. &lt; Asimismo se ha dignado S.M. admitir el donativo de los sueldos que Don Jayme Grau, capitán agregado al regimiento de infantería de Fern…</t>
  </si>
  <si>
    <t>Vargas, Joaquín Bernad y</t>
  </si>
  <si>
    <t>Joaquín Bernad y Vargas</t>
  </si>
  <si>
    <t>…isco»Xaviét ViLlanueva:para el de la isla de la Gran Cana ria á D. Salvador Ferradas ^ para el de la isla de Tenerife y la Palma á Don Juan Bautista Persiva t para el de Córdoba á D. Joaquín Bernad y Vargas; y para el de Erija á D- Agustín Guaxardo Faxardo» Para el corregimiento de Gibraleon á D. Josef Barragan y Car bailar: para el de Rota y Chípiona á Dv Rafael Manuel Mavarrete y Ortega: para la vara del Burgo de Osma á D. Agustín de Velasco y Calleja; y proro…</t>
  </si>
  <si>
    <t>…erritorio; y de su recibo me dará V. aviso. Dios guarde á V. muchos años. Madrid 26 de Abril de 1815. S. M. ha nombrado para el corregimiento político de la ciudad de Cdr-r doba á D. Joaquín Bernad y Vargas: para el de Ecija á D. Agustín Guaxardo y Faxardo; y para el de Murcia á D. Manuel Deñamayor y Echavarri. Para el corregimiento de letras de Linares á D. Josef Julián de Ortega: para el de Anduxar á D. Juan Bautista Aiberola: para el de Olmedo á Don Gil de S.…</t>
  </si>
  <si>
    <t>Vargas, Juan de</t>
  </si>
  <si>
    <t>Juan de Vargas</t>
  </si>
  <si>
    <t>…, á D. Miguel Raygon y Diaz, dignidad de tesorero de la catedral de Gu. dix: para una canongía, vacante en 1:&lt; misma iglesia por fa llecimiento de D. Juan Josef Sánchez Moscoso, á D. Juan de Vargas, in quisidor jubilado del santo tribunal de Córdoba, en consideración á sus mé ritos y dilatados servicios: para una ración, que se halla también vacante en dicha iglesia metropolitana por muerte de D. Julián García de Paredes, á D. Francisco Calvo Ruiperez;…</t>
  </si>
  <si>
    <t>…erSus:|ReaHes&gt;.iguardías infantería Española las si• ,’•■ . u.y./ •* ’ / / : ri . &lt;;•&gt; i.&gt;u\r Á;' ‘-.-fí f -orne! ru l v |: ,:l¡ Grado de teniente coronel á los segundos tenientes D. Juan de Vargas, D. Ramqnde Zujuag^, J&gt;. Josef las Cuevas r D. Francisco Javier de Vallarino|} D. JpsefíídfrÍA.Casasolai.D;; Fernando i JLuis María Montero, e ¡conde, deTprre jon p.¡Ran¡ian Qrpzco!, í&gt;.¡ j^e£ Hezeta* í&gt;. Maijmei.Vazr quez y D.-Francisco Velarde,áe;$te último…</t>
  </si>
  <si>
    <t>Vargas, Luis Merino de</t>
  </si>
  <si>
    <t>Luis Merino de Vargas</t>
  </si>
  <si>
    <t>…a, inquisidor jubilado del santo tribunal de Córdoba, en atención á sus méritos y servicios: para otr$ canongía de la referida iglesia catedral de Piasencia, vacante por muerte de D. Luis Merino de Vargas, á D. Juan Sánchez Conde, canónigo de la de Coria: para otra de la misma iglesia de Piasencia, vacante por fallecimiento de D. Juan Muñoz, á D. Bruno del Castillo, cura de la parroquial de San Pedro de Ciudad-Rodrigo: para otra canongía de la iglesia catedral…</t>
  </si>
  <si>
    <t>Várgas, Pedro García de</t>
  </si>
  <si>
    <t>Pedro García de Várgas</t>
  </si>
  <si>
    <t>…Manuel Michel, D. Francisco Arahgo, y D. Estéban López, del Regi miento de Mallorca; á D. Félix Llano, D. Gregorio Martin, D. Gabriel Olgado, D. Josef Mela, D. Felipe San Alberto, D. Pedro García de Várgas ,y D. Agustín Reviila, del de Voluntarios de Avila; á D. Pedro Doz, D. Ignacio Fuerte , D. Josef Gacet, D. Guillermo Dot, y D. José f Villar de Francos, del Provincial de Segovia; á D. Santiago Muriedas, D, Isi doro Moreno, D. Antonio Gallego, D. Juan Calderó…</t>
  </si>
  <si>
    <t>Varona, Tomas Marcos</t>
  </si>
  <si>
    <t>Tomas Marcos Varona</t>
  </si>
  <si>
    <t>…Castilla: para la de Igea á D. Josef Beortegui,; y para la de Alburquerque á D. An tonio Ayala. Para el corregimiento de Albacete á D. Antonio Fernandez BriV: para el de^Paradas á D. Tomas Marcos Varona: para el de Mayorga á Don Anastasio Pí nos y Palos: para el de Jadraque á D. Andrés Casaux: para el de Sisante y Vara de Rey d D. Marcos Espinosa: para el de Ponferrada á p. Luis de Lemus Gil de Taboadá ; y para el de Herrera dei Rio Pisúerga</t>
  </si>
  <si>
    <t>Vasserot</t>
  </si>
  <si>
    <t>1310</t>
  </si>
  <si>
    <t>…gunda clase cerca de las potencias ex,t ron ge ras, exceptuando las embajadas de familia. Varias cartas particulares refieren que á consecuencia de una orden del mariscal de campo barón Vasserot, comandante de los Pirineos orientales, salió el 17 de Octubre dé la ciudadela de Perpiñan un destacamento de óo hombres de la legión del alto Garona, á las órdenes del capitán Raimundo Viguier, con dirección á la aldea del Elne, distante tres leguas de Perpi…</t>
  </si>
  <si>
    <t>Vatlabriga, Mariano Rodrigo</t>
  </si>
  <si>
    <t>Mariano Rodrigo Vatlabriga</t>
  </si>
  <si>
    <t>…Rey se ha servido nombrar para la dignidad de prior de la iglesia co legial regatar del santo sepulcro de la ciudad de Calatayud, vacante por muerte de D. Josef Angel FoncUlas» á D. Mariano Rodrigo Vatlabriga, dignidad secutar de limosnero de la misma iglesia: para los beneficios de Gumiel de Izan y Vill^escusa, vacantes por renuncía de D. Gregorio Arago nés «ambos en él obispado de Osma » á D. Josef Domínguez Hernández: para otro beneficio limpie servidero de san…</t>
  </si>
  <si>
    <t>Vaupraet</t>
  </si>
  <si>
    <t>…de Austria vestido de simple particular, sin insignia ni comitiva alguna, fue el sábado de la semana pasada á ver la biblioteca Real, donde estuvo conversando largo tiempo con el caballero Vaupraet, con servador de la biblioteca. Después de haber examinado con mucho interes las bellas ediciones de autores alemanes, griegos y latinos que hay en este gran museo, se ocupó S. A. I. en reconocer el monetario, y por las obser vaciones que hizo, manifestó no e…</t>
  </si>
  <si>
    <t>Váz, Pedro</t>
  </si>
  <si>
    <t>Pedro Váz</t>
  </si>
  <si>
    <t>…. Angel Alvarez Sotomayor, D. Pedro Angel Marcó del Pont y D. Heradio Alaiz. Y para igual empleo del regimiento provincial de Betanzos al Teniente coronel agregado al mismo cuerpo D. Pedro Váz quez Pimentel. Asimismo se ha servido S. M. nombrar á D. Fermín Gil de Linares, Fiscal de la audiencia de Estremadura, para la fiscalía del Consejo de Navarra, y para la plaza de Fiscal de la audiencia de Estremadura á D. Josef Rodríguez Biedma: para la de Al…</t>
  </si>
  <si>
    <t>Váz, Pedro de Mendoza y</t>
  </si>
  <si>
    <t>Pedro de Mendoza y Váz</t>
  </si>
  <si>
    <t>…orregimiento de Montilla para que le sírva por seis años: á Don Josef Pascual Bayot para que continué sirviendo por otros seis la vara de alcalde maypr de la villa de Espejo ; y á D. Pedro de Mendoza y Váz quez, alcalde mayor de Torbiscon ,tpara que siga en dicha vara los quatró ?ños que le faltan para cumplir su sexenio: para el corregimiento de Tordesillas á D. Pedro Ventades: para el de Reynosa á D. Domingo Salinas: para la vara de Murcia á D. Ignacio Marian…</t>
  </si>
  <si>
    <t>Vázquez, Bernardino</t>
  </si>
  <si>
    <t>Bernardino Vázquez</t>
  </si>
  <si>
    <t>…rsonas que los tenian con fiados al cuidado de su casa, le fueron confiscados por Napoleón Buonaparte, arrancándolos á la fuerza de poder del difunto contador de su casa y estados D. Bernardino Vázquez. A consecuencia de dicha reclamación se hallan re tenidos cinco vales Reales de á 600 pesos de la creación de Setiembre, se ñalados con los números 5524, 136560,136711, 1373 5 5, 137615 ; los cuales en la renovación que se hizo en i.° de Setiembre de 1808, sa…</t>
  </si>
  <si>
    <t>Vázquez, Francisco</t>
  </si>
  <si>
    <t>Francisco Vázquez</t>
  </si>
  <si>
    <t>…e proveerá el dia i.° de Abril en quien se crea mas á propósito. Avisos saludables de un filósofo cristiano, distribuidos para cada dia del mes, traducidos al castellano por el P. D. Francisco Vázquez, clérigo reglar de S. Ca yetano 8cc. Lleva unajámina fina alegórica con su explicación: un tomo en 8.° Se hallará en las librerías de Escribano, calle de las Carretas, y de Iliescas, calle ancha de Majaderitos, á 11 rs. en pasta. Tratado de la alegría del alm…</t>
  </si>
  <si>
    <t>Vázquez, Manuel</t>
  </si>
  <si>
    <t>Manuel Vázquez</t>
  </si>
  <si>
    <t>…manos á nombre de las comunidades religiosas de la filia—' cion y obediencia del Excmo. Sr. cardenal arzobispo, existentes en Toledo y en varios pueblos de su arzobispado, el Dr. D. Manuel Vázquez, pres bítero, secretario de la visita y superintendencia general de los expresados cotí ventos, y catedrático de filosofía moral en la Real universidad de Tole do^ eu los términos siguientes : - - -</t>
  </si>
  <si>
    <t>Vázquez, Manuel Figaeroa y</t>
  </si>
  <si>
    <t>Manuel Figaeroa y Vázquez</t>
  </si>
  <si>
    <t>…Hurtado, abogado intruso én esta corte, natural de Almodovar del Campo, y vecino de ella, al presidio de Alhucemas por seis años , de donde no saldrá sin expreso permiso de S. M. D. Manuel Figaeroa y Vázquez, agregado al estudio del agente fiscal de la sala de alcaldes de casa y corte, natural de la Gran Canaria, y vecino de esta corte, al Peñón de Velez de la Gomera por ocho años, y con igual cualidad. D. Francisco Meseguer., agente de negocios, natural de Orihu…</t>
  </si>
  <si>
    <t>Vcrríer</t>
  </si>
  <si>
    <t>Núm. 134. I $ cuartos. ] 1223 GACETA DE MADRID DEL JUEVES 26 DE OCTUBRE DjE 181 $. CORCEGA. Bastía J¡ de Setiembre. El caballero Vcrríer, coronel del cuerpo Real de artillería, y coman-, dante interino dé la 23.a división militar, ha publicado hoy la proclama si guiente , en que se descubre una conspiración de Murar. . ,, Vecinos y soldados: Al tomar el mando interino de la división, me propus…</t>
  </si>
  <si>
    <t>Ve-r, Almirante Duque de</t>
  </si>
  <si>
    <t>Almirante Duque de Ve-r</t>
  </si>
  <si>
    <t>…de los pueblos de su respectivo territorio; y del recibo de esta me dará aviso. Dios guarde á V. muchos años. Madrid 13 de Setiembre de 1815. El Rey nuestro Señor, á propuesta del Señor Almirante Duque de Ve-r ragua , Presidente del Supremo Consejo de Hacienda, y encargado por S. M, de la dirección y gobierno de los estados secuestrados por muerte de la últi ma S»mw|at Duquesa de Alba, se ha dignado nombrar para los curatos que resultan ^vacantes en el estado de Mo…</t>
  </si>
  <si>
    <t>Veas, Antonio García de</t>
  </si>
  <si>
    <t>Antonio García de Veas</t>
  </si>
  <si>
    <t>…á D. Fernando Pinuaga: ha concedido los honores de ministro de la chanciliería de Granada á D. Josef Fernandez Quevedo, y los de Alcaide de la Cuadra de la audien cia de Sevilla á D. Antonio García de Veas, Teniente coronel y Auditor ge neral del egército de la izquierda. Asimismo atendiendo á la avanzada edad y achaques de D. Francisco Gutierre^ Garavantes, Alcalde del crimen de la audiencia de Estremadura, se ha servido S. M. jubilarle con las dos terceras pa…</t>
  </si>
  <si>
    <t>Vegas, Antonio</t>
  </si>
  <si>
    <t>Antonio Vegas</t>
  </si>
  <si>
    <t>…tima edición , corregida y añadida no tablemente , y con especialidad en lo que corresponde á España y América, con* los sucesos y variaciones acaecidos en estos últimos años: por D. Antonio Vegas: seis tomos en 4.^ en letra pequeña. Los señores subscriptores acudirán á recoger el tomo 3.0, y adelantar el importe del 4.®/que se está imprimiendo , y sé dará á la mayor brevedad. Sin-embargo de que quando se publicó el tomo 2.° se dixo no se admitirían ma…</t>
  </si>
  <si>
    <t>Vegue, Vicente Martin</t>
  </si>
  <si>
    <t>Vicente Martin Vegue</t>
  </si>
  <si>
    <t>…uel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Riquélme- ; ^ Ascenso á tenientes de fragata A los alféreces de navio D. Josef Rodríguez, D. Francisco.; Guiral,…</t>
  </si>
  <si>
    <t>Veíarde, Gabriel de Hoyos y</t>
  </si>
  <si>
    <t>Gabriel de Hoyos y Veíarde</t>
  </si>
  <si>
    <t>40</t>
  </si>
  <si>
    <t>…s gra cias en su Real nombre ;y ha nombrado para presidente de la junta á V- E., y para vocales ial obispo électoatmliarrie Madrid, al vicaHo ecicsiisticO, al cora de Grties,, y á D. Gabriel de Hoyos y Veíarde, que harádcsecretario con noto.— Apenas te imtale esta jurua { Ir» que procurará V» E. sea d ía mayor brevedad posible) anunciará qtte admite subscripciones de las personas benéficas que se interesan en aliviar la suerte de sus hermanos afligidos., señalando…</t>
  </si>
  <si>
    <t>Veíez, Fernando</t>
  </si>
  <si>
    <t>Fernando Veíez</t>
  </si>
  <si>
    <t>…vá,&lt;'. ESPAÑA. Madrid 12 ¿de .Abril, El dia 13 de Noviembre último tuvo la honra de besar la.mano y felici tar á S. M. á nombre de la villa de Totana en el reyno de Murcia el Dr. D. Fernando Veíez, del hábito de Santiago:, su capellán de honor, y dixo: „Señor : el alcalde mayor y ayuntamiento de la villa de Totana (en la que tuve el honor de ser cura párroco, vicario ecjesiástico y visitador gene ral ) me encarga felicitar á V. M. por haberse regresado…</t>
  </si>
  <si>
    <t>Velada, Josef</t>
  </si>
  <si>
    <t>Josef Velada</t>
  </si>
  <si>
    <t>73^* . ... . D. Antonio Gómez,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'Aquiíinb Otolá ,(D&gt;í Jo…</t>
  </si>
  <si>
    <t>Veladiéfc, Joaquín</t>
  </si>
  <si>
    <t>Joaquín Veladiéfc</t>
  </si>
  <si>
    <t>…z...... . D. Carlos Sebastian Malagamba. En Plaséncia...... D. Juan Campo y Oliva* En Valencia........ D. Ramón Miralles. En Avila.d...:...... D. Manuel palomares. Én Guqddlajara. D. Joaquín Veladiéfc. Eti TáiedoJ.......... D. Francisco Perez. En Murcia........ D. Josef TJbach. En Oviedo:.lD. Juan Pérez. En Ciudad*Real. D. Mateo Casado y Romero. En Jaén..... ......... D. Francisco López Zavala. En Ségüvia......^.: Señores viuda de Ramiro y Mesa. En6Cühicá.…</t>
  </si>
  <si>
    <t>Veladiez, Joaquín</t>
  </si>
  <si>
    <t>Joaquín Veladiez</t>
  </si>
  <si>
    <t>En r. vio k; * nl¡ En Guadalajara. D. Joaquín Veladiez. * tJ« Toledo.......,.."-‘D:! 'Francisco Pérez! oh ?. • ' n Murcia..,....». D. Josef Ubach. " En Oviedo... '....... D. JuanPerez. 2í * Ciudad ^.Real.r D.MateoGasado y Romero. I 1 r • ■ : - i i4 .En Jaén..... .^.;..;i I&gt;^ Frane¿sGb^Lopíez Zavala. &gt; ■'! - i. *¡…</t>
  </si>
  <si>
    <t>…,»......D. Garlos Sebastian Malagamba» JEn Pldsencia.......D. Juan Campo y Oliva. Mn Valencia..... . D. Ramón Miralies. Mn Avila............. D. Manuel Palomares. JEn Guadalajara. D. Joaquín Veladiez. Mn Toledo D. Francisco Peréz.. ■ Mn Murcia.......... D- Josef Ubach. t Mn Oviedo?........... 3XJuan Pérez. Mn Ciudad-Real. D-. Mateo Casado y Romero. Mn Jaén.............. D„ Francisco López Zavala. Mn Segovia...Señores viuda de Kamiro y Mesa. Mn Cuenca.....…</t>
  </si>
  <si>
    <t>Veladiez, Josef</t>
  </si>
  <si>
    <t>Josef Veladiez</t>
  </si>
  <si>
    <t>…tro, se siguen autos por los síndicos de la testamentaría del difunto Eircmo. Sr, conde de Requena, comendador que fue de la de Galizuela, en la de Alcántara, con los herederos de D. Josef Veladiez, sobre rescisión del con trato de dicha encomienda; y siendovpartes én los referidos autos el Lie. D. Juan Josef Goriiez Palenzuele , D. Pedro Manuel Folgueras, Doña Juana Rodríguez , viu da de D. Pedro Tegeiro, D. Gaspar Eugeni, D. Juan Ruiz Morales, D. Jose…</t>
  </si>
  <si>
    <t>Veladiezj, Josef</t>
  </si>
  <si>
    <t>Josef Veladiezj</t>
  </si>
  <si>
    <t>…Manuel Folgueras, Doña Juana Rodríguez , viu da de D. Pedro Tegeiro, D. Gaspar Eugeni, D. Juan Ruiz Morales, D. Josef, D. Joaquín y D. Bernabé VcladieZ, como herederos del difunto D. Josef Veladiezj</t>
  </si>
  <si>
    <t>Velarde</t>
  </si>
  <si>
    <t>…erritorio español. El populacho immoló unas 30 víctimas: se ignora todavía el nú mero de las casas robadas. Entre los asesinados se hallan varios clérigos. El teniente de Rey y el coronel Velarde fueron muertes á puñaladas , perecien do asi. este en el lazo que él mismo había tendido; porque es imposible dexar de ver en este movimiento la mano oculta del gobierno español.” En el diario, general, del 3 del corriente en el artícolo de París, de fecha de…</t>
  </si>
  <si>
    <t>Velarde, Francisco</t>
  </si>
  <si>
    <t>Francisco Velarde</t>
  </si>
  <si>
    <t>…ef Mavila* cura dé Aucara. El partido de Parirtacochas se halla según el estado que acompaña mos, y para su defensa y tranquilidad se le dan instrucciones ai subdelega do interino D. Francisco Velarde, quien se está conduciendo con el - mayor ■'acierto. - ■ 7 - u; :</t>
  </si>
  <si>
    <t>Velarde, Pedro</t>
  </si>
  <si>
    <t>Pedro Velarde</t>
  </si>
  <si>
    <t>…os, vacante por fallecimiento de D. Pe dro Vicente Berrio, y por no haber tenido efecto el nombramiento que S. M . se sirvió hacer de esta canongía en D.’ Saturnino Santa María, á Don Pedro Velarde, doctor en ambos derechos y y cbmándante del régimientó de' tiradores de Cantabriapara uña ración, vacante enda catedral de Piasencia por premoción de D. josef CástiSlá á uóal canongía de la iglesia car fedraí de Goatemála, á D. Francisco Mcntoya; y para eí p…</t>
  </si>
  <si>
    <t>Velarde, Pedro de Tagle</t>
  </si>
  <si>
    <t>Pedro de Tagle Velarde</t>
  </si>
  <si>
    <t>…tercero de asís* tente dé la misma ciudad á D. Gaspar Armengol: pará lajdeT alcalde mayor de Viilafranca del Vierzo á D. Melchor Díaz Valcárciel Tpara la de Agui*? lar de Cimpoo á D. Pedro de Tagle Velarde; y para el corregimiento de Lerma á D. Isidro Balseyro. D. Antonio Alvarez Youtes, cura propio de la paroquial de Pascualgrande^ obispado de Avila, desea saber el paradero de Pedro Martin Gutiérrez, que fue soldado en el de milicias de esta capital, y pasando…</t>
  </si>
  <si>
    <t>Velarde, Pedro Tagle</t>
  </si>
  <si>
    <t>Pedro Tagle Velarde</t>
  </si>
  <si>
    <t>…ra el de Coronil á D. Pedro García Cembrero: para el de la Puebla de Alcocer á D. Francisco González Vilches: para el de Palencia á D. Manuel de Villapadierna: para el de Niebla á D. Pedro Tagle Velarde; para el de Pruna á D. Josef María Moscoso y Anaya .* para eTde Zahara á D. Antonio Villareal; para el de ' Espera á D. Rafael Josef Castilla: para el de Hita á D. Manuel Antonio Barba: para el de Castrogeriz á D. Juan Pedro Navarro: para el de Almon-</t>
  </si>
  <si>
    <t>Velasco, Angel Fernandez</t>
  </si>
  <si>
    <t>Angel Fernandez Velasco</t>
  </si>
  <si>
    <t>…de la Salud de. la Havana, yja cabeza de un anciano, se hallan de venta én esta corte en la librería de Castillo , frente á las gradas dé S. Felipe, y en el almacén de estampas de D. Angel Fernandez Velasco, calle Mayor, núm. 3, frente á la casa del conde de Oñate, á los precios si guientes: Nacimiento en pliego imperial, á 100 rs.; la Perla en pliego de marca á 80: la Virgen del Pez en id. á 30: el paso del Jordán en dos estampas apaisa das en id. , cada juego…</t>
  </si>
  <si>
    <t>Velasco, Domingo Antonio</t>
  </si>
  <si>
    <t>Domingo Antonio Velasco</t>
  </si>
  <si>
    <t>…ente, para que el .pueblo acabe de persuadirse del modo con que obra un establecimiento que no conoce mas respetos ni consideraciones qué la recta administración de justicia. v &lt;: D. Domingo Antonio Velasco, vecino de la ciudad de Salamanca, y re sidente en esta corte callé dé la Salud, casa núm. 7, cuarto 2.fue delatado á S. M. por medio de cierto escrito firmado al parecer en la misma corte poít D. Juan Díaz Bermejo, á 9 de Junio último, atribuyéndole los horr…</t>
  </si>
  <si>
    <t>rañdo abundantemente y por todos fos medios mas e$tfaordi nanos probado que D. Domingo Antonio Velasco en tiempo de lá dominación intrusa , en Ja época i}é'.las llamadas Cortes y en la actual ha sido y és un vasallo fie! de" S. Mvy decidido por su soberanía y pór la justa catfsa Ijue lá nación si¿uídi acreedor" p&gt;or lo tahtÓ á las consideraciones de Si M.: y a…</t>
  </si>
  <si>
    <t>Velasco, Francisco</t>
  </si>
  <si>
    <t>Francisco Velasco</t>
  </si>
  <si>
    <t>…ngues de Montevideo. Asimismo se ha servido S, M. nombrar en el regimiento de infantería el Real de Lima, existente en el Perú, con la antigüedad de 18 de Mayo de 814; capitanes á D. Francisco Velasco y D. Pedro Noriega; tenientes de granaderos á D. Josef Moreno y D. Juan Cosío; ídem de fusileros á D. Josef Cañas, D. Ignacio de Castro y Neg reyros y D. Francisco Cañas; subteniente de granaderos á D. Juan Valdivíeiso, y subtenientes de bandera á D, Manuel Gil, D. Josef Nicolá…</t>
  </si>
  <si>
    <t>Velasco, Francisco'Arias</t>
  </si>
  <si>
    <t>Francisco'Arias Velasco</t>
  </si>
  <si>
    <t>…Francia, ni tatnpóco si retrocedió á encontrarse en él referido ' ataque ; por lo que se súplica á la persona qué supiere de éi lo avise al mencionado pueblo, d« Sarna de Grado i D. Francisco'Arias Velasco. : EN LA IMPRENTA REAL.</t>
  </si>
  <si>
    <t>Velasco, Josef Sancho</t>
  </si>
  <si>
    <t>Josef Sancho Velasco</t>
  </si>
  <si>
    <t>…, diócesis de Avila, que va có por muerte de D. Josef Sanz Negro, á D. Josef de Lucas Ramos: para el beneficio préstamo de Birbadiilo, diócesis de Salamanca, vacante por muerte de D. Josef Sancho Velasco, á D. Antonio González Benito, cura del lugar de Coca de Huebra en el mismo obispado: para otro beneficio servidero de Baños, en el obispado de Jaén, vacante por muerte de Don Juan Gutiérrez, á D. Josef Antonio Borrego Sotomayor, cura párroco de Truxillanos:…</t>
  </si>
  <si>
    <t>Velasco, Josef Vaídés y</t>
  </si>
  <si>
    <t>Josef Vaídés y Velasco</t>
  </si>
  <si>
    <t>…otro beneficio de Tortoles, en el arzobispado de Burgos, vacante por muerte de D. Bernardo Moñirio, á D. Jiian Antonio Serrano. r •7 ' ■ ' En atención á los méritos y servicios de D. Josef Vaídés y Velasco, peí nitendario de la pontificia Real iglesia de Italianos de esta cortease ha ser vido S.M. agraciarle con una ración vacante en la santa iglesia de Arequipa por mnene de D. Manuel de la Peñ?. El Rey nuestro Señor se ha dignado confirmar el privilegio de la…</t>
  </si>
  <si>
    <t>Velasco, Manuel Martínez de</t>
  </si>
  <si>
    <t>Manuel Martínez de Velasco</t>
  </si>
  <si>
    <t>…ntes coroneles, a los subrtgadieres D.Luls Fernandez Li nares , D.'Miguel Santiago, D. Benito Vallejo, D. Bernardo Cantero', Don Fernando Orozco, D. Julián Cano, D. Alfonso Leiva, D. Manuel Martínez de Velasco y D. Francisco Vaca: á subrigadieres del cuerpo al cadete Don Luis del Panva Cadétés supernumerarios á los guardias DV Ráfaél de Córdo ba y D. Josef Ponce de León i á tenientes vivos y efectivos de caballería ; eo¿ sueldo y antigüedad de tales, á los guardias D. Diego Vallejo, D…</t>
  </si>
  <si>
    <t>Velasco, Rafael</t>
  </si>
  <si>
    <t>Rafael Velasco</t>
  </si>
  <si>
    <t>…os en él memorable dia dé S. Fernando, . ' En el Real cuerpo de Artillería. Grados de subtenientes á los sargentos primeros D. Miguel Castelló, Don Antonio Canals, D. Josef Martí, D. Rafael Velasco, D. PedrÓ Aymasmi, D. Antonio Adami, D. Pablo Alvarez , D. Dámaso Arroyo', D. Vicente Sier ra, D. Gregorio' Desea, D. Domingo Fernandez, D. Francisco íFerr&amp;Éidez, D. Josef Casulla, D. Juan Fernandez ,D.Gil Garande, D. Josef Castro, Don Josef Morales, D. Joaqu…</t>
  </si>
  <si>
    <t>Velasco, Rafael Ximenez de</t>
  </si>
  <si>
    <t>Rafael Ximenez de Velasco</t>
  </si>
  <si>
    <t>…quando se entregó, sin que se haya vuelto á saber de él; é importando saber su existencia, las personas que puedan dar alguna noticia de él se servirán comunicarla en esta corte i D. Rafael Ximenez de Velasco, calle de los Jardines , núm. 17, quatro segundo , y en la villa de Cá ceres á &gt;11 hermano D. Juan Becerra Ximener. * El Hombre feliz independiente del mundo y de la fortuna , ó arte de vivir con tento en qualesquíer trabajos de la vida: obra escrita «n portu…</t>
  </si>
  <si>
    <t>Velase, Ramón Rodríguez de</t>
  </si>
  <si>
    <t>Ramón Rodríguez de Velase</t>
  </si>
  <si>
    <t>Asimismo, y jfor las respectivas renuncias dé D. Ramón Rodríguez de Velase*», D. Léon González del Camino, D. Juan Antonio Morejon, Don Josef Antonio de Oscoz y D. Antonio Fernando Briz, se ha dignado S. M. nombrar, á consulta de dicho tribunal, para las varas de S. Vicente á Don Santiago Amatrtain: de Pedro Muñoz á D. Antonio Rodrí…</t>
  </si>
  <si>
    <t>Velasen, Bernardo</t>
  </si>
  <si>
    <t>Bernardo Velasen</t>
  </si>
  <si>
    <t>…imonista de Sta. María de Albeira en el arzobispado de Santiagos para ei de Sta. María de Pegeiros, en la propia diócesis de Orense, vacante por muerte de D. Jacobo Cid Salgado, á D. Bernardo Velasen -.y Losada* cura párroco de Santiago de Renche en la abadía de Samos: párárel de San Salvador de Faramontaos , en la referida diócesis de Orense, vacante por as censo de D. Benito López Burugorri al curato de S. Salvador de Nqcedo, á D. Domingo Andrés Sánchez…</t>
  </si>
  <si>
    <t>Vélaseos, Ramón Rodríguez</t>
  </si>
  <si>
    <t>Ramón Rodríguez Vélaseos</t>
  </si>
  <si>
    <t>…no: para el de Marbella á D. Marcos Cachapero:. para la vara de Purchena á Don Francisco Fernandez: para la de Tobarra á D. Antonio Roca y Bayot: para la de Adra, Berja y Dalias á D. Ramón Rodríguez Vélaseos para la de Puerto Real á D. Joaquín Pardiñas de Soto: para la de Almería á Don Manuel Perez de los Ríos: para la de la villa de Haro á D. Antonio Guar dilla: para la de Aguilar de Córdoba á D. Blas Josef de Martos: para la de Moron á D. Manuel Sotillos Montij…</t>
  </si>
  <si>
    <t>Velazquez, Diego</t>
  </si>
  <si>
    <t>Diego Velazquez</t>
  </si>
  <si>
    <t>…Antonio de la Cárcel y Comas: otro bene ficio servidero de la parroquial de Santiago en la villa de Sepúlveda,que vacó por fallecimiento de D. Antonio Julián de Velasco y Manso, á D. Diego Velazquez. ==Una canongía de la iglesia colegial de S. Felipe de Játiva, que va có por muerte de D. Juan Cabellos, á D. Joaquín Barrachina , capellán de nú mero de la Reai armada: otra canongía vacante en la misma colegiata por</t>
  </si>
  <si>
    <t>Velazquez, Ignacio</t>
  </si>
  <si>
    <t>Ignacio Velazquez</t>
  </si>
  <si>
    <t>sales, D. Diego.Carbonell,D. Antonio Bórdon$,D. Ignacio Velazquez,Don Andrés Ramos, D. . Josef Velez, D. Francisco Contreras, D. Manuel Auñon, Dt' Josef Palillos, D. Antonio Acosta, D» Francheo Menduiña, D. Julián Senessens^iD* Josef AraüjoyD. Antonio Rute, D. Manuel Santander, D. Josef Domínguez , D. Josef!Montero y D. Ped…</t>
  </si>
  <si>
    <t>Vellosilló, Fernando</t>
  </si>
  <si>
    <t>Fernando Vellosilló</t>
  </si>
  <si>
    <t>…vuestra soberanía, como siem pre lo han hecho y defendido con dignidad diferentes profesores suyos. „ El arzobispo de Granada Di Pedro Guerrero, tan célebre entre los li teratos, ,D. Fernando Vellosilló, obispo de. Lugo, y otros quatro colegiales del citado'Vuéstfo Oolégiogrande, siendo catedrático de prima de teología el segundo, v todpsyloctpres de lafuniversidad, sostuvieron en el santo concilio dé^rfelñtjbyós^dérecKól dé vuestro trónó cdli tal tino , sab…</t>
  </si>
  <si>
    <t>Vénages, Baltasar</t>
  </si>
  <si>
    <t>Baltasar Vénages</t>
  </si>
  <si>
    <t>…iglesia por muerte de D. Josef Brandia á Don Jospf Arnauto, eura párroco de Bañólas, en dicho obispado. = La canongía vacante en la iglesia metropolitana de Zaragoza por muerte de D. Baltasar Vénages á D. Pedro Satue, abad mitrado de la colegiata de Zafra , diócesis de Badajoz. =íLa media-raeion vacante en la catedral de Cádiz por promoción de D. ;Manuel Cos á canongía de la mismaiigiesia á D. Antonio Sistiaga, ca pellán del regimiento de infantería volun…</t>
  </si>
  <si>
    <t>Venancio</t>
  </si>
  <si>
    <t>…rte, D. Tiburcio Martínez, IX Rufino; Andinql IX Antonio la Rosa i D. Pedro Albo, D. Nicolás Giezar, DvJuanVicente , D. Eduardo Paules , ,D. Francisco Sánchez, D. Josef de Castro, D. Venancio, Garnez , D. Nicolás Laborda, D. Manuel 1 aborda*, D. Nicolao Ribera, D. Gregorio Dalmao ; D. Francisco Navas., D. Filiberto Malus, D.;/Josef •¡Blanco*L). Mariano Córdoba * P. Josef Ferrer, D. Ca yetano Vivar , P,; JqseJ de^fcuenca, EX Francisco Caso, D. Feli…</t>
  </si>
  <si>
    <t>Venégas, Francisco Javier</t>
  </si>
  <si>
    <t>Francisco Javier Venégas</t>
  </si>
  <si>
    <t>…sos progenitores. ? \ • Asimismo el dia n del propio mes se presentó á cumplimentar á S. M. ^on igual motivo á nombre de la ciudad de Montilla, en el reino de Córdo ba , el Escmo. Sr. D. Francisco Javier Venégas , teniente general de los Rea les egércitos. v , Igualmente el dia 20 del mismo D. Mateo Zurita , cura párroco de la iglesia de S. Hipólito el Real de la villa de Tamara, diócesis de Palencia, fe licitó á S. M. en nombre del vecindario y clero de aquella vill…</t>
  </si>
  <si>
    <t>Venegas, Francisco Xavier</t>
  </si>
  <si>
    <t>Francisco Xavier Venegas</t>
  </si>
  <si>
    <t>…á la paz y mas estrecha unión con nosotros para rechazar al enemigo común: dis curso que por su utilidad y espíritu patriótico hizo reimprimir en México el virey en aquella época D. Francisco Xavier Venegas. La impresión de este tomo se hizo ¿expensas de varios patriotas españoles residentes entonces en Inglaterra, y va acompañada de 13 láminas de la música correspondiente á las canciones. Manual del cristiano con ios ejercicios de la mas sólida piedad, con orac…</t>
  </si>
  <si>
    <t>…las Indias: duque de Montemar, presidente del consejo de Indias: D. Francisco Xavier Castaños, capitán general de íos Reales éxércitos, y presidente de lá junta militar dé Indias: D. Francisco Xavier Venegas, teniente general dé los Reales éxércitos, y virey que fue' de Nueva-España: D. Gaspar Vigodet, teniente general de los Reales exércitos, y capitán general que fue de las provincias del Rio de la Plata : Don Francisco Xavier Abadía, mariscal de campo de los R…</t>
  </si>
  <si>
    <t>Venero, Manuel</t>
  </si>
  <si>
    <t>Manuel Venero</t>
  </si>
  <si>
    <t>…ue ya se dirigía otro trozo por mi costado derecho /contra el que despaché inmediatamente la primera compañía de granaderos del primer regimiento á cargo de su capitán el teniente coronel D. Manuel Venero, la cual hasta el fin de la acción, obró valerosamente, oponiendo un dique in vencible á la inundación , qué me venia con el doblé objeto de ponerme entre dos fuegos, y posesionarse del campo que racionalmente supusieron lo había de abandonar en los ulteriore…</t>
  </si>
  <si>
    <t>Venero, Mariano</t>
  </si>
  <si>
    <t>Mariano Venero</t>
  </si>
  <si>
    <t>…, comandante del bata* llon denominado del General ; su intrépido sargento mayor el teniente coro nel D. Francisco Ánglada; los siempre animosos comandantes de guerrillas teniente coronel D. Mariano Venero, capitán de egército D. Josef Ignacio Iturralde, y su segundo el capitán graduado D. Baltasar García; y en suma nq hay individuo alguno que no se baya hecho acreedor al inestimable re nombre de alustres guerreros del egército del Rey. , ... „En el pn.ebío de…</t>
  </si>
  <si>
    <t>Venesas, Francisco Vicente</t>
  </si>
  <si>
    <t>Francisco Vicente Venesas</t>
  </si>
  <si>
    <t>…Josef Romo ,á D. Matías -dé Sók y Beltráh,, Cáfróhfgo -péniéenckrió de la catedral de Ibiza: pára una canongía de la iglesia metropolitana de Sevilla, VáCante-pOr falleóimíento*de D. Francisco Vicente Venesas f á D. Mieuel de Vargas Fernandez, racio%féro&lt;:dé-4a^nismanigle^? {mnFtítNi"Baza, diócesis de Guadix, vacante por muerte de D. Luis Naryaez:, á P. Pedro Mar tínez Bellido1: para étra'Cahbñgía de la iglesia cólegiáf de Al faro, vacante por 'miuérté- ¿e! Ó. Máh…</t>
  </si>
  <si>
    <t>Vengoa, Pedro</t>
  </si>
  <si>
    <t>Pedro Vengoa</t>
  </si>
  <si>
    <t>…ceptible, para eterno monumento de los desvelos que le merecen sus leales es pañoles ; y con este objeto se ha servido» S. M. nombrar por director de los expresados baños al Lie. D. Pedro Vengoa, arcediano de Náxera, dignidad de la santa iglesia catedral de Calahorra. Nota. Estos baños se hallan ya abiertos para el público desde principió del corriente mes, y lo estarán hasta fines de Octubre. Por el juzgado del Sr. D. León de la Cámara Cano, y escri…</t>
  </si>
  <si>
    <t>…. Sres. D. Blas Jacobo Beltran, Obispo dé Coria, y ’D. Manuel Benito Tabernero , Obispo de Solsona; y padrinos del primero el venerable deán y cabildo de Calahorra, y en su nombre D. Pedro Vengoa y D. Josef Ignacio de Ansótegui; y del se gundo el venerable deán y cabildo de Plasencia, y en su nombre D. Andrés A ransay y Sancho y D Francisco de Sales Andrés* La concurrencia estraordínaria de toda clase de personas contribuyó á solemnizar mas esta auguqa ceremonia, que escitó en el án…</t>
  </si>
  <si>
    <t>Ventades, Pedro</t>
  </si>
  <si>
    <t>Pedro Ventades</t>
  </si>
  <si>
    <t>…Pedro de Mendoza y Váz quez, alcalde mayor de Torbiscon ,tpara que siga en dicha vara los quatró ?ños que le faltan para cumplir su sexenio: para el corregimiento de Tordesillas á D. Pedro Ventades: para el de Reynosa á D. Domingo Salinas: para la vara de Murcia á D. Ignacio Mariano de Mendoza: para la de Rueda á D. Manuel* Sotillos Montijo ; y para la de Moron á D. Francisco Caballero Henrújuezrpara el corregimiento de Requena á D. Miguel Martinez Del…</t>
  </si>
  <si>
    <t>Ventu</t>
  </si>
  <si>
    <t>…te de D. Esteban Pinos,á D. Félix Torres Amat, canónigo de la iglesia colegial de S. Ildefonso; y la dignidad de arce diano de Llobregat, vacante por muerte de D. Cayetano Mojo, á D. Ventu ra Josef Mas mit ja, arcediano de Alpuente en la catedral de Segorve: la ca nongía de la colegiata de Sta. Ana en la misma ciudad dé Barcelona, vacante pot muerte de D. Ramón Besart, á D. Juan Gerardo Fosch. = En ia cate dral de.Mondoñedo una canongía, que va…</t>
  </si>
  <si>
    <t>Venturo, Andrés Perez</t>
  </si>
  <si>
    <t>Andrés Perez Venturo</t>
  </si>
  <si>
    <t>…rte de D. Anselmo Liaño a D. Miguel Diez y alférez licenciado del regimiento de húsares de caballería de Burgos. ¡= La ración va cante én la catedral de Coria por fallecimiento-de D. Andrés Perez Venturo á EX Bruno Joaquín Espadero-, director espiritual del seminario dé Cáeéres.=: El arcíprestazgo de la villa» de Alburquerquey vacante por muerte- de D. Pedro; Caballero Huertos r á D. Manuel de Osma? y Huertos, con intención- del be—■ neficio servidero que obt…</t>
  </si>
  <si>
    <t>Verástegui, Prudencio María de</t>
  </si>
  <si>
    <t>Prudencio María de Verástegui</t>
  </si>
  <si>
    <t>distinguidos mérito? y servicios de D. Prudencio María de Verástegui, ve cino de la ciudad de v itoria, ha venido S. M. en concederle á sus dos hi jas Doña María Prudencia y Doña Margarita dé Verástegui el patronato que se halla vacante en el lugar de Goyaz, provincia de Guipúzcoa» por fallecimiento dé Doña'María deJa Concepci…</t>
  </si>
  <si>
    <t>Verde, Gervasio</t>
  </si>
  <si>
    <t>Gervasio Verde</t>
  </si>
  <si>
    <t>…D.iJosef! Trigueros,.^ D¿ Antonio María Saint dcAa^Mata^para el beneficiosérvi-T de.ro de ja iglesia parroquial dé la villa dé Sotillo * obispad©-de Osroa,va-^ cante por muerte ae D. Gervasio Verde idartinez Calderon,á D Manuet García. Y deseando S. M. premiar el mérito distinguidQ. del.presbítero D^l Isidoro Salazar en los servicio^honr osqscampaña qqe. ha .hecho en Ja, ditima guerra contra lo? enemigós ^t trpa'aiirante ta maíión &lt;lé estos,rey7(. nos ,…</t>
  </si>
  <si>
    <t>Verea, Pedro</t>
  </si>
  <si>
    <t>Pedro Verea</t>
  </si>
  <si>
    <t>…te agregado en el de Tuy; D. Josef Feijoo, en el de Lugo; D. Facundo Ibañez, en el de Voluntarios de León, y D. Josef Llórente, en el Provincial de Santiago: de Teniente Coronel á D. Pedro Verea y D. Josef Cólmelo, del mismo Regimiento Provincial de Santiago; D. Ramón Taboada, del Provincial de Betanzos; O. Antonio García, del de Lugo; D. Francisco García, del de Orense; D. Josef Orus, D. Basilio Rubio, D Antonio Cermeño , D. Alon so Puebla y D. Antonio Alonso Isla, de…</t>
  </si>
  <si>
    <t>Vergara, Francisco Ruiz de</t>
  </si>
  <si>
    <t>Francisco Ruiz de Vergara</t>
  </si>
  <si>
    <t>…Madrid, M etnoriá de Mendieta: su fundador D. Lo’pe de Mehdieta en Sevillá: sus patronos los tres señores consejeros de Castilla mas antiguos. —.Memoria de; Vergara: su fun dador D. Francisco Ruiz de Vergara , caballero ;del hábito de Santiago, y conseje-* ro de la Suprema, en 1692: patronos-el tixemo. Sr. conde,de forres y el P. prepó sito de S. Cayetano. _ Memoria de.Bandron: su fundador D. Diego Meñdez Bandron; quedó aneja ál mayorazgo que dejó á su hijo D. An…</t>
  </si>
  <si>
    <t>Veri, Juan Snreda y</t>
  </si>
  <si>
    <t>Juan Snreda y Veri</t>
  </si>
  <si>
    <t>…l adjunto diseño, por'si lá bondad de V. M. tuviese la de conceder esta gracia. Barce lona 27 de Junio de 1815,.:= Señor. := A JL. R. P. de V. M.=E1 conde de Caldagués. 2a. Señor: D. Juan Snreda y Veri, marques de Vivot, caballero de la orden'de Alcántara, brigadier de los Reales egércitos de V. M., comandante general de la primera brigada, tercera división del de ía derecha, puesto á los R. P. de V. M. con el debido respeto expone: Que el 16 de Abril de 18…</t>
  </si>
  <si>
    <t>Verrier</t>
  </si>
  <si>
    <t>x3of El 15 de Setiembre una proclama del caballero Verrier, comandante interino de aquella división militar, manifestó los proyectos del general fugiti vo á los habitantes alucinados, declarando traidores y rebeldes á los que re cibiesen dineros de Murat, quien se refugió entonces á Ajaccio, donde con tinuó mantenien…</t>
  </si>
  <si>
    <t>Vetilla, Angel de</t>
  </si>
  <si>
    <t>Angel de Vetilla</t>
  </si>
  <si>
    <t>…itos devengados del capital impuesto sobre la renta del tabaco de 91589 rs. y los réditos de varios juros,^_D.. Juan Molina y Tirri 4© rs. en dos recibos de sus sueldos vencíaos.__D. Angel de Vetilla, vecino de la villa de Torrecilla de Cameros, caballero divisero del ilustre y antiguo solar de Valdosera, 18608 rs; y 30 mrs. en efectivo. D. Antonio de Portóla, barón de Castellnou de Monsech ,11130 rs. vn. en cinco recibos $ie réditos de la renta del tabac…</t>
  </si>
  <si>
    <t>Vezares, Francisco</t>
  </si>
  <si>
    <t>Francisco Vezares</t>
  </si>
  <si>
    <t>…l mlámo señor y escribanía de provincia de D. Valdomero Moraleda, que se admitirán siendo arregladas. ; : Se desea saber de qué pueblo de Estremadura, la Mancha ó Rioja es natural Don Francisco Vezares, que fue comerciante en el Perú, y murió en Lima en fines del siglo pasado. Las personas que tengan noticia de la, población del dicho D. Francis co, de sus hermanos; sobrinos ó parientes dentro del 'cuarto grado, lo avisarán en Madrid á D. Josef Antonio de S…</t>
  </si>
  <si>
    <t>Vi</t>
  </si>
  <si>
    <t>…ue cede en beneficio de los que se dedican á este estudio;, proporciona al estado las utilidades quejón notorias. Las ^conocidas luces de;su maestro &gt; que lo fue desde su creación D. Vi cente Roig, académico de la -Real de Valenda, prometen el masféliz resol tado pbr el completo desempeño que ha acreditadoconstantemente; no p«diendo esperarse menos del patriótico zeld dé. Doña! Joaquina de-.Casteliaruau y deXamps, por los brillantes conocimi…</t>
  </si>
  <si>
    <t>Vi, Francisco</t>
  </si>
  <si>
    <t>Francisco Vi</t>
  </si>
  <si>
    <t>…eva le harán ser brillante y hermosísimo , según el pie en que ya se halla, debido todo al zelo, notoria inteligencia é inta 1gable actividad de su digno general en gefe el Escmo. Sr. D. Francisco Vi•liesteros, quien sin embargo de las muchas, vastas y graves ocupaciones que tiene á su cargo como secretario de./Estado fy del despacho universa, á: ia -Guerra de España é Indias, no perdona, medio o i fatiga para tan or¿c¡oso objeto,; en que se interesa, la-…</t>
  </si>
  <si>
    <t>Vi-</t>
  </si>
  <si>
    <t>…reces de navio D. Josef Rodríguez, D. Francisco.; Guiral, D. Ignacio de Rojas, D¿ Antonio Garrapedo, D. Fran-t pisco Ruiz Caballero;, D. Juári. Villavrcencio, D. Alejandro Beyens, D. Vi-, pente Méndez-, ,D..Ántontp del- Corro, Di Antonio Roso, D. Juan Robion, I&gt;. Josef Car rabedo, D. Francisco: del Moyo, D. Josef del Rio, D. Domin go Monduiña , D. Manuel Diaz Herrera, D. Josef del Calvo, D. Manuel Bar rientes; D. Juan Robles , D. Fráncisco de…</t>
  </si>
  <si>
    <t>Vial, Joaquín</t>
  </si>
  <si>
    <t>Joaquín Vial</t>
  </si>
  <si>
    <t>…n Bañuelos, -D. ♦ Juan Duran, D. Simón Poncé pjeLeón, D. Jóséf de Roca, D. Francisco de la Rosa, D. Alonso Tiscar* P. Manuel Tosta, D. Francisco Alameda, D.. Tomas Gómez Qui janó, Don Joaquín Vial ,’D. Francisco Sirera, D. Antonio dé la Rosa y D. Juan Bermuy.' ^ Ascenso á alféreces de navio á los dé fragata D. Manuel Arechevala, Don Agustín Bocal a n, D. Matías Aldao, D, Diego Gadea, D. Antonio Mella, Don Josef Barros, D., Alonso Butrón, D.•Felipe Saav…</t>
  </si>
  <si>
    <t>…o ep esta expedición j y con particularidad los dos comandante? , el teniente de navio D. Josef Sorondo, y el alférez de igual clase D. Josef Villavicencio, el teniente de fragata D. Joaquín Vial, los alféreces de navio D. Ramo% Gil, D. Onorio Sierra y D. Justo Pasalagua, el alférez de fragata D. Josef Baldasano, el graduado, práctico mayor del puerto D* Manuel Hornigo, y los pilotos habilitados de oficiales D. Simón Julián y D. Francisco Morales, los…</t>
  </si>
  <si>
    <t>Viaña, Antonio Martínez</t>
  </si>
  <si>
    <t>Antonio Martínez Viaña</t>
  </si>
  <si>
    <t>…do, ración ñero de la misma; y para una capellanía titulada de Reyes nuevos de To-&lt; ledo en la villa de Valdeolivas, diócesis de Cuenca, vacante por muerte den D. Josef Trúpita, á D. Antonio Martínez Viaña. El Rey se ha servido nombrar para el corregimiento de letras de la ciu dad de Borja á D. Pedro Martínez de Baños: para las dos alcaldías mayo res de ia ciud¿d de Valencia á D. Josef Fernandez Quevedo y D. Ignacio Guseme: para la de la ciudad de S. Felipe de…</t>
  </si>
  <si>
    <t>Vicen</t>
  </si>
  <si>
    <t>…as de Linares á D. Josef Julián de Ortega: para el de Anduxar á D. Juan Bautista Aiberola: para el de Olmedo á Don Gil de S. Juan Benito: para la vara de alcalde mayor de Málaga á D. Vicen te de Tormo y Pont: para la de la Isla de León , de tercera ó superior clase, á D. Ignacio Yañez Rivadeneyra; y para la de Badajoz á D. Antonio Jo sef Galindo: y últimamente se ha servido S. M. reponer á D. Autoría Pier nas en el corregimiento de Montilla par…</t>
  </si>
  <si>
    <t>Vicen, Manuel García y D</t>
  </si>
  <si>
    <t>Manuel García y D Vicen</t>
  </si>
  <si>
    <t>…»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Eulogio González, D. Manuel Lúeas, D. Cristóbal Martin, D. Joaquín Serrano y D. Amonio Pinalero2.a Enterado el Rey nuestro Señor del mérito que contraxo la División expedic…</t>
  </si>
  <si>
    <t>Vicente</t>
  </si>
  <si>
    <t>…ifestar su nombre. En virtud de exhorto librado por-el Sr. ,D. Josef Ramírez Gid, corregidor ca pitán á guerra por S. M. de la ciudad de Patencia, refrendado del escribano de ella D. Vicente ;Mate, fecha á 21 de Febrero próximo pasado, y cumplimentado en 8 del corriente por el Sr. D. León de la Cámara Cano, del consejo de S. M., primer teniente corregidor de esta heroyca villa, por testimonio de D. Claudio Sanz, es cribano del número, se cita y e…</t>
  </si>
  <si>
    <t>…a de Sevilla por fallecimiento del cardenal de la santa iglesia Romana £&gt;. Felipe Casoni: para la canongía vacante en la iglesia primada de Toledo por muerte de D. Ma nuel Ipola á D. Vicente de la Vega, racionero de la misma iglesia: para dignidad de maestrescuela de la iglesia catedral de Oviedo, vacante por fallecimiento de D. Domingo Henriquez de Puerta, á D. Ramón de Valdes Llanos, dignidad de abad y canónigo de la de Falencia: para una ca no…</t>
  </si>
  <si>
    <t>…consejo ae Hacienda, que ha resultado vacante por fa llecimiento de D. Manuel Lartiga , libre del derecho de medía anata: asi mismo, atendiendo S. M. á Ips mérítos"y servicios de D. Vicente ¡de Tormo ■ y Podt, alcalde mayor electo de la ciudad de Málaga &gt; se ha servido conce derle los honores de alcalde dél crimen de ia chancillería de Granada: en consideración al distinguido mérito y dilatada carrera de D. Manuel Caba llero, y eñ premió de la c…</t>
  </si>
  <si>
    <t>…ervera &gt; D. Francisco , Cascos, D. Juan Tejadár, DvBasilioBayoni, D.Joaquin Dolz, D. Salvador Arnardo, D. An tonio Marcoletá, D, Josef Gáliano, D. Manuel Ayolo, D. Ignacio Cambil, D. Vicente. Dolz , D. Manuel Fernandez , D. Rafael Montemayor, D. Ga briel Villoría, D, Diego Latorre, D. Pedro Vidal, D. Antonio Rey, D. Pe dro Áhnabai, D. Manuel Lomar, D. Pablo Chamorro , :D, Josef Ckuñer. DvJosefGucrra, D. Juan Sevillano , H. Josef Fonseca, D. Sanch…</t>
  </si>
  <si>
    <t>…El Rey nuestro Señor, en vista de lo informado por el intendente de Toro sobre los motivos que fueron causa de la muerte violenta dada en aque lla ciudadien 9 de Enero, de 1809 al intendente D. Vicente .Ma rentes, se ha servido declararle buen l servidor, y fiel á la justa causa de la libertad de su Rey y patria, conforme ha solicitado su viuda Doña Josefa de: la Piedra ; y en consideración ?á los infortunios que esta ha sufrido por la espresada causa, ha t…</t>
  </si>
  <si>
    <t>Vicente, Agustín</t>
  </si>
  <si>
    <t>Agustín Vicente</t>
  </si>
  <si>
    <t>…do Mayor de la misma', y á D. Josef Bérmudez, del Batallón de Urbanos : al grado de Teniente á los Subtenientes D. Josef Ramírez y D. Gaspar Reyna, del Real Cuerpo de Artir!ería ; D. Agustín Vicente y D. Ramón de Alcalá, auxiliares dei mismo Cuerpo; D. Josef de Canga, agregado al de Zapadores; D. Josef Bena, 0. Manuel Hueso, D. Fránciscp-Yarto, D. Mariano Rosas,. D. Henrique Puga, y D. Carlos ViHarejo, del Regimiento de Mallorca; D. Ignacio Llánderas , D. Miguel Moretid, D.…</t>
  </si>
  <si>
    <t>Vicente, Angel</t>
  </si>
  <si>
    <t>Angel Vicente</t>
  </si>
  <si>
    <t>…Coronel del Regimiento de Voluntarios de León: su ascenso in mediato al Escribiente del ramo de Cuenta y Razón de Artillería D. Juan Lafuente, y al Cirujano de Voluntarios de León D. Angel Vicente: hono res de Médico consultor á D. Enoch Herrero; y permite S. M. el uso de la referida Cruz concedida á la guarnición al padre ó pariente mas inmediato de D. Valentín Santogo, D. Carlos Quiñones, D. Manuel Avecilla, Pedro Villa, Cayetano Sancho, Miguel de Bc…</t>
  </si>
  <si>
    <t>Victo, Pedro Josef</t>
  </si>
  <si>
    <t>Pedro Josef Victo</t>
  </si>
  <si>
    <t>…;.pesar p{6r ésta gracia la pensión dé\i5® rs. que» le concedió sobre las rentas dé la mitra de Segovia : para una capellanía, vH cante en la Real capilla de Granada por muerte de D. Pedro Josef Victo ria, a D. Francisco Nunez, capellán del colegio de San Telmo en Sevilla* v para la racon, oue resulta en la iglesia catedral de Cádiz por promocíoíi de D. Joaquín Izquierdo a canongía de la misma, áD. BonifacLCastehi.</t>
  </si>
  <si>
    <t>Víctor</t>
  </si>
  <si>
    <t>…e se ofreció pasar á Francia para intentar la libertad del Rey nuestro Señor y de sus augustos Hermano y Tio, á cuyo efecto se dirigió al país enemigo incorporado en el convoy del mariscal Víctor; pero observando las grandes diñcultades que ofrecía una empresa de tal tamaño , desistió de ella.; Y últimamente se preparaba por encargo de Monseñor Nuncio para instruir al Santo Padre de las novedades que se intentaban en la Iglesia de España, cuando pusie…</t>
  </si>
  <si>
    <t>Víctores, Domingo Alonso</t>
  </si>
  <si>
    <t>Domingo Alonso Víctores</t>
  </si>
  <si>
    <t>…eo, ambos en el obispado de Cartagena , á,D. Sejcundino Alonso de Ozalia, cura párroco de la villa de Treviana. La canongía vacante en la catedral de Palencia por fallecimiento de Don Domingo Alonso Víctores á D. Julián Nicanor Recuero, capellán párroco del cuarto escuadrón de artillería ligera; la ración de la misma iglesia que ha vacado por muerte de D. Pédro Perdiguero á D. Bernardo María dé Ho mar; la canongía vacante en dicha catedral por promoción de D. Ant…</t>
  </si>
  <si>
    <t>Victoríno, Fráncisco</t>
  </si>
  <si>
    <t>Fráncisco Victoríno</t>
  </si>
  <si>
    <t>…erra , D. Frandsco Olmo:,* Don Fermí n Meneos^ «Dv VénturaiRiesco ,D. Josef Muñoz § D. Luis Gorrichátegui,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t>
  </si>
  <si>
    <t>Vicuña, Cristóbal de</t>
  </si>
  <si>
    <t>Cristóbal de Vicuña</t>
  </si>
  <si>
    <t>…lo; prevenidos de que les parará el perjuicio que haya lugar si no com pareciesen por sí ó persona que al efecto nombren, acreditándolo debidamente por la escribanía del número de D. Cristóbal de Vicuña. D. Juan Francisco de la Quintana, residente en el valle de Mena, provincia de Búrgos, avisa á D. Manuel Pórtela, que en el año de 1796 tiene noticia resi día en Cádiz, y á D. Andrés de Olave , maestre que fue de plata del navio de S. M* el Argonauta , para q…</t>
  </si>
  <si>
    <t>…iendo arregladas. El Sr. D. Joaquín,'Aimázári, dél consejó de S. M., teniente de, corregidor de ésta villa, en providencia de ¿4 del corriente dada por la escribanía def número dé D. Cristóbal de Vicuña, ha señalado él dia 2 de Julio próximo á las 8 de su ma ñana en su posada, calle de Toledo, frente de S. Isidro, para la junta de acreedo res de la testamentaría de los del señor conde marques de Perales, difunto; previ niendo que para evitar gastos se anunci…</t>
  </si>
  <si>
    <t>Vidal, Juan</t>
  </si>
  <si>
    <t>Juan Vidal</t>
  </si>
  <si>
    <t>…nados,para los siete mas* sobresa lientes, y asi se acordó que se sorteasen, y fueron adjudicados á D. Juan Andrés Estudillo, á D. Josef Zarzuela, á D. Francisco de Paula Silva, á D. Juan Vidal, á D. Manuel Manzorea, á D. Manuel Silva y á D. Manuel Bernal, ampliándose después á todos hss restantes; El ayuntamiento de dicha ciudad, satisfecho del zelo y traba jos‘de D. Francisco Girón en los re sultados de dichos exámenes, y á fin de estimular al ade…</t>
  </si>
  <si>
    <t>Vidal, Manuel Gordo</t>
  </si>
  <si>
    <t>Manuel Gordo Vidal</t>
  </si>
  <si>
    <t>…e Oidor de la chan ciliería de Valladolid que resulta vacante á D. Eladio Valdenebro. Para el corregimiento de Illescas ha nombrado S. M. á D. Ramón Añtuñano: para el de Atienza á D. Manuel Gordo Vidal: para el de Coronil á D. Pedro García Cembrero: para el de la Puebla de Alcocer á D. Francisco González Vilches: para el de Palencia á D. Manuel de Villapadierna: para el de Niebla á D. Pedro Tagle Velarde; para el de Pruna á D. Josef María Moscoso y Anaya .*…</t>
  </si>
  <si>
    <t>Vidal, Pedro</t>
  </si>
  <si>
    <t>Pedro Vidal</t>
  </si>
  <si>
    <t>…D. An tonio Marcoletá, D, Josef Gáliano, D. Manuel Ayolo, D. Ignacio Cambil, D. Vicente. Dolz , D. Manuel Fernandez , D. Rafael Montemayor, D. Ga briel Villoría, D, Diego Latorre, D. Pedro Vidal, D. Antonio Rey, D. Pe dro Áhnabai, D. Manuel Lomar, D. Pablo Chamorro , :D, Josef Ckuñer. DvJosefGucrra, D. Juan Sevillano , H. Josef Fonseca, D. Sancho Estrada, ¡BJosefSoler , D. Diego Delgado* D* Rafael Vargas, D. Josef Llanzo, Don Josfef Astraudi ,.D. Jua…</t>
  </si>
  <si>
    <t>Vidala, Roque Jover y</t>
  </si>
  <si>
    <t>Roque Jover y Vidala</t>
  </si>
  <si>
    <t>…Antonio Garrido, de Fucnmayor de Rio, de los granos correspon dientes á quatro años, regulados en 1® rs. vn. cada uno, por el beneficia simple que goza en la villa de S. Miguel; y D. Roque Jover y Vidala ve cino de Medina del Campode 1830 rs. vn. en un recibo de intereses de vales se ha servido S. M. mandar que en su Real nombre se les den la* gracias, y se anuncie en la gaceta* De Real orden está mandado al intendente general dél exército y pro vincia de Ext…</t>
  </si>
  <si>
    <t>Vidarte, Litis</t>
  </si>
  <si>
    <t>Litis Vidarte</t>
  </si>
  <si>
    <t>…a-r cho, D. Josef Aguilar, D. Antonio Quadra, D. Felipe Doria, D. Vicente Ruiz)jD. ^Ramón-Quinan^ &amp; Geróriimq»dé G.éus, IX Josef Carrasco , Don josef Rae^a f ,D. Miguel Sánchez,,¡ D. Litis Vidarte, D. Tiburcio Martínez, IX Rufino; Andinql IX Antonio la Rosa i D. Pedro Albo, D. Nicolás Giezar, DvJuanVicente , D. Eduardo Paules , ,D. Francisco Sánchez, D. Josef de Castro, D. Venancio, Garnez , D. Nicolás Laborda, D. Manuel 1 aborda*, D. Nicolao Ribera, D…</t>
  </si>
  <si>
    <t>Vidaurreta, Antonio</t>
  </si>
  <si>
    <t>Antonio Vidaurreta</t>
  </si>
  <si>
    <t>…ara otra dig nidad titulada del Salvador eri la propia catedral de Patencia, que resultará vacante por promoción dé D. F.amon Valdés y Llanos á la maestrescolía de la de Oviedo, á D. Antonio Vidaurreta, canónigo de aquella catedral, con retención de la canongía que obtiene: para la canongía que resultará va cante en la misma catedral de Paíencia por la promoción del referido D. Ramqn Valdés y Llanos, á D. Benito Josef de Casas, beneficiado de Peñafiel, y fi…</t>
  </si>
  <si>
    <t>…illería ligera; la ración de la misma iglesia que ha vacado por muerte de D. Pédro Perdiguero á D. Bernardo María dé Ho mar; la canongía vacante en dicha catedral por promoción de D. Antonio Vidaurreta al aeanato de Almería á D. Severo Alonso Carrasial, cura pár-r» roco de Sta. María del Templo de la villa de Villalpando, en el obispado de . León , y la capellanía del numero 40 que vacó en la propia catedral por fa llecimiento de D. Ramoii García Prieto á D…</t>
  </si>
  <si>
    <t>Viegas, Juan María</t>
  </si>
  <si>
    <t>Juan María Viegas</t>
  </si>
  <si>
    <t>…? r- ’v:* Asimismo se ha dignado S. M. dispensar en su Real brigada de .carabine ros grados de teniente coronel de caballería á los tenientes D. Manuel del Pozo, Dv Juan Aguijar y D. Juan María Viegas: grados de capitán á lo* alféreces I&gt;. Manuel.Torres, D.; Alonso Torres y D. Hipólito de. Silvas y grados de alféreces igualmente de caballería 4;los- distinguMos D, Basilio rCeéda, D. Autopio defMoya p E&gt;. Antonip, Melgarejo, y á los sargentos Pon rancisco F…</t>
  </si>
  <si>
    <t>Vigo, Manuel</t>
  </si>
  <si>
    <t>Manuel Vigo</t>
  </si>
  <si>
    <t>…D. Pedro Germán D. Josef de Torre Llobregat, D. An tonio Villavicencio , D. Mauricio Albert, D. Manuel Villavicencio, D. Fran cisco Fernandez dejos Senderos , D. Josef Saravia ,* D. Manuel Vigo, Don Gaspar Pineda, D. Josef Mozo, D. Juan de* la Cueva, D. Juan Delgado,: D. josef Febrer , D; Mariano Henarejos, D; Ciríaco Mella , D. Juan Sanjurjo, D. Ignacio Cuadrado,: D. Juan Aleson, D. Honorio Siréra ; D. Pedro Vizcarrondo, D. Josef Guimbarda, D. Juan…</t>
  </si>
  <si>
    <t>Vigodet, Gaspar</t>
  </si>
  <si>
    <t>Gaspar Vigodet</t>
  </si>
  <si>
    <t>…neral de íos Reales éxércitos, y presidente de lá junta militar dé Indias: D. Francisco Xavier Venegas, teniente general dé los Reales éxércitos, y virey que fue' de Nueva-España: D. Gaspar Vigodet, teniente general de los Reales exércitos, y capitán general que fue de las provincias del Rio de la Plata : Don Francisco Xavier Abadía, mariscal de campo de los Reales éxércitos &gt; é ins pector' geri^ráJ de las tropas de América : D.,Nemesio Salcedo, marisca…</t>
  </si>
  <si>
    <t>Vigodet, Jijan</t>
  </si>
  <si>
    <t>Jijan Vigodet</t>
  </si>
  <si>
    <t>•Y-: - ■ ' /' - 1 . L 62^ _ • nip de Lema, D. Jijan Vigodet, Dv Josef Ruiz dé Apodápa* D. Francisco Topete, D, Bonifacio de Tosta, D. Gabriel Olivar, D. Miguel Díaz,,D. An tonio Qiiintario," D. Manuel Pardo’, D. Antonio Valcárcel, D. Francisco Cartillo, D. Eligió Croquer, D. Manuel Balay, D. Juan Godoy , D. Manuel Gut…</t>
  </si>
  <si>
    <t>Viguier, Raimundo</t>
  </si>
  <si>
    <t>Raimundo Viguier</t>
  </si>
  <si>
    <t>…n Vasserot, comandante de los Pirineos orientales, salió el 17 de Octubre dé la ciudadela de Perpiñan un destacamento de óo hombres de la legión del alto Garona, á las órdenes del capitán Raimundo Viguier, con dirección á la aldea del Elne, distante tres leguas de Perpiñan, á fin de desarmar á sus habitantes. Las órdenes se egecutaron con el zelo que era de esperar de los fieles realistas que componen este cuerpo. En la aldea se encontraron óo fusiles, varias…</t>
  </si>
  <si>
    <t>ViHarejo, Carlos</t>
  </si>
  <si>
    <t>Carlos ViHarejo</t>
  </si>
  <si>
    <t>…món de Alcalá, auxiliares dei mismo Cuerpo; D. Josef de Canga, agregado al de Zapadores; D. Josef Bena, 0. Manuel Hueso, D. Fránciscp-Yarto, D. Mariano Rosas,. D. Henrique Puga, y D. Carlos ViHarejo, del Regimiento de Mallorca; D. Ignacio Llánderas , D. Miguel Moretid, D. Gregorio del Pozo, D. Fabian de Lastra, 0. Ricardo Rey roso, Don Víctor Cabeza de Vaca, D. Casimiro Salcedo, y D. Miguel González, del de Voluntarios de Avila; D. Francisco Herranz ,'D.…</t>
  </si>
  <si>
    <t>Vii, Fernaniíó</t>
  </si>
  <si>
    <t>Fernaniíó Vii</t>
  </si>
  <si>
    <t>…timo del corriente., . Memoria-interesante ;pqi,^ lg historia de las persecuciones de la Iglesia católica y"sus ministros en España* qri^|ós,últimos tiempos .de cautividad del Su. D. Fernaniíó Vii el Deseado. Esta obra csTa mejor defensa de la religión y de sus ministros, tajo cuyo título ‘ se atiüócííPlaiqué hizo en estrados públicos en Cádiz D. Bernabé Cabeza por los comisfodáuSs ael limo, cabildo eclesiástico de aquella ciudad en lá célebre causa so…</t>
  </si>
  <si>
    <t>Viidosola, Antonio Juap de</t>
  </si>
  <si>
    <t>Antonio Juap de Viidosola</t>
  </si>
  <si>
    <t>…, D. Benito Felipe de Gainmde, D. Josef Domingo de Aguirre, D, Mariano Perez 4e;Nemn,, D. Pascual Jo^efde Ardanáz, D. Diego Macmahon, Goossens e mjo, D. ManuelMa* Íía de Aldecóa , D. Antonio Juap de Viidosola, D. Cirilo Perez de Necio* D. Francisco de Lemonauría hijo y D. Juan Laurencio. A fin de que este establecimiento inspire al público toda la confianza posible» no conten tándose los accionistas con el buen crédito de que gozan cada uno de por si, han deposita…</t>
  </si>
  <si>
    <t>Viilamil, Juan Perez</t>
  </si>
  <si>
    <t>Juan Perez Viilamil</t>
  </si>
  <si>
    <t>…iras Rentas que han de quedar sujetas á administración. Tendreisio entendido, y lo comuni careis, á quien corresponda para su cumplimiento. = En Palacio á 13 de Enero de 1815. = A D. Juan Perez Viilamil. Circulares del Ministerio de Hacienda. 1.a, El Rey nuestro Señor, que tanto anhela por el bien de^sps: Pueblos desea elegir para todos los empleos personas de probidad que tengan los co nocimientos necesarios para .desempeñarlos con acierto, y premiar á los…</t>
  </si>
  <si>
    <t>Viílate</t>
  </si>
  <si>
    <t>…Sres. mariscales conde :Joúrdan&gt; presiden te; Massena, príncipe de EsslÍng; Augereau:, duque de Cástiglione j Mortierj duque de Treviso; tenientes generales los condes Cíaparede ; conde Viílate; conde Maison gobernador dé la primera división militar. El comisario or denador barón Joinville desempeña las funciones de fiscal; el mariscal de campo conde Grundler las de relator, y Mr. Boudin las de secretario. Aseguran que habiendo representado uno de l…</t>
  </si>
  <si>
    <t>Vilanova, Antonio</t>
  </si>
  <si>
    <t>Antonio Vilanova</t>
  </si>
  <si>
    <t>…ino de Aragón el año j 810, y conducido á Fran cia. El, que lo sepa, tendrá la, bondad ti? avisarlo en Madrid á D.Josef Mira lies, que vive en el parador de ía Reina', y en Flíx á D. Antonio Vilanova. , Se halla vacante la plaza de médico -titular de la villa de Castró Urdíales, pro vincia de Búrgos,. partido de Laredo, en la costa dél mar de Cantabria, cuya po blación consta de 400 á 500 vecinos, con la dotación anual de 69 rs. vn., pagade ros los 5© del…</t>
  </si>
  <si>
    <t>Vilches, Francisco González</t>
  </si>
  <si>
    <t>Francisco González Vilches</t>
  </si>
  <si>
    <t>…nto de Illescas ha nombrado S. M. á D. Ramón Añtuñano: para el de Atienza á D. Manuel Gordo Vidal: para el de Coronil á D. Pedro García Cembrero: para el de la Puebla de Alcocer á D. Francisco González Vilches: para el de Palencia á D. Manuel de Villapadierna: para el de Niebla á D. Pedro Tagle Velarde; para el de Pruna á D. Josef María Moscoso y Anaya .* para eTde Zahara á D. Antonio Villareal; para el de ' Espera á D. Rafael Josef Castilla: para el de Hita á D. M…</t>
  </si>
  <si>
    <t>Vilches, Gonzalo Josef de</t>
  </si>
  <si>
    <t>Gonzalo Josef de Vilches</t>
  </si>
  <si>
    <t>…Despacho Universal &lt;fe- Gráeiá y Juíticiá de este mismo mes , he tenido £ bien nombrar por tal Subdelegado general del ramo del papel sellado al Ministro deh mi Consejo y Cámara1 D. Gonzalo Josef de Vilches. Y publicado todo en,el riii Consejó, ác'órdó su cumpli miento, y expedir esta mi Cédula. Por la qual ós toando* á todos í y * á Ca-^ da uno de vos en vuestros lugares, dislfritósV/Jurisdicciones veáis da exptey sada mi’ (Real fefóllición' y dombramiento heeh…</t>
  </si>
  <si>
    <t>…los individuos comprendidos en la lista que. slgüé á c.ontinuaoj.oq^-por J| ;dirputacion de ministros del ^consejo-Réafy, .compuesta del Escmo. Sr. presi dente , los limos: Sres. D. Gonzalo Josef de Vilches, D: Josef Joaquín Co lon y ,el Sr. D. Benito Arias de Piada;, gobernador de* la sala ily S. 1Í. los recibió con aquella bondad ,qup es propia de su magnánimo y ^aiiblejOS^íl8" 1 se OUtetó; de Sus su :miaéi-ia &gt;} consolan do y animando á cada uno con expresion…</t>
  </si>
  <si>
    <t>Vílcnes, Alvaro Salazar y</t>
  </si>
  <si>
    <t>Alvaro Salazar y Vílcnes</t>
  </si>
  <si>
    <t>…ríncipe de Castelfrauco. Por resolución á consulta de la cántara se ha servido el Rey nombrar para el deanato primera silla de la iglesia catedral de Málaga,^vacante por muerte de D. Alvaro Salazar y Vílcnes, á D. Antonio Corrales y Luque&gt; canónigo doctoral de la misma iglesia;y para una media ración de la deCá-* diz, vacante por fallecimiento de D. Josef Domínguez, á D. Manuel Ca beza de Míe r. i ' % Teniendo el Rey en consideración las pruebas de lealtad que ha…</t>
  </si>
  <si>
    <t>Vilíena, Andrés Torrente de</t>
  </si>
  <si>
    <t>Andrés Torrente de Vilíena</t>
  </si>
  <si>
    <t>…o tribunal, para las varas de S. Vicente á Don Santiago Amatrtain: de Pedro Muñoz á D. Antonio Rodríguez fsscovar : de ViHaest/usa de Haro á D. Gínes Muiría Serrano: de Ceclavin á D. Andrés Torrente de Vilíena; y de Bienvenida á D, Manuel Josef de Valenzuela. El Rey nuestro Señor se lia servido conceder al Excmo. Sr- conde de Maceda, grande de España de primera ciase, y gentilhombre de cámara con ejercicio, el permiso de poder llevar la cruz de la Flor de Lis con q…</t>
  </si>
  <si>
    <t>Villa, Josef</t>
  </si>
  <si>
    <t>Josef Villa</t>
  </si>
  <si>
    <t>…el Arenal, núm. 21, y en Sevilla al presbítero D. Gon zalo Angioiety. D. Salvador Somoza, presbítero, vecino de la ciudad de Santiago, tiene noti cias interesantes que comunicar á D. Josef Villa, cirujano que fue del regimiento de Zamora; i D. Josef Campo, natural de Andalucía, capitán que fue de dicho regimiento de Zamora, y á D. Francisco A maya de los Cameros, de Medtnasidonia; y en defecto de estos á sus herederos. Los interesados podrán dirigir…</t>
  </si>
  <si>
    <t>Villa, Mateo</t>
  </si>
  <si>
    <t>Mateo Villa</t>
  </si>
  <si>
    <t>73^* . ... . D. Antonio Gómez, D* Antonio Alense, D.' Salvador liemos, D. Ramtm Puch , D. Josef Velada, D. Norberto González, D. Francisco Fornier, Don Josef María Taeggí, D. Mateo Villa, D. Rafael Martínez , D. Juan Padilla,5 I). Agustín Solera v D. Juan Manuel Pro i D: Nieblas LlondeÜá i ’D. ¡Juan: PeA: rez , D; Ca"rlos ÍMariri ,f D. 'Aquiíinb Otolá ,(D&gt;í Josef Sálas-, ©. Antonio Bolu* fer, D. Cipriano Castro ; D. Josef Tovar y D. Josef Gon…</t>
  </si>
  <si>
    <t>Villa, Vicente Girón</t>
  </si>
  <si>
    <t>Vicente Girón Villa</t>
  </si>
  <si>
    <t>…de la villa de Huerca!-Obera á D, Luis Quadrado; v para la de Palma del Rio á D. Venancio Fernandez Arenas: para la vara de alcaldé mayor de la ciu dad del Puerto de Santa María á D. Vicente Girón Villa man dos: para la dé alcalde may or teniente segundo de asistetjte'de lá ciudad de Sevilla i</t>
  </si>
  <si>
    <t>Villaba, Joaquín</t>
  </si>
  <si>
    <t>Joaquín Villaba</t>
  </si>
  <si>
    <t>…nuel Cayaleri , D. Agustín del Barco, D. Francisco Andrada, D. Juan Ltí« »ás,D. Joaquín ALvarez Maldbnado, 0. Rodrigo Sánchez Airona, D. RaU* hiel Arango, D. Lean. Grl de Palacio, D. Joaquín Villaba, 0. Antonia ¡Sén quera, 0. Manuel Zacates, D. Pedro de la Llave, 0. Josef Mariano dél Puk ar, D. Josef Arias Saavedra, 0. Antonio Hoscoso , Salvador Moreno* Vicente Vázquez, D. Tomas Dolagaray, D. Silvestre Blanco , D.&lt; Pedrof Valera, D. Santiago Piñeiro, D.…</t>
  </si>
  <si>
    <t>Villacastiri, Miguel</t>
  </si>
  <si>
    <t>Miguel Villacastiri</t>
  </si>
  <si>
    <t>…e ha dignado aceptar. D. Santiago Diez Rodríguez, beneficiado rector de Martiaeo , 417635 rs. vn. que importan los suministros que ha hecho para la subsistencia de los egércitos : D. Miguel Villacastiri 34© rs. en seis acciones del Real emprés tito de ióo millones; Doña María Alvarez 22210 rs. y 14 mrs. que se ?a adeudan en el fondo vitalicio : Fr. Francisco Cifuentes, á nombre del monas terio de S. Lorenzo del Escorial, 1.884293 rs. y 20 mrs. que le adeuda…</t>
  </si>
  <si>
    <t>Villalobos, Baltasar</t>
  </si>
  <si>
    <t>Baltasar Villalobos</t>
  </si>
  <si>
    <t>…esistia en Montevideo, y D, Luis de la Robla, Idem del de dragones de Buenos-Ayres. v 7 j V ; 7 , ; ^ * 7/ Capitán á D. Prudencio Zufriategúi , ayudante mayor del mismo cuerpo, y D. Baltasar Villalobos &gt; teniente de la compañía fija de dragones del presi dio del Carmen en Nueva-España. ;■;&lt; Teniente á D. Cruz Marcos dé Dólagaráy, subteniente del batallón de vo luntarios de Madrid, qtie esistia en Montevideo. Igualmente ha concedido S. M. hóriióres de intend…</t>
  </si>
  <si>
    <t>Villalobos, Diego Mateo</t>
  </si>
  <si>
    <t>Diego Mateo Villalobos</t>
  </si>
  <si>
    <t>…balimpia por haber tallecido D. Julián Valiente, la de Armaüones que vacó por haber contraído matrimonio D. Narciso Mallol, la media préstamera de la villa de Recuenco, que obtuvo D. Diego Mateo Villalobos, y vacó por igual motivo, el préstamo de la iglesia de Valdecabrillas, que lo está por muerte de D. Domingo Diaz, y la presta-</t>
  </si>
  <si>
    <t>Villalon, Manuel Ortiz</t>
  </si>
  <si>
    <t>Manuel Ortiz Villalon</t>
  </si>
  <si>
    <t>…a; D. Josef Navarro, D. Miguel Mauduit, D. Francisco Rico., D. Ramón de Tuertólas *D. Antonio Gállarza^ -D. Luis Campos, D. Josef Serón., I}. Isidoro Lacrbix,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t>
  </si>
  <si>
    <t>Villamil, Cayetano</t>
  </si>
  <si>
    <t>Cayetano Villamil</t>
  </si>
  <si>
    <t>…presencia del mas lu cido concurso sé celebraron en ios dias 31 de Julio, i.° y 2 de Agosto del año anterior. Se dio principio por un discurso, que leyó el primer maestro director D. Cayetano Villamil, alusivo á este objeto. Los discípulos fueron éxáminados en aritmética, álgebra,, geometría elemental,, trigonometría plana trigonometría esférica, cosmografía, hidráulica y óptica ; presentaron después varios dibuxos figurando edificios, vistas de países, y…</t>
  </si>
  <si>
    <t>Villamil, Josef Fernandez</t>
  </si>
  <si>
    <t>Josef Fernandez Villamil</t>
  </si>
  <si>
    <t>…a de Calahorra en Granada á D. Miguel de Lerin Braca monte: para el corregimiento de Reynosa á D. Josef Hervás: para la vara de Ubrique á, D. Julián Ruiz Marín: para la de Oiiva á D. Josef Fernandez Villamil: pa- , ra la ce Villafranca del Vierzo á D. Antonio Piernas : para la dé Rivadavia á D. Martin Rodríguez Ojea: para la de la Rambla á D. Antonio Hermida , Bascoas: para la de Belmonte á D. Josef Sánchez Cueto: para la de Saníúcar de Barrameda á D. Jacobo Vázq…</t>
  </si>
  <si>
    <t>Villamil, Juan Perez</t>
  </si>
  <si>
    <t>Juan Perez Villamil</t>
  </si>
  <si>
    <t>…ebrero de JEn nombre de la universidad de Oviedo tuvieron el día 2© del mes próximo pasado la honra de presentarse á cumplimentar áLS. M. por su7 fe liz regreso al trono el Excmo. Sr. D. Juan Perez Villamil , del consejo de Estado de S. M., y los Sres. D. Manuel de Torres y D. Manuel Mendez ■ ■ , de Vigoi arengándole en los términos siguientes: ■! &amp; Señor: entre los tributos de respeto, fidelidad y amor ofrecidos á V; M/ por?las clases y gremios del estado, .pre…</t>
  </si>
  <si>
    <t>VillamiL-, Juan Pérez</t>
  </si>
  <si>
    <t>Juan Pérez VillamiL-</t>
  </si>
  <si>
    <t>…leos que- fuere inexcusable proveer. Tendreislo entendido*, y dispondréis lo necesario á, su cumplimiento.=s Rubricado de la Reai ¿na?*á ao.^En Pail^ci^á.^ de. Enero de 1815. == A D. Juan Pérez VillamiL-^c5 ‘jniq Circular del Ministerio de ITaei'énd'á*. A J Ef Rey ha observado con harto sentimiento que varios emplea$Mx de todas clases se hallan sin licencia fuera de sus destinos- eu grave ¿perjuicio) de la Real Hacienda, y 00.pocos en esta Corte,anoléstandpja…</t>
  </si>
  <si>
    <t>Villanuéva, Josef</t>
  </si>
  <si>
    <t>Josef Villanuéva</t>
  </si>
  <si>
    <t>…corregimiento de Alhama ha nombrado el Rey á D. Juan Verges y Lostau: para el de Vhlena á D, Antonio Fernandez Villanuéva: pa ra la vara dé alcalde mayor de la ciudad de Mctrjl á D. Josef Villanuéva: para la de Almunecar y Salobreña á D. Vicente Sanahuja: para lá de la villa de Huerca!-Obera á D, Luis Quadrado; v para la de Palma del Rio á D. Venancio Fernandez Arenas: para la vara de alcaldé mayor de la ciu dad del Puerto de Santa María á D. Vicente Gir…</t>
  </si>
  <si>
    <t>Villanueva, Manuel de</t>
  </si>
  <si>
    <t>Manuel de Villanueva</t>
  </si>
  <si>
    <t>…Talavera de lá Rey na, se ha dignado el Rey concederle los honores de oidor de la chancUlerta de Vailadolid. Y últimamente ha concedido S. M. al brigadier de los Reales exércitos D. Manuel de Villanueva merced de título de Castillacoa la denominación de1 marques de Albo. También se ha servido nombrar S. M. para ,1a plaza de alcalde del cri men de la chancillería de Granada, vacante por premoción de D. Andrés Subiza á oidor de ella, á D. Salvador Fernandez y…</t>
  </si>
  <si>
    <t>Villanueva, Nicolás de</t>
  </si>
  <si>
    <t>Nicolás de Villanueva</t>
  </si>
  <si>
    <t>…zález de Acuña, se ha servido S. ’M. nombrar al P. Fr. Higinio -Duran, mercenario calzado ; y para la ración vacante én la catedral de Durango en Nueva-España por fallecimiento de D. Nicolás de Villanueva ai Dr. D. Juan Francisco de Balda, cura propio de la villa del Nombre de Dios, en consi deración á sus méritos y servicios. El Rey nuestro Señor en atención al distinguido mérito, carrera literajia y demas cualidades que adornan al P. Fr. Ramón del B. Miguel…</t>
  </si>
  <si>
    <t>Villapaderna, Juan</t>
  </si>
  <si>
    <t>Juan Villapaderna</t>
  </si>
  <si>
    <t>…rancisco Masías, D. Antonio Fernan dez, D. Valentín Roxo, D* Carlos Osorio y D. Josef Laso de la Vega, del de Voluntarios de León; D. Pedro Valcárcel, D. Manuel González Campillo, D. Juan Villapaderna, D. Juan Manuel Mancebo, D. Francis co Diez Sopeña, D. Josef Provedo, del de Voluntarios del Ribero; Don Gerónimo Roxo, del de Cazadores del Rey; D. Cesar Tournel, d¿l Real Cuerpo de Artillería , y D. Gerónimo Alvarez , del de Húsares extinguidos de León: de…</t>
  </si>
  <si>
    <t>Villapadierna, Manuel de</t>
  </si>
  <si>
    <t>Manuel de Villapadierna</t>
  </si>
  <si>
    <t>…: para el de Atienza á D. Manuel Gordo Vidal: para el de Coronil á D. Pedro García Cembrero: para el de la Puebla de Alcocer á D. Francisco González Vilches: para el de Palencia á D. Manuel de Villapadierna: para el de Niebla á D. Pedro Tagle Velarde; para el de Pruna á D. Josef María Moscoso y Anaya .* para eTde Zahara á D. Antonio Villareal; para el de ' Espera á D. Rafael Josef Castilla: para el de Hita á D. Manuel Antonio Barba: para el de Castrogeriz á D. J…</t>
  </si>
  <si>
    <t>Villar, Josef Gónzalei</t>
  </si>
  <si>
    <t>Josef Gónzalei Villar</t>
  </si>
  <si>
    <t>…. ; i -/cS ■' ■ &gt; . • : r.:u v.,* : S. M. ha nombrado oidor de la chancilíería de Valládolicl á D. Josef Alonso ValdénebrÓ t. pkfá 'qnatro plazas de alcaldes del" crimen de ella á D. Josef Gónzalei Villar ,. D. Josef María García Carrillo, Di. Manuel An* ionio Gómez y Di Mariano Castíilon y Torres: para oidores de la ehanci-</t>
  </si>
  <si>
    <t>Villar, Juan González</t>
  </si>
  <si>
    <t>Juan González Villar</t>
  </si>
  <si>
    <t>…s años. Madrid 17 de Abril de 1815. El Rey se ha servido nombrar para el deanato primera silla de la igle-, sia catedral.de León, vacante por fallecimiento de D. Lucas Quiñones, á D. Juan González Villar, canónigo lectoral de la misma catedral: para el[ de la iglesia metropolitana de Granada, vacante por muerte de D. Miguel Craoyvinguel, á D. Josef Alonso Montoya, deán de la iglesia catedral de Almería: para el de la de Lugo , vacante por fallecimiento de D.…</t>
  </si>
  <si>
    <t>Villar, Lúeas de</t>
  </si>
  <si>
    <t>Lúeas de Villar</t>
  </si>
  <si>
    <t>…ntos interesantes^ Quien tenga noticia acudirá á co municarla al R. P. Fr. Manuel Blanco ValJejó en el Real convento de Sto. Tomás de esta corte. - ’ Se desea saber el paradero de D. Lúeas de Villar, natural de la villa de Oñate, quien estando de practicante de-cirugía-eii. el hospital Real de Madrid se ausentó el año de 1808 con dirección -á ios egércitos. La persona que lo supiese tendrá la ;bondad de avisarla al presbítcro D. Prüdencio María de Villar…</t>
  </si>
  <si>
    <t>Villar, Prüdencio María de</t>
  </si>
  <si>
    <t>Prüdencio María de Villar</t>
  </si>
  <si>
    <t>…cticante de-cirugía-eii. el hospital Real de Madrid se ausentó el año de 1808 con dirección -á ios egércitos. La persona que lo supiese tendrá la ;bondad de avisarla al presbítcro D. Prüdencio María de Villar, vecino en Arcchabaleta de Guipúzcoa. &lt; 1 ftt- .*•■■■;■ Se desea saber el paradero de Bautista Sánchez, natural de la villa de Flix, cor regimiento de Tortosa ‘en el principado de Cataluña, soldado que era del tercer ba tallón, segunda sección de la primera l…</t>
  </si>
  <si>
    <t>Villarandft, Tomas de</t>
  </si>
  <si>
    <t>Tomas de Villarandft</t>
  </si>
  <si>
    <t>…la iglesia catedral de Ciudad-Rodrigo, que resultan vacantes por promoCiondéDiTómás Aparicio y-Sántiñ ál arcédiariató ¡de Madrid, dignidad de la iglesia metropolitana de Toledo, á D. Tomas de Villarandft j con dimisióíl déí §n^ediáñatO de Sabogal (que obtiene en la propia iglesia: pára Otro deaÉáto también primera1 silla de la iglesia catedral de! Salamanca, vacante pór fallecimiento de D. Francisco Gómez Valbüena, á D. Benito Lobato y Ca4 balleró, canónigo m…</t>
  </si>
  <si>
    <t>Villareal, Antonio</t>
  </si>
  <si>
    <t>Antonio Villareal</t>
  </si>
  <si>
    <t>…ález Vilches: para el de Palencia á D. Manuel de Villapadierna: para el de Niebla á D. Pedro Tagle Velarde; para el de Pruna á D. Josef María Moscoso y Anaya .* para eTde Zahara á D. Antonio Villareal; para el de ' Espera á D. Rafael Josef Castilla: para el de Hita á D. Manuel Antonio Barba: para el de Castrogeriz á D. Juan Pedro Navarro: para el de Almon-</t>
  </si>
  <si>
    <t>Villareal, Francisco de Paula</t>
  </si>
  <si>
    <t>Francisco de Paula Villareal</t>
  </si>
  <si>
    <t>…García: para la primera de Córdo ba á SD. Josef García Leca: para la de Sigüenza á D. Juan Peynador y Pi no: para ia de Iguña á D. Isidoro de Josué y Barreda: para la de Leinus á D. Francisco de Paula Villareal: para la de Mónterey á D. Carlos Angulo: para la de Colmenar Viejo á D. Juan Luxigo y Pedro?a: para la de Baylen á D. Manuel Antonio Caballero: para la de Águilar del Rio Alama á D. Antonio Ramos Calderón; y para la de Leganes á D. Félix Benitez. Para el corr…</t>
  </si>
  <si>
    <t>…laguer á D. Agustín Velasco Calleja: para la de la villa de Callosa de Segura á D. Vicente Diez Ruesgas: para la de Lombay á D. Manuel Polar y Clemente: para la de Bicon y Quesa á D. Francisco de Paula Villareal: para la de Enguerá á D. Manuel Alonso Hernández: para la de Castellón de Nules á D. Luis Castroverde: para la de Ayelo de Maiférit á D. Antonio !Lorca Herrera: para la de Mogente á D. Cristóbal Bercher: para la de Al tea á D. Miguel Sanz Aparicio, y á D. Ant…</t>
  </si>
  <si>
    <t>Villaseñor, Josef María Gómez</t>
  </si>
  <si>
    <t>Josef María Gómez Villaseñor</t>
  </si>
  <si>
    <t>…éxicp, vacante por fallecimiento del limo. Sr. ¿. Francisco Xavier de Lizana, á D. Pedro Josef de Fonte, doctoral de la misma iglesia; y para el obispado de Valhdoüd de Mechoacaná D. Josef María Gómez Villaseñor, canónigo de Guadalaxara* Asimismo se.ha servido nombrar para la dignidad de maestrescuela de la iglesia metropolitana de Sevilla, vacante por promoción de-D. Juan Mi guel Perez Tafalla, al arcedianato titular de la misma iglesia, á D. Fran cisco Arjo,na, min…</t>
  </si>
  <si>
    <t>Villava, Ambrosio</t>
  </si>
  <si>
    <t>Ambrosio Villava</t>
  </si>
  <si>
    <t>…umplimiento. Dios guarde á V* muchos años. Madrid 30 de Noviembre de 1815. 2.a Con motivo del expediente promovido por Doña Juana Ortega, viu da en segundas5 nupcias del Brigadier D. Ambrosio Villava , • Comandante que fue del Batallón ligero de Cazadores de Teruel y Áibarracin, y murió en clase de prisionero de guerra en Francia, en solicitud de pensión en el Monte pió militar; se ha servido S. M. resolver, conformándose con el pa recer dePConsejo Suprem…</t>
  </si>
  <si>
    <t>Villavicencio, Josef</t>
  </si>
  <si>
    <t>Josef Villavicencio</t>
  </si>
  <si>
    <t>…ilencio el distinguidíO mérito que han contraido ep esta expedición j y con particularidad los dos comandante? , el teniente de navio D. Josef Sorondo, y el alférez de igual clase D. Josef Villavicencio, el teniente de fragata D. Joaquín Vial, los alféreces de navio D. Ramo% Gil, D. Onorio Sierra y D. Justo Pasalagua, el alférez de fragata D. Josef Baldasano, el graduado, práctico mayor del puerto D* Manuel Hornigo, y los pilotos habilitados de oficiales D.…</t>
  </si>
  <si>
    <t>Villavicencio, Manuel</t>
  </si>
  <si>
    <t>Manuel Villavicencio</t>
  </si>
  <si>
    <t>…. Francisco Cartillo, D. Eligió Croquer, D. Manuel Balay, D. Juan Godoy , D. Manuel Gutiérrez Gaviedes, D. Francisco Quiroga, D. Tomas Cervino, D. Luis Liniers, D. Domingo. Mesa ¿ D. Manuel Villavicencio, D. Josef Aldana, Don Juan Lasqueti, D. Pedro Caamaño , D. Vicente Martin Vegue* D. Salvador Spadafora, D. Jaime Michelena y D. Rafael Quesadaí - - Pita gfado de teniente de navio al que lo era de fragata D. Josef Carrizosa,y Riquélme- ; ^ Ascenso á tenientes…</t>
  </si>
  <si>
    <t>Villavicencioj, Juan María</t>
  </si>
  <si>
    <t>Juan María Villavicencioj</t>
  </si>
  <si>
    <t>…vá-España: D. Juan Manuel Goyeneche, mariscal de campo de los Reales éxércitos, y general en géfe que fue deí del alto Perú: D. Jósef Vázquez Figúeroa, ministro que fue de Marina: D. Juan María Villavicencioj teniente genéfál de marina , y ministro del consejo del Almirantazgo: D. Joaquín de la Pezuelá,-mariscal de campo de los Reales éxércitos, y general en gefe del dél alto Perú:’D. Josef de lá Cruz, maris cal de campo de los Reales éxércitos, y comandante gener…</t>
  </si>
  <si>
    <t>Villayicencio, Juan</t>
  </si>
  <si>
    <t>Juan Villayicencio</t>
  </si>
  <si>
    <t>1362</t>
  </si>
  <si>
    <t>…. ESPAÑA. Madrid i.° de Diciembre. El día tó de Julio último-tuvo la honra de ser presentada á S. M. una diputación de la ciudad del Puerto de Sta. María, compuesta de los Señores D. Juan Villayicencio y D. Bruno Vallarino, de los cuales el primero en nombre de aquella ciudad y ayuntamiento dijo: „ Señor r La ciudad del Puerto de Sta. María, qué aunque ocupada por ios enemigos de V. M. casi tres años, dio siempre pruebas no equívocas al obierno que mandaba en nombre de V. M. de…</t>
  </si>
  <si>
    <t>Villazan, Francisco Anaya y</t>
  </si>
  <si>
    <t>Francisco Anaya y Villazan</t>
  </si>
  <si>
    <t>…: para el de Linares á I&gt;. Josef Julián Ortega: para el de Tordesillas á Don redro Ventades; y confirmar en el de Sabagun á D. Joan Facón: para la vara de alcalde mayor de Ecija á D. Francisco Anaya y Villazan: para la de alcalde mayor segundo de Córdoba á D. Carlos Guerrero: para el de Miranda de Ebro á D. Josef Victoriano de Olaeta; para la de Antequera á D. Joaquín Tercero Gaseo i y para la de Sepulveda á D. Manuel FrutosPara ef corregimiento político* de la ciu…</t>
  </si>
  <si>
    <t>Villegas, Benito Saiz de</t>
  </si>
  <si>
    <t>Benito Saiz de Villegas</t>
  </si>
  <si>
    <t>…. ’ Para la plaza de juez mayor de Vizcaya, en la chahcilíería de Valla-* dolid, á D. Luis Gabaldon: para el corregimiento de Carmona á D. Josef María Tirado: para el de Lucena i D. Benito Saiz de Villegas: para el de Ubeda á D¿ Manuel Becerriir para el de Soria á D. Juan Meneses Calvete: para el de Linares á I&gt;. Josef Julián Ortega: para el de Tordesillas á Don redro Ventades; y confirmar en el de Sabagun á D. Joan Facón: para la vara de alcalde mayor de Ecija…</t>
  </si>
  <si>
    <t>Villegas, Josef</t>
  </si>
  <si>
    <t>Josef Villegas</t>
  </si>
  <si>
    <t>…Moron: para igual empleo en el de caballería de Luya y Chillaos al tenien te de milicias D. Pablo Rodríguez de Mendoza: para comandante de esqua dron én el de dragones de Mages al capitán D. Josef Villegas i para sargen to mayor en el de Andahuaylas ai capitán £). Alonso Nuñez García : para igual empleó en el de caballería de Luya y Chillaos al capitán D. Antonio Rodríguez; para teniente coronel en ei de dragones de Azangafo al coronel graduado de milicias y co…</t>
  </si>
  <si>
    <t>Villegas, Manuel Saiz de</t>
  </si>
  <si>
    <t>Manuel Saiz de Villegas</t>
  </si>
  <si>
    <t>…D. Josef Salelles y Palos: para la primera plaza de oidor de las dos vacantes en la audiencia de Extremadura á D. Evaristo de la Dehesa, y para la segunda á D. Esteban de Asta: á D. Manuel Saiz de Villegas , oi dor.déla audiencia de Canarias» para una plaza de ignal clase de la audien cia deGalicia; y para la plaza de alcalde del crimen , vacante en la audien cia de Sevilla por salida de D. Angel Morell de Solanilla á la «dignidad de</t>
  </si>
  <si>
    <t>Villegas, Matías</t>
  </si>
  <si>
    <t>Matías Villegas</t>
  </si>
  <si>
    <t>…Gil á D. Josef Manso, cura de las Navas de S. Antonio en aquella dió cesis , y la canongía de la,.misma iglesia que ha vacado por fallecimiento de L).;Isidro Antonio de Guevara, á D. Matías Villegas , cura&gt; de- la parroquial de S. Pedro.de ja villa de Guellar en el propio obispado: otra canongía var eante en dicha catedral por muerte de D. Josef Subirán I D. Juan Manuel Rengifí), cy 15apropio de ja villa de Casa-Vieja:en la diócesis de Avila. T La canong…</t>
  </si>
  <si>
    <t>Villela, Ignacio Martínez de</t>
  </si>
  <si>
    <t>Ignacio Martínez de Villela</t>
  </si>
  <si>
    <t>…umplimiento se instaló la priméri junta del del ministerio en 30 de Abril próximo pasado con.el Escmo. Sr. duque presidente del consejó .supremo de Castilla, y los Sres. ministros D. Ignacio Martínez de Villela, que lo es de dicho tribunal de; Castilla, D. Manuel Mtma JiinGp^dg|Ljje Indias, I). Diego I&lt;ope¿ , y Pedro Nicolás 4el rV^^e&gt; ;delxte Ha¿jehdá¿ Ib^éf5eynúnctá.-át-pribljcb,:pám.'que las; señoras yiudas. comprendi das ,eri éf, y cuantos tengan derecho al mont…</t>
  </si>
  <si>
    <t>Villette, Pedro Giroud de</t>
  </si>
  <si>
    <t>Pedro Giroud de Villette</t>
  </si>
  <si>
    <t>…ostrado su virtud y eficacia. (Se continuara.) Madrid 31 de Marzo, El día 22 á las quatro y media de su tarde se dignó S. M. visitar la Real fabrica de papeles pintados, propia de D. Pedro Giroud de Villette, adornista de su Real casa y cámara, acompañado de SS. AA. RR. los Sermos. Sres. Infantes D. Carlos y D. Antonio, y tuvo el honor de hesar sus Reales manos. Exáminó S. M. por menor todas las oficinas de la mencionada fábrica, dando principio por la sala en do…</t>
  </si>
  <si>
    <t>ViMate, Ramón</t>
  </si>
  <si>
    <t>Ramón ViMate</t>
  </si>
  <si>
    <t>…ncial de Segovia 1). Nicolás de Torres, D. Bernardo Miravalles , D. Gerónimo Rodrigo, D. Domingo Chaves y D&lt; Fernando Mateos Mettdez : á los de los batalló-» nes de Ciudad-Rodrigo D. Ramón ViMate, D. Marcelo Sicilia , D. Ju?ndé Sahtgun Vicente, D. Tomas PefeZ, D. Juan Orejas , D. Antonio García, D Josef Noguera, D. Josef Zoyíó Calvo, D. Manuel García y D Vicen* te Salvador; y á los del Cuerpo de urbanos de la ntisaia plaza de Ciudad-* Rodrigo D. Eulog…</t>
  </si>
  <si>
    <t>Vinader, Ramón</t>
  </si>
  <si>
    <t>Ramón Vinader</t>
  </si>
  <si>
    <t>…sco ,D. Josef Muñoz § D. Luis Gorrichátegui, B; Joaquín Arbizu, D. Francisco Bravo, D. Josef Ausejo, B. Ramón Espona, D. Fráncisco Victoríno, D. Pedro Lechuga, D. Manuel Aramburu, D. Ramón Vinader, D. Antonio Fons ,D. Lorenzo Alambra, D. Pedro Albornoz, D. Juan Ibañez, D. Pedro Colche ro % D. Baltasar Jalón, D. Josef Rizó , D. Manuel Santos, D. Gregorio Losada ,D. Francisco Silva &gt; D- Josef Duran, D. Rafael* Máhi,D. Juan Sentmauat, D. Ignacio de Mora,;…</t>
  </si>
  <si>
    <t>Vinaut, Luis</t>
  </si>
  <si>
    <t>Luis Vinaut</t>
  </si>
  <si>
    <t>…clase graduados de subteniente D. Alejandro Valle y D. Guillermo Yanosen; y grados de subteniente á los de la propia clase D. Cárlos Busi,T&gt;. Jacobo Steingel,. D.* Pedro Baritch y D. Luis Vinaut» ■ ^ » ./-^oía..- En la clase de:segundos tenientes de esteReal euerpo tiene S. M. concedidos.dos grados mas d3 teniente coronel, que? fe harán saber mas‘ ade lante. ■ ‘ í: l' V? r- ’v:* Asimismo se ha dignado S. M. dispensar en su Real brigada de .carabine r…</t>
  </si>
  <si>
    <t>Vincent</t>
  </si>
  <si>
    <t>…' s.*i :j v it-r ^Uos generales Pózzo di Bbrgo fbaron VmeéntqMuffiing y A lava estuvie ron en el campo durante la acciónY'é hicieroir ícn mi favor cuatífó ésf aba-dé su parte. El barón Vincent ha salidor herido, y el general Pozzó -recibió ti na " : "y •,'f; ? ‘ 'contusión. \ '■'..-.a i: -7 „No haría justicia á mis sentimientos , ni al mariscal Blucher , nial' egér cito prusiano ^:sliho^atilS:buy^^r'&amp;b|bliz&gt;iesuha'd^' de esté terrible dia* al cordi…</t>
  </si>
  <si>
    <t>Vincenti, Juan Pedro</t>
  </si>
  <si>
    <t>Juan Pedro Vincenti</t>
  </si>
  <si>
    <t>…aquel reyno y su curia hasta su total restablecimiento al ser y estado que tenia en el año de i3o8. Señor en atención á los distinguidos méritos y se rvicios / El Rey nñestto / de D. Juan Pedro Vincenti ha venido , por decreto de 30 del mismo, en re| ponerle en él empleo de director general de provisiones, según lo estaba ea Véláño de 1808, mandándo que sea él solo director de este ramo. * En'consideración á los buenos y dilatados servicios hechos en la cart…</t>
  </si>
  <si>
    <t>Vinuesa, Casimiro</t>
  </si>
  <si>
    <t>Casimiro Vinuesa</t>
  </si>
  <si>
    <t>…D. Joaquín Quadrado, D. Francisco Escovar, D. Salvador S. Juan, y D. Josef Renau, del segundo Batallón de idem;á D. Joaquín Rodríguez, 0. Vicente González , D. Fabian de Saave4xa, D. Casimiro Vinuesa, y D. Santiago Gómez, del tercer Batallón de ídem; á D. Francisco Topete y D. Juan de Acuña , Ayudantes de dicha plaza ; á D. Juan Galeas , agre gado al Estado Mayor de la misma', y á D. Josef Bérmudez, del Batallón de Urbanos : al grado de Teniente á los Sub…</t>
  </si>
  <si>
    <t>Vinuesa, Claudio</t>
  </si>
  <si>
    <t>Claudio Vinuesa</t>
  </si>
  <si>
    <t>…uezVD. Juan Ignacio*Cervera, D. Salvador Ce bollino, D. Ventura Córdoba, D.Í Patricio 5alanueva, D. Pedro de la Torre, D. Miguel Oliver, D. Pascual Menacho, D. Cárlos Teodoro,Gil, D. Claudio Vinuesa, D. Juan Qüirante, D. Josef María Muñdz*, D. Francisco Ocaña, IX Antonio Gayosrí ,. D. Antonio García, D. Víctor Perez, D. Francisco Laborda, D. Antonio Echavarri, I). Josef Valcárcel 'yRosique, D. Josef Gómez Arteche , D. Joséf Gutiérrez, D. Josef B en i tez…</t>
  </si>
  <si>
    <t>Virey</t>
  </si>
  <si>
    <t>…A.-' -“*• ' ;,'aí‘‘-J 'J. r - • ¿¡uío v ojucl'm i- .J vb cvu_- 1*&gt; wl ,m b, i?ob&gt;j'T,- ^;v:- ÍWM 'X&amp;tdeMbrfo &gt;nl rx'írÁr: ,:&lt;&gt;l v:r- bcb 2*¿r fd'tila*%#_recibido'eí iticeféntisimo Sr. Virey el de' S. M. detdito v'- .......,b.. ,- j / . - .4 „. -1 * Peni.!.' tc i :&gt;Escm-o.! Sr.:t ParaIcortar la idea y planes de &gt;los¿enero&gt;gos de mi frente, y poder obrar «contraria' multitud de caudillos &gt;que i su instigación^ se bao empañado én -hacerme por los c…</t>
  </si>
  <si>
    <t>…tas Tullerías á 29 de Agosto de 1815, y el 21 de nuestro reinado. = ESPAÑA. Zima 14 de Abr.iL r Por extraordinario que ha llegado el 11 del corriente ha recibido el Eseb ientísimo Sr. Virey el siguiente parte* Escmo. Sr.: V. E. sabe mejor que nosotros que el mundo es un contras-1 te de satisfacciones y cuidados: hace pocos dias dijimos á: V. E. con harto sentimiento lo amenazada que estaba esta plaza, y ahora tenémos el honor mas lisonjero de as…</t>
  </si>
  <si>
    <t>Visconti, Felipe Aurelio</t>
  </si>
  <si>
    <t>Felipe Aurelio Visconti</t>
  </si>
  <si>
    <t>…iares dé* la obra intitulada Raecoito, delle pih insigni fabbricke di Roma antica é sué adjacenze* Esta importante colección es del Sr, Vicente Feoli ¿grabador de arquitectura. El Sr. Felipe Aurelio Visconti es autor de las notas relativas á las antigüedades&gt; y las reflexiones sobre la arquitectura son fd.el $r» Valadier. ... o...-; , , En la .61 tima sesión de la academia Tíbsriana* el abogado Luis Biondi Jeyp eLsegundo canto del poema épico el Alexandro ó la Eu…</t>
  </si>
  <si>
    <t>Viso, Vicente Vázquez del</t>
  </si>
  <si>
    <t>Vicente Vázquez del Viso</t>
  </si>
  <si>
    <t>…n general; en .concepto de que no se recibirán otroí Vales que los renovados últimamente de 15o pesos, uno porreada billete, con endoso á favor d.el Tesorero de las citadas Rentas D. Vicente Vázquez del Viso, y este lo hará en debido tiempo al de los gananciosos; previnién dose que aunque un mismo sugetó quiera Interesarse,en, mas de una suerte^ ha de recibir un billete por cada una de ellas con las referidas formalidades^ y río dé otro modo por pretexto alguno.…</t>
  </si>
  <si>
    <t>Vives, Juan</t>
  </si>
  <si>
    <t>Juan Vives</t>
  </si>
  <si>
    <t>…pueblo que conocemos, pedimos 2 V. M.-l® gracia de besar su Real mano en su nombre.” En audiencia del día 2 2 de Noviembre el Gobernador Intendente de la provincia dé Guancáveíica D. Juan Vives jr Echeverría dijo á S. M.. 16 si guiente; ; a-- ' • . • ' •' 5 -'-V</t>
  </si>
  <si>
    <t>Vizcaíno, Eugenio</t>
  </si>
  <si>
    <t>Eugenio Vizcaíno</t>
  </si>
  <si>
    <t>…era, j D. Simón Londoñb ,30. Luis Boisgroller, D. Jacin to Marcayda, D. Rufino Torrótitegui y D." Josef García Campero, D.* Pedro Montuel, D. Joaquín Moyua, D. Manuel Salaberria, &gt;D. Eugenio Vizcaíno, D. Félix Torrontegui, D. Luis de ios Riosy1Ü&gt;.: Vicente Sáavedrá, D. Migue! Montemayor, D. Martin Mendoza, D. Julián Henriquez, D. Josef'dél' Rio Eligió, D; Juan jósef Giiidoy D/ BenitodelaRigádtf &amp; Miguel Lizarza, D. Tgnacio Glaetay D/Francispo de Zayasy-D.…</t>
  </si>
  <si>
    <t>Vizcarrondo, Pedro</t>
  </si>
  <si>
    <t>Pedro Vizcarrondo</t>
  </si>
  <si>
    <t>…ozo, D. Juan de* la Cueva, D. Juan Delgado,: D. josef Febrer , D; Mariano Henarejos, D; Ciríaco Mella , D. Juan Sanjurjo, D. Ignacio Cuadrado,: D. Juan Aleson, D. Honorio Siréra ; D. Pedro Vizcarrondo, D. Josef Guimbarda, D. Juan Sotélo, D¿ Tiburdo Basanta, p. Rodrigo Tavira , D. Manuel de Lis , D/Felipe Herreros , el marques del Moral, D. Sebastian Iglesias, D. Salvador de Cárdenas, D..Andrés Maymo, D&lt; Clemente Gutiérrez, D, Vicente Rodríguez, D. Pedro Pi…</t>
  </si>
  <si>
    <t>Volkmann</t>
  </si>
  <si>
    <t>…Desbnreaox escribe con fecha del 8 de Abril al comandante de Kehl, y le expone las razones que alegaba el ministro en su •ficio del 5. .. i.::- •. . Núm. z, C. Contestación, tlel general Volkmann, enlaque expresa que ' tiene facultad de resolver,rporqueHas órdenes que ¡tiene dicen qué hasta Hueva orden no pueda, encargarse sino de pliegos dé oficio. Nám. S. A. Dectaracipn dehieorico Varnies. Despachado el 30 de Mar zo de París para Roma, llegó el 3 de…</t>
  </si>
  <si>
    <t>Vüat</t>
  </si>
  <si>
    <t>…os desertores que llegan á 'Parir se' los destina inmediatamente á varios cuerpos. Hay mas de 100 hombres de la guardia Vieja acuartelados én los Capuchinos, y tienen *por gefe al general Vüat, a - — •</t>
  </si>
  <si>
    <t>VVéllestey, Ü Henrique</t>
  </si>
  <si>
    <t>Ü Henrique VVéllestey</t>
  </si>
  <si>
    <t>…..-: ■&gt; Én seguida de esto, y despuésde: una &gt;breve* pausa ,¡el Jarretiera rty de armas, practicadas las reteteócías de estijoytóiñóde sobreda mesa el mamo, y lo entregóál Escfmo. Sr. Ü Henrique VVéllestey, el cual asistido de los otros plenipotenciarios se io invistió" al Rey nuestro: Señory: al mismo tiempo que el Jarretiera prónunciaba en látin lá admonición correspondiente." W! ‘ De la ótisma fn*ner*sehizo la investidura del chaperon ó capucha,y del collar;…</t>
  </si>
  <si>
    <t>Vyfe</t>
  </si>
  <si>
    <t>…ar un nuevo egemplo igual al de t8 de Junio, el cual vivirá eternamente en la mer moría de estas grandes naciones militares. Para empezar con los progresos del cuerpo avanzado, el mariscal Vyfe?* de , en vez de bloquear á Foul, eehp puentes sobre el Mosela en Ghanellerai, y el día 2 tenia su cuartel general en Ligni. Los comandantes de Toul y Marscall ¡se han negado á la intimación que se les ha hecho de rendir las plazas. El feld-mariscal ha tomado…</t>
  </si>
  <si>
    <t>Wabridge</t>
  </si>
  <si>
    <t>…te de las tro mpas cuando veia indecisa la victoria; y asi puede decirse que en esta oca«sion ha vuelto á salvar la Europa.** Se ha sabido que al fin ya de la acción del día 19 el lord Wabridge, á la cabeza de las guardias, penetró hasta la distancia de seis varas de Napoleón, y que ya iba á intimarle que se rindiese cuando recibió una herida, que obligó á que lo retirasen sin sentido. Sin esta fatalidad,Napoleón hubiese que dado indefectiblemente ó…</t>
  </si>
  <si>
    <t>Wahlstadt, Príncipe Bíucher de</t>
  </si>
  <si>
    <t>Príncipe Bíucher de Wahlstadt</t>
  </si>
  <si>
    <t>…iados en Francia. Divisiones de los departamentos franceses que han de ser ocupados por las tropas de las altas Potencias aliadas. x.° Egército prusiano: Caen, cuartel general del mariscal Príncipe Bíucher de Wahlstadt. El egército ocupará los departamentos del Finisterre, Morbihan, costas del Norte, Mancha, Ule y Vilaine, Calvados, Ornes, Mayena, Sarthe, Eura y Loira, Sena inferior, hasta la orilla izquierda dej. Sena, Eura, Loira y Cher, Indre y Loira , Maine y Loira, Loi…</t>
  </si>
  <si>
    <t>Waldelck</t>
  </si>
  <si>
    <t>…ha permanecido aquí el caartel general del cuerpo de tropas dinamarquesas que van á^reunirse al egército del Duque de Wellingtóh. Antes de* ayér se formo en parada la brigada del coronel Waldelck, destinada á la vanguardia, en una llanura cerca de Hamburgo ¿ des pués que la revistó el Príncipe Federico deHesse, atravesó por el puente de aquella ciudad, en presencia de una multitud inmensa, al compás de una gran música marcial. La brigada del general B…</t>
  </si>
  <si>
    <t>Wallenstein</t>
  </si>
  <si>
    <t>…el segundo, en el cual iban las de S. Alejandro Newski, le llevaba el secreta-r rio de legación el caballero de Severjn ; y el tercero con las insignias del or den de Sta. Ana el caballero Wallenstein, consejero honorario agregado á la .legación. S. M. recibió las mencionadas insignias de las órdenes de Rusia con el mayor aprecio, como prueba de la amistad de S. M. .el Emperador de todas las Rusias; y. asi lo„espresó al mencionado su Ministro plenipotencia…</t>
  </si>
  <si>
    <t>Walmoden</t>
  </si>
  <si>
    <t>…e Wurtemberg;. des-* pues de haber pasado el Queich sin resistencia , llegó ;el 2 5 ;á Eilligheim» y el* mismo dia marchó contra Weissemburgó, y arrojó de la ciudad al-enemigos El general Walmoden, que cubría el flanco izquierdo idehPríncipe'Real* es-^ taba el mismo diacen RHeinzabérn. ■ d;*!^ ii :u -■M’ói h- ¿*b El 26 el Príncipe Real siguió al enemigo • en encamino; de? Haguenau i y» habiéndole hallado apostado entre Sulz y Su rbuigocle'atacó hhpetuo…</t>
  </si>
  <si>
    <t>Was</t>
  </si>
  <si>
    <t>…de ía qiie íe había hecho el artisía ; córi élía'puedef ya inórttat y andar á caballo. ;í' • ■''' ':l\ * í.. 4i*« : 1 í Según, un periódico dé los.Estadós-Unidos ,‘éíi tiempo dé 1 general Was hington los gastos del estado ascendieron solo á tres millones de duros anua les : bajó la presidencia de Juan Adams ascendieron al doble: bajo la de Jeferson importaron lo mismo poco más a menos; y últimamente bajo la de Maddfsón-en cuatro años dé guerra han…</t>
  </si>
  <si>
    <t>Wautersy, Agustwt</t>
  </si>
  <si>
    <t>Agustwt Wautersy</t>
  </si>
  <si>
    <t>…de la Cadena, D. Francisco Lafita » D. Joaquín Gil de Bernabé, D. Gregorio Roldan , Don Redro de Nava, iD; Miguel Araoz, D.: Juan Echenique, *6/ Vicente Varela, D. Agustín Blondo, D. Agustwt Wautersy D. Ramón Allendey-D» BenitoOirtiz, D/ Manuel Soli$y D. Nieblas Meñaca, D¿ 'Ignacio ValleMarimon; Don Antonio Gastón, D. Vicente’ Bauzáy&lt;D¿ Pedro dePalacio,D. Joaquín de Senroa y D. Nicolás Mayorga. __ •' ¡ :n Ascenso á tenientes de navio á los de fragata D.Francisco Fernandez Mi…</t>
  </si>
  <si>
    <t>Wauthier</t>
  </si>
  <si>
    <t>…cher á Napoleón, que huye precipita damente con sus tropas. Las tropas de la Bélgica se han portado con un va lor estraordi na rio.” Idem d las 10 de la mañana. Acaba de llegar el coronel Wauthier, edecán del Príncipe de Orange, enviado por S. A. R. con el parte siguiente de la acción de ayer que da al Barón de Capellen: ,, La acción fue sangrien ta; pero muy gloriosa para todas las |ropas de S. M. y de sus aliados. Nues tro* egército conservó el campo…</t>
  </si>
  <si>
    <t>Wel</t>
  </si>
  <si>
    <t>…ios oficiales dé idistincion&gt; y qpe los ingleses han tenidp 4. ó. 5® Honfotep de pérdida.: La nuestra ha sido muy considerable, y llega a 4200 hombres rentte muertos y heridos. El lord Wel 1 ingtpn evacuó inmediatamente á Qua■ , *re-,Bras, y se trasladó 4obre Geoappe's. , En la mañana del 17 ei Empqr?dovf;se*d-teígi° 4,:Quatre^ras, de donde habiendo'salidqpara átpcaf ;eh ejército ingles », Jogró, con él aja izquierda dé , la:reserya arrojarlo h…</t>
  </si>
  <si>
    <t>Welke</t>
  </si>
  <si>
    <t>…r á recibir!, allí al Emperador de Austria. Tam bién se espera en la misma ciudad al Rey y al Principe heredero de Nápoles, y á muchos Archiduques de Austria. lina, galeaza sueca, capitán Welke* destinada á; Liorna , ha perecido en la noche del 30 al 31 de Octubre á presencia del puerto dé Dunkerque. El buque se sumergió j y desapareció enteramente entre las olas¿ Las cartas particulares de Ñapóles añaden que juntamente con Murat fue ron arcabuceado…</t>
  </si>
  <si>
    <t>Wellesley, Henrique</t>
  </si>
  <si>
    <t>Henrique Wellesley</t>
  </si>
  <si>
    <t>…A. Raparaverifica r.lavinvestidura .dé las insignias de la expresada or den una comisión $ la cual luego que llegó á Madrid ‘lo a vi ál Rey nues tro; Señor por i medio del Escmo;, Sr. D. Henrique Wellesley,, embajador de S^M¿ Británica , y primer .plenipqtealciario nombrado en el diploma de la re ferida*; comisiamypára .-quer; S. &lt;Ms ¿Señalase.#Í~ lugar' y día en que debía celebritEse esta aúgusta ceremonia Y ,hábieíidpí designado: S.,,M.! el 1 f ¡dé Mayo á las…</t>
  </si>
  <si>
    <t>…. M., que se ha llaba de ceremonia en su Real cámara , acompañado de los Sermos. Seño res Infantes D. Carlos y D. Antonio; y derlos grandes de España y gefes de palacio, el Escmo. Sr. D. Henrique Wellesley. presentó las, insignias' de lá orden 4 S. M., que contestó que lasr admitía con el mas altó aprecio ; yzcá seguida; depositadas estas’sobre una i mesa preparada al intento , el Jarretiera rey de armas'entregó las credenciales al Escmo. Sr; D. Henrique Welles…</t>
  </si>
  <si>
    <t>Wellingtoh</t>
  </si>
  <si>
    <t>…, dé Espinay,-Arrfiaií d’Argensé * ai caballera Orieul, y otros*' varío* óíicialés que van á reunirse á su Rey. • Idem 25. ^ «* y •*-. y Escriben de FÍandeS que no es probable qué lord Wellingtoh haga poV ahpra ningún movimiento. Sé- dice qtie carece de infantería; pero' mas.Verosí mil és qué éste esperando qué acaben1 de llegar las Fuerzas rusas y prusiana s, Su caballería, consiste eni82) hombres entre ingleses* hannoVeríanbs y pru sianos. "Document…</t>
  </si>
  <si>
    <t>Wellington</t>
  </si>
  <si>
    <t>…como su embaxador; pero se le dio orden de volver á su pais. Se asegura que el conde Harrouby y Mr. Wellesley Pole van á Flandes encargados de alguna comisión importante cerca de lord Wellington, quien se halla ya en Brusélas mandando las tropas inglesas, hannoverianas y belgas. ESPAÑA. Barcelona 20 de Abril. Escriben de Perpiñan que en este último correo no se han recibido no ticias particulares, pues el de León está todavía interrumpido, lo qual ha…</t>
  </si>
  <si>
    <t>…atro regimientos de ca ballería y uno de infantería» que en:todo ascienden á.jó® hombres. Esté cuerpo compondrá el ala izquierda del exército grande» que estará á las ór denes del lord Wellington » y será mantenido por Isl Inglaterra. — En la semana próxima se esperan dos regimientos de húsares y 10 batallones de tufaotería hanuovédanos; y á mediados del mes los to® hombres del duca-</t>
  </si>
  <si>
    <t>…ciertos folletos, que sin orden de nadie se han entrometido en es tos últimos tiempos en los negocios de estado; que se supone firmada per ministros ingleses, y sobre todo por el lord Wellington, suponiendo que es te general y plenipotenciario haya podido dar un paso contrario á la legis lación de su país y á su carácter; que se supone firmada de los ministros de Austria, y que es imposible concebir, por mas disensiones políticas que se quiera supone…</t>
  </si>
  <si>
    <t>…5 9 hombres continúan poniendo nuestras plazas fronterizas en estado de defen sa___ Se afirma que el emperador de Rusia ha puesto algunos regimientos de cosacos á las órdenes del lord Wellington___ El conde de Pozzo.deBorgo ha venido con una: carta del emperador de Rusia para Luis xvuv, •qué contiene das ofertas mas satisfactorias, y la seguridad de que S. M. I. •hará marchar en so favor hasta el último de sus soldados» Idem /j?. El lord Wellington h…</t>
  </si>
  <si>
    <t>…s que lo habían separado de sus hijos du rante 19 años, solo trataba de reparar los daños que les había causado el des orden y la tiranía. (Secontinuará.) Idem 24. £1 exército del lord Wellington está dividido en dos cuerpos; el uno al mando del príncipe de Orange, y el otro al del lord Hill. La reserva, que está ya casi completa, se halla á las órdenes del príncipe Federico de Orangew Estos últimos dias han embarcado millón y medio de cartuchos para…</t>
  </si>
  <si>
    <t>…partes, y que no pocas veces impedían los movimien tos y. evoluciones. Basta decir , para formar idea de lo reñido de estas batallas, que el astado mayor ,;que estaba al lado del lord Wellington, se vio sin sa ber como mezclado coñ un cuerpo de caballería francesa. Lo mas empeñado de la acciqn fue entre dos bosques cerca de Nivel Ies y Fleurus, adonde los generales Wellington y Blucher, con el objeto de sacar ventajas de su supe rior caballería en la…</t>
  </si>
  <si>
    <t>…para colocarse á la izquierda del egército francés. Por aquí no ha cesado en. toda la noche de pasar tropas, entre ellas un soberbio tren de artillería inglesa, que va á unirse al lord Wellington.___Esta madrugada han debido salir de Lieja en carruages 12© prusianos para unirse al egército del Príncipe Blucher. Ayer también desfilo por Namur un cuerpo de 30© hombres que venia de Dinant, Marche y Hay. &lt;Esta madrugada ha vuelto de los puestos avanzados…</t>
  </si>
  <si>
    <t>…orro las tropas de ia Béigica y de la Holanda habían vuelto al orden, y se habían librado de ser envueltos y cortados en su retirada. A las io de la noche recibió esta no ticia el lord Wellington, c inmediatamente reunió todas sus tropas,dio cua tro raciones á sus soldados, y á las dos de la madrugada se puso en marcha á la cabeza de 30© hombres, que ardían en deseos de venir á las manos con el enemigo. A las 15 millas ya lo habian logrado, y el estru…</t>
  </si>
  <si>
    <t>…ui demasiado tiempo. París ti de ¿setiembre. Antes de ayer salió de aquí con dirección á Vertus (en Champaña) el Emperador de Rusia; y en el mismo dia partieron el Rey de Prusia y lord Wellington para el mismo pueblo , donde se ya á pasar la gran revista que $e anunció hace dias. Concluida esta se encaminarán inmediatamente al Rhin, y evacuarán por consiguiente: el territorio francés las tropas reunidas en las inmediaciones de Vertus, que ascienden á…</t>
  </si>
  <si>
    <t>…sclavitud por la' cantidad de 16 millones de duros. PAISES-BAJOS, Bruselas go de Setiembre. Los estados generales de los Países-Bajos han decretado,: i.° Una dona ción á favor del lord Wellington, príncipe de Waterloo, consistemó en.va^ rías tierras y bosques situados en el sitio misino de $u triunfo, y una renta anual de 20® florines de Holanda, cómo un testimonio de reconocimiento de la nación: 2.0 La creación de uní tórdeh def mérito civil bajo la…</t>
  </si>
  <si>
    <t>…vo regocijo , gritando sin cesar: viva el Rey : viva el Duque de Angulema:, vivan los llorbones. : Se ha publicado en esta capital un prospecto de la historia de las campa ñas de lord Wellington desde la toma de Seringapatam hasta el tratado de París. Esta obra se compone de cuatro entregas, que comprenderán junta* 24 di-cursos históricos: á cada uno de estos acompañará una lámina que repre sente una de las principales batallas ganadas por los egérci…</t>
  </si>
  <si>
    <t>…que ha asistido toda la corte; después se presentó el Rey y todas las Personas Reales, según costumbre, en el balcón de palacio, y en seguida re-cibió á varias diputaciones, y al lord Wellington, quien desde allí pasó al cuarto del duque de Angulema. Ayer S. A. R. Monsieur fue á visitar á lord Wellington. Se está adornando el palacio de la Reyniere para hospedar á la duquesa de Wellington , que debe llegar de un dia á otro. Se asegura que el cuartel…</t>
  </si>
  <si>
    <t>Wellingtón</t>
  </si>
  <si>
    <t>…ustríacas por ías inmediaciones de Bcsanzon, dirigiéndose á las fronteras : las unas vienen de Díjon y las otras del Medio día por León. x ^ Se habla de un viage que debe de hacer lord Wellingtón á Londres, r Escriben de Metz que se restablece'allí la tranquilidad por los buenos Ofi cios del general y del corregidor ■, qué saben dirigir bien él espíritu publicó, reprimiendo los facciosos; ; ' 1; * &gt; - . al • ^ Hace pocos dias que pasó por delante dé M…</t>
  </si>
  <si>
    <t>Wellingtonf</t>
  </si>
  <si>
    <t>…ipotenciarios por parte de S. M. el Emperador de Austria eran los Príncipes de Metternich y de Schwartzemberg; por la Graq Bretaña lord Castlereagh, primer secretario de Estado, y lord Wellingtonf por la Prusia el Prin.cipe.de Hardemberg y el barón de Humboldt; por la Ru-</t>
  </si>
  <si>
    <t>Wéllingtórt</t>
  </si>
  <si>
    <t>…pliegos para el embaxador de Suecia en Londres, el qual inmediatamente fletó un barco y dio la vela paro Inglaterra. Esta mañana se embarcó otro correo despachado de París por el lord Wéllingtórt para su corte. Algunas horas despoes vino un oficial aus'tfiábd, y marchó' iñmediáiáfiiéñte á Lóndrés. Nada se sabe de la frecuén+ cia fdé 'tah‘tos correo¿V que indican que se tratan cosas de Ja m'aybr impor tancia; •’* " ' V ' ^ De dos dias á esta parfé se t…</t>
  </si>
  <si>
    <t>Welungton</t>
  </si>
  <si>
    <t>…rráneo* Se dice que su destino ulterior es una expedición contra A rgel, si el deyno quiere entregar los prisioneros holandeses que tiene cautivos. El coche de gala destinado para lord Welungton es de una magnificen» cia casi igual al que regaló el gobierno al príncipe de Órange. ; w'n El .restablecimiento de la paz con los Estados-Unidos no ha. tenido .en los géneros ni en los fondos de Inglaterra aquel inflaxo que debia esperarse. JE1 precio del al…</t>
  </si>
  <si>
    <t>Wemyss</t>
  </si>
  <si>
    <t>…or el general Sír James Leith y por el almirante .Duruham. El sábado llegaron los pliegos cf$ estos dos Comandantes, y poco después se publicó el boletín siguiente: 7 „E1 teniente capitán Wemyss ha llegado al almirantazgo con pliegos del vice-almirante Duruham , dirigidos á Sir Crokor, anunciando con fecha de 10 de Agosto la capitulación de la isla de Guadalupe. El principal artículo de esta capitulación dice que el almirante conde Linois, el general…</t>
  </si>
  <si>
    <t>WeUi.ngton</t>
  </si>
  <si>
    <t>…iba en- seguimiento, del enemigo, habiéndole tomado 6o cañones,/muchos] (prisioneros? y bagage. Este media dia estaba yuen,.Charferoiv i tío -- - o*. - :*&gt; ?rb , h „Por parte del lord WeUi.ngton las piezas, tomadas pasan de 8o, y todo. el ;bagage;da;Napoleon y d.e sn cuartel general. „ El Lord se ha sobrepujados sí mismo; y puede decirse, sin que nadie pueda desmentirlo, que la victoria de ayer-se debió al valor estraordinario 4$; las tropas británic…</t>
  </si>
  <si>
    <t>Williams</t>
  </si>
  <si>
    <t>…ara "la congregación de comerciantes deda Ciudad-vieja. ■■ • -ir &gt; ■ ’ i.-.; : ,&gt; J. : ¿ i Ha llegado á Plymeuth el transporte nombrado el Quebec-Packet pre cedente de Halifax. El capitán Williams,qué lo mandaba, vio el 14 de Di ciembre una chalupa llena de gente, y aunque el mar estaba inquieto se pu so á la capa para esperarla. Llego por fin al transporte la chalupa en qué ve.nian 18 personas y un. niño de cinco años que se habían salvado milagrosa m…</t>
  </si>
  <si>
    <t>Wimpffen</t>
  </si>
  <si>
    <t>…neral; y se asegura que con una división grande de tropas austriacas, de que se le dará el mando, se acantonará en los diferentes distritos de nuestro departamento. Se cree que el general Wimpffen permanecerá en Eran* cia bajo Jas. órdenes del general en gefe barón de Frimont. Continua siendo numerosísimo el tránsito de las tropas austríacas por este departamento. También hemos visto pasar por aquí una división bávara con un parque grande de artillería…</t>
  </si>
  <si>
    <t>Wintzingerode</t>
  </si>
  <si>
    <t>…mamente han pasado los egércitos, y desde allí han come tido depredaciones y robos contra algunas personas que siguen al egército* Para repeler á esta gente se han dado órdenes al general Wintzingerode, que está al frente de algunas divisiones de caballería, que barra el caminó , y asegure las comunicaciones en la retaguardia hasta el restablecimiento de un ■ goSíerno. y •&gt;..</t>
  </si>
  <si>
    <t>Wittgenstein</t>
  </si>
  <si>
    <t>…pleto ái pesáride^ilás ba jas i de los enfermos': este egército está én marcha para ef Rhin. En las fron teras de Rusia hay ademas otro egército de 150® hombres á las órdenes dej. general Wittgenstein; y el Emperador ha hecho saber ai Príncipe Regen te que estaba' determinado á que marchase también ^ las circunstancias lo exigian.u_— La tercera potenciay -que J tantos esfuerzos ha hebho' durante la guerra con admirácío n de todos j tampoco se- hadintitado…</t>
  </si>
  <si>
    <t>…teniente general Lkauccpitz, y -yarías compañías de* artillería de reserva, de pontoneros y de minadores &amp;c. ,f . Adgmas de esto el primer cuerpo de egército bajo las órdenes del conde Wittgenstein, y el segundo bajo las del príncipe Eugenio de Wurtemberg, cada una de tres divisiones de'infantería y una de caballería con 120 cañones éón‘dirección á reunirse al egército grande. Las guardias irán al gran ducado de Vársoyia, y formarán iin egército de rese…</t>
  </si>
  <si>
    <t>…La muger de Murat ha tenido quesalir de Haiinburgo, y se ha dirigido á Gratz., en la Stiria. ........... ....... . I)re&amp;de^&amp; de Agosto*. * El cuerpo de egército ruso, al mando del general Wittgenstein, ha reci bido orden de retroceder á Polonia; y ségun las últimas noticias parece que debe dirigirse á las fronteras de Turquía para reunirse al egército del me diodía. i r ;E1 Gna«?Señó^1 há ^spedhlb un firman * mandando -que el egércitb turco espS promor par…</t>
  </si>
  <si>
    <t>Wolkmann</t>
  </si>
  <si>
    <t>…: fecha del 5 de Abril el teniente:general Desbnreaox, comandante de la quinta división militar, remite al ministro de Relaciones exteriores la carta que este escribió el dia 4 ai general Wolkmann , coman dante de Kehl, y la contestación de este general, en que le dice que no cree violar el derecho de las naciones negándose en las actuales circunstancias á permitir el paso á un correo francés. Sobre lo cual dice que había consultado 4 su.gefe.el genera…</t>
  </si>
  <si>
    <t>Wood</t>
  </si>
  <si>
    <t>…l conde de Motra ha enviado un exército contra el país de Napaol, y que el regimiento de dra gones núm. 8.° y, los regimientos ingleses núm. 14.0, 53.0 y 67.°, al man do del mayor general Wood,.iban empleados en aquella expedición. El embaxador persa cerca de la corte de Rusia ha suspendido hacer su entrada pública en Peterfbnrgo hasta la vuelta del emperador Alexandro: tiene preparados dos elefantes blancos, que le llevarán en una magnífica li ter…</t>
  </si>
  <si>
    <t>…esando un pantano cubierto de juncos, se hallaron detenidas por una tapia de ocho pies dida , tentando qué1 retirarse éón ;«xüchó trábajó.'En estáí acción recibió una contusión eí general Wood; fueron heridos tres oficiales, y el regimiento 17v° tuvo 14 hombrés muertos y 60 Iiéridós.Por lo que toca al egército del general Mar ley, tas noticias, recibidas anuncian, que varios ataques dados por el enemigo con fuerzas muy superiores a dos destacamento…</t>
  </si>
  <si>
    <t>Wooldridge</t>
  </si>
  <si>
    <t>…ranquía: el M,ontagne, de 74 cañones, espitan Heywcod; el Ajax, de 74, capitán Manday ; el Orates r de 36, capitán Cochrane; el Spartan, de 36, capitán Homby;. el Detiree* de 36 * capitán Wooldridge; el Antelia, de 36, ca pitán Ptoby; el Leven r de..... capitán Bluett; el Perseas %de..... capitán A’Coust, y otros quatro buques menores. Ha llegado de Ostende á Margatte un paquete, que salió el 26,, y por él se ha sabida que el 24 había llegada allí S. M.…</t>
  </si>
  <si>
    <t>Wormskild</t>
  </si>
  <si>
    <t>…ebue,ha consentido en ser virá sus órdenes. Van también en laespedicion el Dr. Eschholtz, de la univer sidad de Dorpat, químico, célebre naturalista de Berlín; el naturalista dina marqués Wormskild, y el pintor ruso Choris. El navio debe doblar el Cabo de Hornos en todo el mes ae Diciembre,y empleará todo el año 16 y. prin cipios del 17 en reconocer las islas y otros puntos del mar del Sur, que no han sido hasta ahora bien conocidos. En el verano de 181…</t>
  </si>
  <si>
    <t>Woronzoff</t>
  </si>
  <si>
    <t>…itantes á recibirlas ¿orno amigos , y por su parte promete la protec ción debida. ■ - : . Se cree que los 150® hombres que quedarán en Francia, tendrán por ge^-' fes: los rusos al general Woronzoff; los austríacos ál barón de Frimont, y los prusianos al general de Tauenzien. La plaza de fíeforí parece que no quiere capitular. Se dice que la guar nición ha jurado sepultarse éntre las ruinas antes1 que rendirse.* Como la for taleza se halla en la cima de…</t>
  </si>
  <si>
    <t>Woronzóff.-i-</t>
  </si>
  <si>
    <t>…sares, teniente general Ezaplitz.»__ Ochenta y quatro cañones.. . i . ■.»; ...• &gt; v; Ouinto cuerno de egército, general Lacketl._ 12.* división de infantería;*■ 1 u ' u general el conde Woronzóff.-i-15 .a división id.,í teniente general MarkofE— 26.a división id., general Emme._-2.a de dragones, el general RosíL — Ciento veinte piezas de artillería. Este cuerpo forma el centro , y marcha por Bamberg sobre Oppenheim, el cuartel general marcha con.ellos. Se…</t>
  </si>
  <si>
    <t>Woronzow</t>
  </si>
  <si>
    <t>…se situará en el ducado de Varsovia á las órdenes del general Szachowsky para reforzar-1 i los otros en caso de necesidad. El general Sachen permanece todavía en Bamberg; pero el general Woronzow, que manda su vanguardia, ha establecido ya su cuartel general en Namur cerca del alto Mein. En&gt;F&lt;ancoaia esperan en -breve al Emperador, de Rusia, que debe ir allá</t>
  </si>
  <si>
    <t>…os datos mas exactos, las fuerzas rusas que vuelven á su país están divididas en cuatro columnas: la quinta de 30® infantes y 7$ caballos per manecerá en Francia á las órdenes del conde Woronzow. El gr?m cuartel general pasa por Francfort, Hanau, Fulda y Leipsick para estar siempre cerca del Emperador Alejandro, que piensa seguir el camino de Francfort, Weimar, Leipsick y Berlín. El general Baiewsky manda esta columna en ausencia del feld-mariscal Ba…</t>
  </si>
  <si>
    <t>WoronzOw</t>
  </si>
  <si>
    <t>'12 515 í permanecer eh Francia; son: por el Austria, el teniente general barón Fri«* mont; por la Rusia, el teniente general conde WoronzOw; por.la Inglater ra, el duque de Wellington, y por la,Prusia,el general conde Gneizenau. El primer cuerpo de egército mandado por el general Ziethen, y el sexto cuerpo por el general Tauentzien , conde de Wittemberg, formarán el con tingente prusiano.__^Díc^s…</t>
  </si>
  <si>
    <t>Wre</t>
  </si>
  <si>
    <t>…gos de aquella fortaleza , que quedó cercada. ¡ El io.° es del brigadier general Upton desde Chateau-Salines el 27 de Junio, en el cual comunica haberse dirigido una diputación al mariscal Wre de , y que al dia siguiente ocuparía á Nanci y Luneville. * Oficios del lord Stewart. i.° Cuartel general imperial de Saárebourg 3 de Julio de 1815.=Milord: El cuartel general de los Soberanos y ¿del Principo</t>
  </si>
  <si>
    <t>Wrede</t>
  </si>
  <si>
    <t>…ilación á Alemania. Estos exércitos serán reemplazados por el que está á las orillas del Niemen. ? ,, El Rey de Baviera ha prometido poner sobre las armas 40© hombres al mando del príncipe Wrede, y ha dado ya las órdenes mas executivas para que esto se verifique sin la menor dilación. „El árchiduqué Juan mandará las tropas austriacas en Italia, juntamen te con las del Rey de Cerdeña. El duqne de Wellington mandará el exér cito aliado, destinado á obr…</t>
  </si>
  <si>
    <t>…iahólos húsares y los cazadores de á pie de la guardia, tropa toda escogida y la mas bizarra que es posibie concebir, han pasado hoy por: aquí. . : ^ ^ u Mdnhein de Junio. El feld-mariscal Wrede luego que entro en el territorio francés publicó: desde Sü Cuartel; general de JJargreimnes'bori fecha: del 24 una proclama, en la* cual después de prometer de la manera mas solemne que protegerá á lofc habitantes pacíficos dice:; : *.• , i.° „Todo individuo…</t>
  </si>
  <si>
    <t>…urgo al camino del Rhin. Las fuerzasde^steü ltimo^ consistían enó&amp; hombres de la división de Rottemburgo y en unregimiento de cáballería. Él 2Ó la vanguardia, mandada por el mayor general Wrede, encontró el bos-^ que á la parte de acá del Salz ocupado por el enemigo, que parecía quererk&gt; conservan El general Walmoden hizofinmediatamente, avanzar los batallones de Isemburgo y de Francfort para atacarlo de frentey inientras que cónduclá por sí el bata…</t>
  </si>
  <si>
    <t>…aaregemines y deSaarbruck por el Príncipe Wrede. » , ■ El 3.0 , con fecha del 26 de Junio , participa haberse intimado la ren dición á Bitsch, que se habiá negado á entregarse. El mariscal Wrede iba avanzando con 50® hombres á Chateau-Salines. El 4.0 es del cuartel general de Rheinzabern del 28 de Junio en la noche. El mariscal Wrede habia recibido proposiciones de armisticio, que remitid al cuartel general, y que no fueron atendidas. El Príncipe de…</t>
  </si>
  <si>
    <t>Wredé, Principa de</t>
  </si>
  <si>
    <t>Principa de Wredé</t>
  </si>
  <si>
    <t>…asde.Sena y Marne , en la" ;AfdeHBes; Mámeí»íisa, MóM^Menftha, la cuarta parte del alto Marne, y del Auba una tercera parte. 5 Egércitdbáyáro t Aüxerre t cuartel general del feld- mariscal Principa de Wredé.: El egército ocupará los departamentos de Loiret, y hasta el Loi ra % Yonne, Nievre, Auba, las dos terceras partes del alto Marne y los Vosges* .p'íi }Kl ñtuib^ü í -rr: r •. , 6.' Las tropas de Wurtemberg y de Hesse-Darmstadt, bajo las órdenes de S. A. el Pr…</t>
  </si>
  <si>
    <t>Wrede, Príncipe</t>
  </si>
  <si>
    <t>Príncipe Wrede</t>
  </si>
  <si>
    <t>…taba ios obstáculos que de •suyo había para poder conducir los trenes y cañones; y asi el feld-mariscal se ha visto precisado hoy á hacer alto. ♦ ' • i • ■ / Las noticias del feld-mariscal Príncipe Wrede confirman la persuasión en que estaba de haber algunos’cuerpos enemigos á su izquierda, ó en dirección a St. Diez ó á Biüyeres. • ! El mariscal ha recibido urden del Príncipe Schwarzénbferg, en virtud de avisos del Duque de Weliington y del mariscal Blucher,…</t>
  </si>
  <si>
    <t>Wrede, Príncipe de</t>
  </si>
  <si>
    <t>Príncipe de Wrede</t>
  </si>
  <si>
    <t>…, luego que llegaron á Dovaine, resolvieron 00 hacer jria; feote, .siuo qué tomaronlafugapor la.parte'de Chamberí.”b v Francfort 2 de Julio. ’ ;f ' 7 ' El cuartel general del feld-mariscal Príncipe de Wrede llegó el 28 del pasado á Nand, y todos ios pueblos^ inmediatos enviaron diputaciones para congratularle. Los Soberanos se hallaban en lá noche del::3o en Mutzig, entre Haguenau y JStrasjburgO. r ' Or.d La cuarta columna de granaderos rusos, mandados por el ge…</t>
  </si>
  <si>
    <t>“ 8^7 Eí 4.° cuerpo, á las órdenes del feld-mariscal Príncipe de Wrede, pasó-a viva fuerza el 23 el Sarre,y se apoderó de Sarguemines.y de Sarbruck. El 4.0 batallón bávaro de infantería ligera ttímó con tanta prontitud ; la cabeza del puente de Sargueminesy qué no dio tiempo al enemigo para levantar el puente levadizo. Este ento…</t>
  </si>
  <si>
    <t>…aterloo; lord Hillj lora Apsley; el general Barnet; el coronel Hervey&gt; y el coronel Hamilton. : &gt; : Ademas de los dichos se hallaron también el Príncipe Cárlos de Bavíera; el feld-mariscal Príncipe de Wrede, comandante en gefe del egército báva ro; el teniente general Reckberg; el teniente general Raglowich; el mayor general Deroy; el Príncipe de Loevenstein; el Príncipe Real de Wurtemberg; el Príncipe Federico de Saloma 5 el Príncipe Clemente de Saxoñia; el Prí…</t>
  </si>
  <si>
    <t>…pera qué el frió ataje sus progresos. * ALEMANIA. Munich 20 de Noviembre. S. A. R. el hijo segundo del Rey de Baviera ha vuelto de Francia á esta ciudad. También se espera aquí ai mariscal Príncipe de Wrede, que acaba</t>
  </si>
  <si>
    <t>Wulliez, Francisco</t>
  </si>
  <si>
    <t>Francisco Wulliez</t>
  </si>
  <si>
    <t>…esar la Real mano de S. M. y cumplimentarle por su feliz restitución al trono una dipu tación de la Real academia de cirugía de Valladolid, compuesta de sus aca*démicos honorarios D. Francisco Wulliez, primer cirujano de cámara, Don «Sebastian Aso, catedrático del Real colegio de cirugía médica de S.Gárlos de esta corte, director, y D. Raimundo Juan Perez, médico de los Reales hos pitales de la misma; los cuales en,un breve y enérgico discurso, después de…</t>
  </si>
  <si>
    <t>Wurtemberg, Eugenio de</t>
  </si>
  <si>
    <t>Eugenio de Wurtemberg</t>
  </si>
  <si>
    <t>…ías de* artillería de reserva, de pontoneros y de minadores &amp;c. ,f . Adgmas de esto el primer cuerpo de egército bajo las órdenes del conde Wittgenstein, y el segundo bajo las del príncipe Eugenio de Wurtemberg, cada una de tres divisiones de'infantería y una de caballería con 120 cañones éón‘dirección á reunirse al egército grande. Las guardias irán al gran ducado de Vársoyia, y formarán iin egército de reserva con lós dos batallones del egército de operaciones y u…</t>
  </si>
  <si>
    <t>Wurtemberg, Reai de</t>
  </si>
  <si>
    <t>Reai de Wurtemberg</t>
  </si>
  <si>
    <t>…lto considerable, compuesto de tropas wnrtemnurguesas, badesas y de landw^hr de aiphojs est^jop, que se situará entre Manheim y las fronteras de Suizáf Estás tropas las'mandará el príncipe Reai de Wurtemberg, que habrá salido yáde ViéníFpafá-esíacilidad , y solo sé de tendrá en Sruttgardr uno ó’dcYsd-ias.-' '••• &gt; ! v . í v Ha pasado por aquí, con dirección á Viériáí la duquesa de Curlandiaj que estaba en París. ■ ‘ i . . j &gt; GRAN BRETAÑA. Líndres i.8 de Marzo. E…</t>
  </si>
  <si>
    <t>Xa, Francisco</t>
  </si>
  <si>
    <t>Francisco Xa</t>
  </si>
  <si>
    <t>…aprecio, se ha;servido concederles la gracia de cruz supernumeraria de la Real y distinguida orden española de Carlos ni. . En atención á Jos disti.ngqidos méritos y servicios de D. Francisco Xa vier Manzano, administrador principal de Correos de Barcelona, ha venido S. M. en concederle los honores de. comisario ordenador de los Reales, ejércitos., ; ;j?. v i 'I . - ■ : . • &gt; * . • . * Atendiendo S. M. á !os.._m.éritüS^deLXic. D. Juan Carcía Becerra,…</t>
  </si>
  <si>
    <t>Xamarilío, Josef</t>
  </si>
  <si>
    <t>Josef Xamarilío</t>
  </si>
  <si>
    <t>…gustín Zavala ; idem de fusileros á D. Hermenegildo Herrera y D. Manuel Guerra; Subtenientes de bandera á D. Ventura Castro y D. Josef Fernandez Pare des, y subteniente agregado á D. Josef Xamarilío; y en el regimiento de infantería de línea de Talavera , que se halla en aquel vireynato, capitán á D. Josef Valdés; Teniente de granaderos á D. Melchor Duran; idem de ca zadores á D. Ramón Lorente; idem de fusileros á D, Josef Salazar, D. Ra fael Galdia, D.…</t>
  </si>
  <si>
    <t>Xara, Tomas de</t>
  </si>
  <si>
    <t>Tomas de Xara</t>
  </si>
  <si>
    <t>…rrir, ni aun en el último momento de ella, en la nota de cobardes. Igual mente me veo obligado en toda justicia á recomendar á V. S., especialmente al primer condestable del navio D. Tomas de Xara, al primer calafate Fran cisco Javier Rodríguez , y al sargento primero dé granaderos de la Union Francisco Giménez , que manifestaron durante -todo el funesto acaecimiento una serenidad, espíritu y zelo no imaginables, particularmente el primero, manteniéndo…</t>
  </si>
  <si>
    <t>Xarava, Alfonso Aguado y</t>
  </si>
  <si>
    <t>Alfonso Aguado y Xarava</t>
  </si>
  <si>
    <t>…á D. Manuel Cayetano Muñoz, obispo de Lecó polis, auxiliar de Sevilla: para la dignidad de arcediano de Galatrava, dignidad dé la iglesia primada de Toledo, va cante por muerte de D. Alfonso Aguado y Xarava, obispo de Augustdpolís, y auxiliar de dicha ciudad, al limo. Sr. obispo inquisidor general, en aten ción á haber renunciado en manos de S. S.,-previo el Real permiso, la igle sia y obispado de Almería; y en lugar de la pensión anual de óo® rs. va. que por Re…</t>
  </si>
  <si>
    <t>Xauenzlenr</t>
  </si>
  <si>
    <t>…rincipado dé mburgoj^y días pasados la tomaron del páldcró Teutónico. * 1 PAISES-BAJOS-TJNIDOS. V *w‘ '&lt; £, ' Brusélas if de Júlfa. El sesto cuerpo del egército ruso, al mando del general Xauenzlenr, estS todo en marcha.hacia Francia: la primera columna se esperaba el én' Kamur , y á estás seguirán' las otras. La artillería rusa de grueso Calibré estS' descamino para Di na nt. para 'dirigirse contra. Filipévillé y Mezierés , due sé—' ^ií ^igorósaméfíte á…</t>
  </si>
  <si>
    <t>Xavier, Francisco</t>
  </si>
  <si>
    <t>Francisco Xavier</t>
  </si>
  <si>
    <t>expone en su informe sobre la pretensión de Doña María Ramona» Doña Gabriela y Doña Rosa DaJp., hijas huérfanas de D. Francisco Xavier, Ad ministrador general-^ue -füeclela! Rerita del' Tabác&amp;/ y de la justicia cón qiiea'si éstsnneómo otras interesadas han solicitado el* gocé de dos pendones dé viudedad ¡por haber contribuido sus maridos ó padres á dos Montes pio¿; se ha servido deciárar ^po…</t>
  </si>
  <si>
    <t>…N¡^esi&lt;^^te^p;*;^ojm^ndiánte general qiie ha sido de las provincias internas de NueVarEspaña ¿ D, Jgsef Manuel de Goy-efceche* general en gefe que fue del egétéito del alto Perú; D. Francisco Xavier» Abadía , inspector general dé fcSffóépaf Diablo Morillo y capitán general de las provincias de Venezuela, y general en gefe del egército destinado á ellas, y D.'Joaquín de la Pezuela actual general, en gefe del exéreito del alto Perú. ¡ Mariscales de ¿ampo á…</t>
  </si>
  <si>
    <t>Xebzefcero</t>
  </si>
  <si>
    <t>…ncia la ital del Piamonte.. Él Padre. Sarito conaelescendiócon la suplica, y se pusoen* marcha para Turiri. Sil mansión ¿n aquella capital será muy corté. • ■ Roma 2Sde Mayo, » El caballero Xebzefcero &gt; enriado- estraordinario y ministro; plenipotencia rio del Emperador de Austria , marchó ayer de vuelta á Ñapóles. En su áuT séncja queda encargado de los negocios el Señor Pelu^l , secretario de la lega-1 clon.* Monseñor Ódéscálchi, auditor de Rot'á- del ‘A…</t>
  </si>
  <si>
    <t>Xéon</t>
  </si>
  <si>
    <t>Á virtud de providencia dél Sr.' D. Xéon de la Cámara Cano, del consejo de S¿ M.y teniente corregidor de- está villa, y escribanía déí número de Tomás de' Sandia y Prado ¿ se ívenden dos casas sitas en esta corte; la?uha en la calle de la In quisición^ señalada icón elnúm. 9, mariz; 495,.t3sadáen *5…</t>
  </si>
  <si>
    <t>Xerez, Vicente</t>
  </si>
  <si>
    <t>Vicente Xerez</t>
  </si>
  <si>
    <t>…a ; á D. Pas cual Coca , D. Cenon López, 0. Bernabé Porián, y D. Josef Diaz, del primer Batallón de Ciudad-Rodrigo; á D. Antonio Echenique, D. Domin go García , D. Hénrique Arias, D. Vicente Xerez , y D. Juan Ferrero, Sargento mayor y Capitanes del segundo Batallón de Ciudad- Rodrigo; á 0. Patricio Iñiguez, D. Blas Carrasco, D. Josef Robledo, y D. Antonio Garrido, Capitanes dél tercer Batallón de la misma denominación, y á Don Francisco Huerta, Ayudant…</t>
  </si>
  <si>
    <t>Ximener, Juan Becerra</t>
  </si>
  <si>
    <t>Juan Becerra Ximener</t>
  </si>
  <si>
    <t>…lguna noticia de él se servirán comunicarla en esta corte i D. Rafael Ximenez de Velasco, calle de los Jardines , núm. 17, quatro segundo , y en la villa de Cá ceres á &gt;11 hermano D. Juan Becerra Ximener. * El Hombre feliz independiente del mundo y de la fortuna , ó arte de vivir con tento en qualesquíer trabajos de la vida: obra escrita «n portugués por el P. Teodo ro de Ahneyda, de la congregación del Oratorio, y de la academia de las ciencia de Lisboa; tra…</t>
  </si>
  <si>
    <t>Ximenez, Iíúario</t>
  </si>
  <si>
    <t>Iíúario Ximenez</t>
  </si>
  <si>
    <t>…iatura apostólica, ha venido S. M. en nombrarle por su predicador supernumerario. Deseando el P E*r nuestro Señor premiar los méritos, singulares servi cios y constante lealtad de D. Iíúario Ximenez, director de provisiones del reyno de Aragón, ha tenido á bien conferirle los honores de comisario or denador. James Pipón* comisario general de los exércitos de S. M. Británica, re sidente en Lisboa, hace saber á todas las personas que se hallen con crédi to…</t>
  </si>
  <si>
    <t>Ximenez, Ramón García</t>
  </si>
  <si>
    <t>Ramón García Ximenez</t>
  </si>
  <si>
    <t>…sejos, donde se manifestarán sus condiciones. Por providencia del Sr. D. Luis Gabaldon y López , del consejo de S. M., y teniente de corregidor de esta heroyca villa, dada ante el Sr. D. Ramón García Ximenez, secretario de S. M. y escribano del número de la misma , á instancia de loa herederos de Diego Gómez de Clemente , vecino y labrador que fue del lugar de Alcorcen, de esta jurisdicción, se cita, llama y emplaza i todas las personas que tengan derecho á sus b…</t>
  </si>
  <si>
    <t>…Én virtud de facultad Real y providencia dada á su consecuencia por el Sr. Don Joaquín Aúnazsn y'Ximeno, del consejo de S. M., teniente de corregidor de esta villa, refrendada del Sr. D. Ramón García Ximenez, secretario de S. M. y escri bano del número éñ ella, se Venden qtiatro casas sitas en esta corte, dos en la calle del Amor de Dios, señalada la una con el núm. 12, manzana 239, tasada en 238600 rs., y la otra con el núm. 13 de la propia manzana, en 176530 rs…</t>
  </si>
  <si>
    <t>XJrbina, Juan de</t>
  </si>
  <si>
    <t>Juan de XJrbina</t>
  </si>
  <si>
    <t>…cuerpos-francos que-existian en ,1a misma, y demas que ex presa la referida Real orden ; y dignándose S. M. admitir la dimisión que de dicho encargo há hecho el mariscal de campo D. Juan de XJrbina,-nombra do al efecto., se ha servido nombrar al brigadier D. Javier Cornel, que se ha lla agregado al regimiento dé Valencey y para que desempeñe dicha comisión; y al mismo tiempo ha tenido por conveniente el Rey, resolver, que luego que justifiquen lós ofici…</t>
  </si>
  <si>
    <t>Yágüé, Manuel</t>
  </si>
  <si>
    <t>Manuel Yágüé</t>
  </si>
  <si>
    <t>…á -• cumplimentar y besar la mano á S. Mv, ^h nombre de la villa de Bejar , el ' Dr.'TX Andrés Sánchez de Ocaña, -oficial en la secretaría de Estado y del despacho de Hacienda, y D. Manuel Yágüé, regidor que ha sido varias ve ces :de su ayuntaísiictito ; él primeid dé los-qualés arengó á S. M» en losTér minos «¡guíenles’é ó n "v: -■ • ■&gt; : "i• ; „ Señor: la villa de Bejar que por escrito fue uno de los primeros pue- &gt; blos que' sé apresuraron á Felic…</t>
  </si>
  <si>
    <t>Yanguas, Josef</t>
  </si>
  <si>
    <t>Josef Yanguas</t>
  </si>
  <si>
    <t>…ríguez, Don Simón Fernandez, D. Teodoro Arce, D. Juan Guasa, D. Juan Malagon, E&gt;. Cosme Arias, D. Francisco Sierra, D. Diego Osorio y D. Gregorio Diez, del de Voluntarios de León; D. Josef Yanguas, D. Josef Osorio, D. Francisco Sillero, D. Juan Sánchez, D. Alexandro Saez, D. Estéban Rubio y D. Gabriel Yanguas, del de Cazadores de León ; D. Ramón Mo reno, de la escuela militar de Santiago; D. Manuel Moreno y D. Andrés Pierola, del Cuerpo de Artillería;…</t>
  </si>
  <si>
    <t>Yanguas, Josef María</t>
  </si>
  <si>
    <t>Josef María Yanguas</t>
  </si>
  <si>
    <t>534 D. Josef María Yanguas: para la de alcalde mayor teniente tercero de asís* tente dé la misma ciudad á D. Gaspar Armengol: pará lajdeT alcalde mayor de Viilafranca del Vierzo á D. Melchor Díaz Valcárciel Tpara la de Agui*? lar de Cimpoo á D. Pedro de Tagle Velarde; y para el corregi…</t>
  </si>
  <si>
    <t>Yañtz, Lúeas</t>
  </si>
  <si>
    <t>Lúeas Yañtz</t>
  </si>
  <si>
    <t>&gt;TÓ de.Octubre último por D. SantMgÓ/Gtrcíá á favor de Bichos señores; 161778 y ¿ 73 2 27, e,ntíosados en dicho di:i por, D. Lúeas Yañtz á favor délos indicados se ñores ; 155315 y 1 54119 » endosados en 20 de julio último' por los Sres. Pe y ro Ion y compañía á favor de los mismos: 166959, endosado en 25 de Octubre ultimo por los. mismos á favor de jos ekpresados;señores: 177771., endosado en…</t>
  </si>
  <si>
    <t>Yarda, Juan</t>
  </si>
  <si>
    <t>Juan Yarda</t>
  </si>
  <si>
    <t>…censo ¿oficiales terceros á los cuantos D.: Juan de Hazas,rD. Bernar-* dino Fernandez ,D. Joaquín Manuel de Teva, D./ Francisco Cándido de Ote-* jpo , D. Juan Higinio Qyiatanilla, D. Juan Yarda, D. Francisco JavierMartinez, D. Josef M^na Blanco y í). Fulgencio Aicaraz; .: . 1 / Ascenso á oficiales quartos ¿ los quintos D. Josef de Torres Gal vez/ D. Clemente Román y Lobo, D. Antonio de Entrena y Mosquera, D. Jo sef Rodríguez, P. Clemente Losada, D.…</t>
  </si>
  <si>
    <t>Yaschville</t>
  </si>
  <si>
    <t>…rales Doctoroíf, á los ba rones Osten, Saken, Rassesky y Winzingerode; á ios tenientes genérales, e¿ gefe del estado mayor del egército barón Diewitch, y el gefe de la arti llería príncipe Yaschville; á los comandantes de los cuerpos Sawanoíí, Yer-Oíock y conde Pahlen; á todos los generales de división, de briga da , y á los comandantes agregados á las divisiones, igualmente que á los co mandantes de ios regimientos y de las compañías ; en fin á todos los…</t>
  </si>
  <si>
    <t>Yéndeiíie, Blas Ostolazav</t>
  </si>
  <si>
    <t>Blas Ostolazav Yéndeiíie</t>
  </si>
  <si>
    <t>…- la libferia de~Sojo ,~caUe de -las Garretas.—Véndese tambien-en Cádia-y-en la^-Corooa. ;i Discurso que en)presencia de’S. M.:y AAi dixoica lia Realcapiila ,él domingo - ^ el DK D. Blas Ostolazav Yéndeiíie é jqrs^ en Ja librería^ dc,Matu$e, 'Isv.:' ¿i oí&gt; ■ •: *. • f; r&gt; -ec’( r&amp;fff -rv f*j" L&gt;r 1-, rNoda. En4a gaceta del 2 f 4e: Febreíovvpág^ 207 , Jín. 7 9 donde dice ; *///&lt;**?:&gt;' mmcimhnto** lé^se «lint#-4* ewv&amp;mKntQ*b y enjugar • *. V -i r ? K v ' .&gt; '..‘i…</t>
  </si>
  <si>
    <t>Yévenes, Alfonso de</t>
  </si>
  <si>
    <t>Alfonso de Yévenes</t>
  </si>
  <si>
    <t>…iente corregidor de la ciudad de Málaga, cumpli mentada por el Sr. D. Joaquín Almazan, ael consejo de S. M., teniente corregi dor de esta villa, y escribanía del número que exerce D. Alfonso de Yévenes, se manda convocar, como se hace por el presente aviso, á los legítimos herederos y representantes de D, Josef G-andulla é hijos, de Doña Magdalena y Doña Catalina Gandulla, interesados en la hacienda de campo que nombran de la Xabonera, tér mino de la villa…</t>
  </si>
  <si>
    <t>…dese en el despacho de la imprenta Real. En virtud de providencia del Sr. D. León de la Cámara Cano, del consejo de S. M., primer teniente corregidor de esta villa, refrendada por D. Alfonso de Yévenes, escribano del número de la misma, su fecha 25 del pasado, se manda á los que se hallen con derecho al patronato de las capillas y oratorios situados en el con vento de S. Hermenegildo,de religiosos carmelitas descalzos de esta corte, que den tro del término…</t>
  </si>
  <si>
    <t>Youtes, Antonio Alvarez</t>
  </si>
  <si>
    <t>Antonio Alvarez Youtes</t>
  </si>
  <si>
    <t>…e mayor de Viilafranca del Vierzo á D. Melchor Díaz Valcárciel Tpara la de Agui*? lar de Cimpoo á D. Pedro de Tagle Velarde; y para el corregimiento de Lerma á D. Isidro Balseyro. D. Antonio Alvarez Youtes, cura propio de la paroquial de Pascualgrande^ obispado de Avila, desea saber el paradero de Pedro Martin Gutiérrez, que fue soldado en el de milicias de esta capital, y pasando á la defensa de Zaragoza salió, prisionero de allí para Francia, sin haber vuelto…</t>
  </si>
  <si>
    <t>Yugla, Josef Belmonte y</t>
  </si>
  <si>
    <t>Josef Belmonte y Yugla</t>
  </si>
  <si>
    <t>…y no habiéndose podido adquirir posteriores noticias , se suplica á los que la tengan de su existencia ó fallecimiento se sírvan Comunicárselo á Doña Léonida Yugla, si» madre, ó á D. Josef Belmonte y Yugla, su hermano, en dicha ciudad de Cádiz. 7 Máximo García «Hernández, natural de Arenas, provincia de Avila, sargento del regimiento Leales de Fernando vil, se supo salió herido de una bala decáfionde Ja batalla de ía Albuhera, y que se hallaba en el hospital de…</t>
  </si>
  <si>
    <t>Yugla, Léonida</t>
  </si>
  <si>
    <t>Léonida Yugla</t>
  </si>
  <si>
    <t>…aque de Ciudad-Real en Marzo de 809y no habiéndose podido adquirir posteriores noticias , se suplica á los que la tengan de su existencia ó fallecimiento se sírvan Comunicárselo á Doña Léonida Yugla, si» madre, ó á D. Josef Belmonte y Yugla, su hermano, en dicha ciudad de Cádiz. 7 Máximo García «Hernández, natural de Arenas, provincia de Avila, sargento del regimiento Leales de Fernando vil, se supo salió herido de una bala decáfionde Ja batalla de ía Al…</t>
  </si>
  <si>
    <t>Yugla, Vicente Belmonte y</t>
  </si>
  <si>
    <t>Vicente Belmonte y Yugla</t>
  </si>
  <si>
    <t>…solicitud ante el ayuntamiento de dicha villa por el ofi cio de su escribano Manuel Ruiz Fuenlabrada hasta el domingo 3 de Setiembre. Se desea saber de la existencia ó paradero de D. Vicente Belmonte y Yugla, natural de Cádiz, y voluntario distinguido del regimiento de milicias provinciales' de Jerez; fue hecho prisionero en el ataque de Ciudad-Real en Marzo de 809y no habiéndose podido adquirir posteriores noticias , se suplica á los que la tengan de su existenc…</t>
  </si>
  <si>
    <t>Zaballa, Leonardo</t>
  </si>
  <si>
    <t>Leonardo Zaballa</t>
  </si>
  <si>
    <t>…de Tuertólas *D. Antonio Gállarza^ -D. Luis Campos, D. Josef Serón., I}. Isidoro Lacrbix, D. .. Rafael Luengo, D. Manuel Ortiz Villalon, D. Antonio López, D. Pascual de los Cobos* Don Leonardo Zaballa , D. Juan Ilzalbe, D. Ventura Correjes, D. Agustín Gar cía , D. Pedro Menor, D. Rafael Santiago; D. Ramón Franc, D. Juan de la Cruz de Tena, D. Vicente Torres* D. Gaspar .Fernandez Bobadilla, D. Pe dro Ramos , D. Pedro del Castillo, 0. Anafes García, D. Manue…</t>
  </si>
  <si>
    <t>Zafra, Diego Martines de</t>
  </si>
  <si>
    <t>Diego Martines de Zafra</t>
  </si>
  <si>
    <t>…Antolin de Murcia , vacante por muerte de D. Julián Francisco de Bar* vtichi, y el préstamo de Saciñas de abaxo, que lo está: por haber fallecido igualmente D; Bartolomé López ,á D. Diego Martines de Zafra : para otro beneficio servidero de la iglesia parroquial de S. Ildefonso de Jaén ¿vacante por mberte de D. Estéban Barreda, i D. Mauricio García Puente: para otro beneficio de Tortoles, en el arzobispado de Burgos, vacante por muerte de D. Bernardo Moñirio, á…</t>
  </si>
  <si>
    <t>Zafra, Josef Hermenegildo de</t>
  </si>
  <si>
    <t>Josef Hermenegildo de Zafra</t>
  </si>
  <si>
    <t>…o. Nueva colección de muestras para aprender á escribir el carácter bastardo, com puesta de 14 láminas por el orden y método mas sencillo que prescribe la enseñan za, escritas por D. Josef Hermenegildo de Zafra, profesor de primera educación, individuo del Real colegio académico de primeras letras, y de la Real junta de exámenes de la villa y corte de Madrid, y grabadas por D. Pedro Gangoiti, uno de los mejores grabadores que se conocen en la letra. Se hallará en la…</t>
  </si>
  <si>
    <t>Zaidin, Manuel Valonga</t>
  </si>
  <si>
    <t>Manuel Valonga Zaidin</t>
  </si>
  <si>
    <t>…f Rodríguez: para la de Colmenar de Oreja á D. Pedro Carbonero: para la de Roa á D. Josef Fernandez Almansa: para la de Ronda, á D. Fernando López de Sagredo: para la de Alcañiz á D. Manuel Valonga Zaidin: para la de Casares y su ruebla de Manilva á D. Justo Rodríguez Hurtado de Bruna: para la de Sanlúcar la Ma yor á D. Juan Ribera: para la de Calasparra á D. Josef Antonio Picazo: para la de Jumilla á D. Francisco Morales de los Ríos: para la de Velorado á D.…</t>
  </si>
  <si>
    <t>Zaldivar, Josef</t>
  </si>
  <si>
    <t>Josef Zaldivar</t>
  </si>
  <si>
    <t># . . 499 ¿el del regimiento provincial de Córdoba al brigadier D. Josef Zaldivar» capitán,del regimiento de Realesgnardias.de infantería Walona. k : Asimismo se ha dopadoel^ÉY^ iineátrq Señó* pyíymóver en ei cuerpo de ingenieros de la división de Instas á directores subnispectores aí coronel 0. Fermín Montano y al brigadier 0. Pedro Me li…</t>
  </si>
  <si>
    <t>Zalle, Vicente</t>
  </si>
  <si>
    <t>Vicente Zalle</t>
  </si>
  <si>
    <t>…ei maestro carpintero; Ramón Soler, maestro sillero -y guarnicionero; Fernando Sains, maestro carpintero, y Francisco Rojas, maestro batidor de Ofo&lt; . Del cuartel del Barquillo. A D. Vicente Zalle, maestro confitero; Francisco Agudo, cirujano; Don Lorenzo S. Martin, librero y estampador; Juan Pomar, maestro pasamane ro; Leonardo Escudero, maestro pasamanero, y Pedro Toro, maestro car retero. . ^ ' 7 •'1' - • ‘ Del'cuartel de Palacio* f ; A Martuel Arma…</t>
  </si>
  <si>
    <t>Zamoisky</t>
  </si>
  <si>
    <t>…Polonia, hao entregado al con de Ostrouwski, presidente del senado polaco, la relación siguiente del modo con que han desempeñado su comisión. „A1 discurso que el senador Waiwoda, conde Zamoisky, dirigió al Em perador , respondió S. M. de esta manera: „ Agradezco sumamente los sentimientos que la nación polaca me mani fiesta por vuestro conducto. Señores, aseguradla de mi parte que solo he tra-~ tado de restituirle su independencia, y que uniéndola á…</t>
  </si>
  <si>
    <t>Zamora, Francisco</t>
  </si>
  <si>
    <t>Francisco Zamora</t>
  </si>
  <si>
    <t>tés tes;autos-de eóncursode acreedores ú los bienes del Sr. D. Francisco Zamora, ^úfc fud'Hcl sáijremo consejo de S. M.; y pira que los. acreedores se instruyan de su estado, y acuerden lo que tengan por conveniente, se ha mandado por dicho señor juez se los convoque á junta para el lunes 13 de Noviembre próximo en su posada á ,ías?mu;-y…</t>
  </si>
  <si>
    <t>Zamora, Josef Gines de</t>
  </si>
  <si>
    <t>Josef Gines de Zamora</t>
  </si>
  <si>
    <t>…rtillería, D. Fernando Mateos, D. Fernando Valdés, D. Juan Solda do, y D. Juan Pió Quijano, Sargento mayor y Capitanes del Regimiento Provincial de Segovia; á 0. Fernando Alcocer, D. Josef Gines de Zamora, 0. Joaquín. Esoatolero, y D. Rafael Pizarro , Capitanes del Regimiento de Mallorca; á D. Ildefonso Prieta, D. Angel Castellanos, D. Manuel de Ro— xas, y D. Segundo García, Capitanes de Voluntarios de Avila ; á D. Pas cual Coca , D. Cenon López, 0. Bernabé Po…</t>
  </si>
  <si>
    <t>Zamora, Tomas</t>
  </si>
  <si>
    <t>Tomas Zamora</t>
  </si>
  <si>
    <t>…López, D. Miguel Bueno, JX Juliani Lop£z dq Ansó ¿'Di* Antonio Martínez, D. Eleuterio Munida, Don Á^anueí Andrada , !)» Domingo Blanco, D. Lorenzo Martínez, D. Isidro QJi* vares , D. Tomas Zamora, L&gt;. Benito Reehel, D. Gaspar Nogueruela, Don Luis Medinilla , D. Pedro Medinilia, D, Joaquín García., D. Gregorio Arta-r cho, D. Josef Aguilar, D. Antonio Quadra, D. Felipe Doria, D. Vicente Ruiz)jD. ^Ramón-Quinan^ &amp; Geróriimq»dé G.éus, IX Josef Carrasco , D…</t>
  </si>
  <si>
    <t>Zancudo, Custodio Martin</t>
  </si>
  <si>
    <t>Custodio Martin Zancudo</t>
  </si>
  <si>
    <t>…Anto nia Ipenza Jos siete vales Reales de 150 pesos, creación de Enero, que se hallan depositados en aquella Real tesorería por auto de 10 de Diciembre de 1800. Por providencia de D. Custodio Martin Zancudo y D. Nicanor García Santos, vecinos de Yepes, jueces compromisarios del concurso de acreedores á.los bienes del difunto Antonio Gómez de Gárnica, que fue de la misma vecindad, se llama, cita y emplaza á ios acreedores no conocidos para que en él término preciso de 30 dias compar…</t>
  </si>
  <si>
    <t>Zapata, Francisco Arjona y</t>
  </si>
  <si>
    <t>Francisco Arjona y Zapata</t>
  </si>
  <si>
    <t>…ragan y Car bailar: para el de Rota y Chípiona á Dv Rafael Manuel Mavarrete y Ortega: para la vara del Burgo de Osma á D. Agustín de Velasco y Calleja; y prorogar en la de Tahal á D. Francisco Arjona y Zapata: en la de Piedrahita á Don Marcelo Fulgencio de Meló: en la de las villas de Iznatorafe y su$ agrega dos i D- Pablo García de Zúñiga ;y para ia vara de Trigueros á Di Roque Domingo de la Figuerau Asimismo en consideración á las distinguidas circunstancias, mé…</t>
  </si>
  <si>
    <t>Zapata, Juan Francisco</t>
  </si>
  <si>
    <t>Juan Francisco Zapata</t>
  </si>
  <si>
    <t>…novedad y buen gusto. Las memorias, poesías, artefactos, justificaciones y nombres de los aspi rantes á los premios indicados se dirigirán al secretario de la Real sociedad el Dr. D. Juan Francisco Zapata, con la cualidad de que .hayan de presen tarse para el concurso hasta el 31 de Octubre del presente año, ocultando el nombre de los autores de las memorias para que puedan ser juzgadas con imparcialidad, y poniendo estos en pliego separado y cerrado, que cont…</t>
  </si>
  <si>
    <t>Zaragoza, Juan</t>
  </si>
  <si>
    <t>Juan Zaragoza</t>
  </si>
  <si>
    <t>I&gt;. Miguel Pavat, y D. Francisco Qnadrado , dei segando Batallón de ídem; D. Braulio Crespo, D. Juan Zaragoza, D. Josef González, D. Pedro Iribarren, D. Joaquín Rodríguez, y JX Francisco Manso, del tercer Batallo.n de ídem; D. Francisco Picado, Ayudante de U plaza dé. Ciudad-?Ro drigo, y D. Josef Borgara y D. Jqaa Fermín Castillejo., del Batallen de Urbanos de la mis…</t>
  </si>
  <si>
    <t>Zaragoza, Vicente</t>
  </si>
  <si>
    <t>Vicente Zaragoza</t>
  </si>
  <si>
    <t>…de Ciudad Rodrigo, D. Jo sef Serrano, alférez de caballería, y D. Manuel De pis, subteniente de in válidos: de subteniente á los sargentos primeros del Real cuerpo de Artille ría D. Vicente Zaragoza, D* Manuel Sánchez y D. Manuel Sarasa : al de Zapadores D. Manuel Calleja; á los del regimiento de infantería de Mallor ca D. Joaquín. Canseco, D. Patricio Fernandez, D. Josef Rodríguez de</t>
  </si>
  <si>
    <t>Zarandia, Martin</t>
  </si>
  <si>
    <t>Martin Zarandia</t>
  </si>
  <si>
    <t>…amente al patio, cuadras de los caballos y alojamientos de la tropa, observándolo todo con el mayor cuidado.En el de la seguñda,compañía encontró S. M. al comandante del escuadrón D. Martin Zarandia, ál sargento mayor D. Juan Loriga, al ayudante y oficiales de .se mana que sé le presentaron como correspondía. Allí probó S. M. el pan de munición, y continuó viseando los demasparages del cuartel, complaciendo-</t>
  </si>
  <si>
    <t>Zarate, Juan</t>
  </si>
  <si>
    <t>Juan Zarate</t>
  </si>
  <si>
    <t>…nou de Momech , Don Burges Camac, D. Josef Montenegro , D. Ventura Malibran, D. Pedro Juan de Olazagarre, D. Diego Henares y Tienda, D. Diego Miguel Bravo, Don Antonio vidaurreta, D. Juan Zarate, D. Josef Irunciaga, D. Josef Perez Quintero, D. Joaquín Martínez de Medinilla, D. Rafael Vicente Bourman,’ D. Ignacio Josef de Combo, D. Joaquín García' Mellado, D. Josef Gerau de Arellano , E&gt;; Juan López Fraga , p. Manuel de Lardizabal y Montoya , Ba rón d…</t>
  </si>
  <si>
    <t>Zarate, Rafael</t>
  </si>
  <si>
    <t>Rafael Zarate</t>
  </si>
  <si>
    <t>…e en nombre de los priores y benefi ciados de la ciudad de Ubeda, el maestro D. Manuel Armenteros Merino, prior párroco propio de la iglesia de S. Isidoro de la ciudad de Ubeda, y D. Rafael Zarate, beneficiado de la de S. Nicolás de la misma, acompaña dos del Excmo. Sr. duque de Montcmar; y el primero felicitó á S. M. en los términos siguientes: ,,Señor: la corporación de priores y beneficiados de vuestra ciudad de Ubeda, penetrada de amor y respeto há…</t>
  </si>
  <si>
    <t>Zarzosa, Nicolás</t>
  </si>
  <si>
    <t>Nicolás Zarzosa</t>
  </si>
  <si>
    <t>…sión de obrar. En el escuadrón del mando del capitán Mendoza, á cuya frente cargué personal mente, se distinguieron particularmente su comandante, el porta D. Josef Eusebio Leija, teniente D. Nicolás Zarzosa, sargento Josef Puente, cabos Alejandro Soto, Juan JosefMeave, Encarnación Martínez y Francisco Paez* el soldado Josef María Zapata, y el padre capellán Fr. Manuel Cabrera, y sobre todos el citado cabo Martínez. De los demas cuerpos me remito á los partes ori…</t>
  </si>
  <si>
    <t>Zarzosa, Pedro</t>
  </si>
  <si>
    <t>Pedro Zarzosa</t>
  </si>
  <si>
    <t>…e D. Fernando Gortázar, 50 artilleros volantes y 30 catallós^d^Qbe^érflróicbn dbs piezas dé aítillería qíie mandaba el capitán Don Gaspar de Reina; todo á las Órdenes del"teniente coronel D. Pedro Zarzosa y dé sO •‘seguhdo el sargento mayor D. Josef María Travesí. jfReunrda toda la columna de la izquierda en el rancho deChililico, cin co lé^ía§rde Tulancingo y- ochó de Apan, el 24 al anochecer seguí la mar cha. Ariá misma hora sé reunió la columna de la derech…</t>
  </si>
  <si>
    <t>Zarzuela, Josef</t>
  </si>
  <si>
    <t>Josef Zarzuela</t>
  </si>
  <si>
    <t>…de eorpoira— ciones y gremios, presididos todos por su ilustre ayuntamiento. D. Josef Bravo y Torices abrió el acto con un sucinto y elegante discurso. Siguióse otro del dbcípulo D. Josef Zarzuela , de edad de siete años , quien se produjo con el mayor orden y claridad; y en seguida por su orden se fueron presen tando, los niños á la doctrina cristiana desde la edad de tres años hasta la de cinco , y respondieron á cuanto se les preguntó por los concur…</t>
  </si>
  <si>
    <t>…uienes se adjudicarían los premios que estaban destinados,para los siete mas* sobresa lientes, y asi se acordó que se sorteasen, y fueron adjudicados á D. Juan Andrés Estudillo, á D. Josef Zarzuela, á D. Francisco de Paula Silva, á D. Juan Vidal, á D. Manuel Manzorea, á D. Manuel Silva y á D. Manuel Bernal, ampliándose después á todos hss restantes; El ayuntamiento de dicha ciudad, satisfecho del zelo y traba jos‘de D. Francisco Girón en los re sultados…</t>
  </si>
  <si>
    <t>Zavala, Eustaquio Manuel de Irala y</t>
  </si>
  <si>
    <t>Eustaquio Manuel de Irala y Zavala</t>
  </si>
  <si>
    <t>…ña: para la de Cazorla á D. Manuel María de Peralta: para la de Benamegí á D. Cristóbal María Auton: para la de Cervera del Rio-Pisuergá á D. Roque Naranjo: para la de Astudillo á D. Eustaquio Manuel de Irala y Zavala: para la de Lora del Rio á D. Manuel Josef Rodríguez: para la de Colmenar de Oreja á D. Pedro Carbonero: para la de Roa á D. Josef Fernandez Almansa: para la de Ronda, á D. Fernando López de Sagredo: para la de Alcañiz á D. Manuel Valonga Zaidin: para la de C…</t>
  </si>
  <si>
    <t>Zavala, Francisco López</t>
  </si>
  <si>
    <t>Francisco López Zavala</t>
  </si>
  <si>
    <t>…Veladiéfc. Eti TáiedoJ.......... D. Francisco Perez. En Murcia........ D. Josef TJbach. En Oviedo:.lD. Juan Pérez. En Ciudad*Real. D. Mateo Casado y Romero. En Jaén..... ......... D. Francisco López Zavala. En Ségüvia......^.: Señores viuda de Ramiro y Mesa. En6Cühicá.l.i ..líil 'D. Josef Escolar yNóriega. D- trenzo Gibert, : i1SLÍ En Palenda........D. Marcelino de la Torre. En Burgos..........: T). Román Martínez Móntaos, En D; Ééaito dé la Piedra* 1</t>
  </si>
  <si>
    <t>Zavala, Josef Agustín</t>
  </si>
  <si>
    <t>Josef Agustín Zavala</t>
  </si>
  <si>
    <t>…eros en el propio cuerpo á D. Josef Lanao ; ídem de fusi leros á D. Josef Bello y D. Ignacio Saenz; ayudante maj'or del primer batallón á D. Josef Moreno; teniente de granaderos á D. Josef Agustín Zavala ; idem de fusileros á D. Hermenegildo Herrera y D. Manuel Guerra; Subtenientes de bandera á D. Ventura Castro y D. Josef Fernandez Pare des, y subteniente agregado á D. Josef Xamarilío; y en el regimiento de infantería de línea de Talavera , que se halla en a…</t>
  </si>
  <si>
    <t>Zavala, Juan Antonio</t>
  </si>
  <si>
    <t>Juan Antonio Zavala</t>
  </si>
  <si>
    <t>…potenciario. El dia 29 del mes próximo pasado D. Josef Ignacio de Zavalaj doctor en derecho civil de la univejsldad literaria de Caracas, y oidor honorario de su Real audiencia, y D. Juan Antonio Zavala, doctor en cánones de la mis ma unh'ersidad, y abogado de la propia Real audiencia , tuvieron la honra de ser admitidos á besar la mano á S. M., y felicitarle por su feliz restituí ciort al trono en nombre de la ciudad de Coro y su provincia; con cuyo motivo…</t>
  </si>
  <si>
    <t>Zavalaj, Josef Ignacio de</t>
  </si>
  <si>
    <t>Josef Ignacio de Zavalaj</t>
  </si>
  <si>
    <t>…mayor aprecio, como prueba de la amistad de S. M. .el Emperador de todas las Rusias; y. asi lo„espresó al mencionado su Ministro plenipotenciario. El dia 29 del mes próximo pasado D. Josef Ignacio de Zavalaj doctor en derecho civil de la univejsldad literaria de Caracas, y oidor honorario de su Real audiencia, y D. Juan Antonio Zavala, doctor en cánones de la mis ma unh'ersidad, y abogado de la propia Real audiencia , tuvieron la honra de ser admitidos á besar la…</t>
  </si>
  <si>
    <t>Zeberio, Marcos de</t>
  </si>
  <si>
    <t>Marcos de Zeberio</t>
  </si>
  <si>
    <t>…var;D.:Santos Leccea£ D. Bernardo Latorre, D. Joaquín de la Cámara, D; Josef HidalgoDon Tpmás Gutiérrez, D. Francisco de Paula Castro, D. Jorge Valderrábano, D. Josef María Palma, D. Marcos de Zeberio y D. Josef Antonio de S. Juan. ( Se continuará.) ' Circular del ministerio dt Guerra. Convencido el Real ánimo del Rey nuestro Señor de que para llevar á - debido efecto él plan' adoptado para la infantería der lí nea y ligera según el re glamento de 2 de Marzo último era indispensab…</t>
  </si>
  <si>
    <t>Ziethen</t>
  </si>
  <si>
    <t>…a de ellos. ) ‘ ,, El día 15 Napoleón ¿ dirigiéndose por las dos'orillas del Sambra, se adelantó por &lt; 3; huta contra Charleroi, y con él tuvo aquel dia una acción tauy reñida* el general Ziethen, quebhabia reunido él primer cuerpo cerca de pleuras. El enemigo, después que se apoderó de Charleroi, dirigió su mar* *cha conta F leu rus; pero no pudo desalojar al gene ral Ziethen, que se man tuvo en posición cerca de este punto. t ,,E1 reíd-mariscal Bluc…</t>
  </si>
  <si>
    <t>…ado í peró en medio de él se ad virtió que sus movimientos empezaban a ser inciertos, y que retiraban; algu nos cañones. A este tiempo la primera columna del cuerpo que mandaba el general Ziethen llegó á los puntos de. ataque , cerca de la aldea de Smouhen, al flanco derecho del enemigo, y cargando sobre él repentinamente decidió con este movimiento su derrota., porque rompiéndole el ala derecha por tres.</t>
  </si>
  <si>
    <t>Zíethen</t>
  </si>
  <si>
    <t>…egocijo de los ve cinos de la ciudad. Se asegura que el feld-mariscal Blucher va á establecer su cuartel general á Chartres. El primer cuerpo del egército^ prusiano mandado por el general Zíethen, que guarnecía á París, ha salido para la Nórmandía. El sesto cuer po de este egército, mandado por el general Trauenzien , ha llegado al depar tamento del Norte. El mariscal Jourdan hizo proclamar el 19 en Besanzon el restableci miento de la autoridad Real3…</t>
  </si>
  <si>
    <t>…r la Rusia, el teniente general conde WoronzOw; por.la Inglater ra, el duque de Wellington, y por la,Prusia,el general conde Gneizenau. El primer cuerpo de egército mandado por el general Ziethen, y el sexto cuerpo por el general Tauentzien , conde de Wittemberg, formarán el con tingente prusiano.__^Díc^se que todos éstos cuerpos, estarán ai mando del «Juque de Wellington ,y&gt; que para fines; de este mes pasarán á sus respectivo* acantonamientos. JDe x…</t>
  </si>
  <si>
    <t>…nderá desde la frontera de Francia hasta Erfurt. Este egército de observación será man dado por el bizarro general Gneisenau, que se distinguió tanto en la batalla de Waterloo. El general Ziethen mandará el cuerpo que-debe permanecer en Francia. AUSTRIA. Vierta 22 de Octubre. De algunos días á esta parte llegan aqui continuamente oficiales del cuar tel general del Príncipe de Schwarrzemberg, quien vendrá después de lá par tida del Emperador Alejandro,…</t>
  </si>
  <si>
    <t>…n, han recibido orden de detenerse en las : fronteras. En las cercanías de Xongwy, Montmedy y Sedan hay muchas tropas pru sianas. En esta última ciudad tiene su cuartel general el general Ziethen , y todo el país está tan agotado de víveres, que es menester traerlos de diferen tes partes. Varios cuerpos de las mismas tropas se concentran en las inmedia ciones de Landrecies» Guisa y Xaon. Los belgas que están acantonados en los contornos de Valencienne…</t>
  </si>
  <si>
    <t>…. Brusélas 20 de Noviembre. Las tropas prusianas ocupan en nuestras fronteras las posiciones siguien tes : el 4.0 cuerpo de egército está apostado desde Thionvilie hasta Givet: el general Ziethen, que le manda, tiene su cuartel general en Sedan: el r.° cuer po está acantonado entre Quievrain, Valenciennes, Maübeuge, Condé, Bou-; chain y Cambray: el 6.° cuerpo está apostado entre Arras, Peronna y Amiens. Todas estas tropas, que forman un egército de 90…</t>
  </si>
  <si>
    <t>Zorrilla, Josef</t>
  </si>
  <si>
    <t>Josef Zorrilla</t>
  </si>
  <si>
    <t>…rcon á D. Columbano de Poz y Gal indo, cura de la parroquial de S. Lorenzo de esta corte, y otra capellanía de la espresada Real capilla, vacante por muerte dé D. Antonio Terri, á D. Josef Zorrilla de la Roería. La dignidad de maestrescuela que vacó en la iglesia metropolitana de Granada por fallecimiento de D. Josef de Robles' á D. Francisco Plácido Bocanegra, canónigo doctoral de la misma iglesia; la dignidad de prior, vacante por muerte de D. Geroteó…</t>
  </si>
  <si>
    <t>Zufriategúi, Prudencio</t>
  </si>
  <si>
    <t>Prudencio Zufriategúi</t>
  </si>
  <si>
    <t>…López de Moría y Virues, idem dé! de voluntarios de Madrid qué esistia en Montevideo, y D, Luis de la Robla, Idem del de dragones de Buenos-Ayres. v 7 j V ; 7 , ; ^ * 7/ Capitán á D. Prudencio Zufriategúi , ayudante mayor del mismo cuerpo, y D. Baltasar Villalobos &gt; teniente de la compañía fija de dragones del presi dio del Carmen en Nueva-España. ;■;&lt; Teniente á D. Cruz Marcos dé Dólagaráy, subteniente del batallón de vo luntarios de Madrid, qtie esistia en M…</t>
  </si>
  <si>
    <t>Zujuag, Ramqnde</t>
  </si>
  <si>
    <t>Ramqnde Zujuag</t>
  </si>
  <si>
    <t>…rdías infantería Española las si• ,’•■ . u.y./ •* ’ / / : ri . &lt;;•&gt; i.&gt;u\r Á;' ‘-.-fí f -orne! ru l v |: ,:l¡ Grado de teniente coronel á los segundos tenientes D. Juan de Vargas, D. Ramqnde Zujuag^, J&gt;. Josef las Cuevas r D. Francisco Javier de Vallarino|} D. JpsefíídfrÍA.Casasolai.D;; Fernando i JLuis María Montero, e ¡conde, deTprre jon p.¡Ran¡ian Qrpzco!, í&gt;.¡ j^e£ Hezeta* í&gt;. Maijmei.Vazr quez y D.-Francisco Velarde,áe;$te último* ppr gracia partic…</t>
  </si>
  <si>
    <t>Zúñiga, Francisco de</t>
  </si>
  <si>
    <t>Francisco de Zúñiga</t>
  </si>
  <si>
    <t>…sultado vacante en la iglesia colegiata de Bayona, reyno de Galicia^ por promoción de D. Josef Bizarro á otra prebenda de la misma clase en la iglesia metropolitana de Santiago, á D. Francisco de Zúñiga, cura vica rio de S. Vicente dé Mañufé: para el arciprestazgo de la Rioja, en el obispado de Calahorra, vacante por fallecimiento de D. Juan Tueros, á D¿ Ignacio María Salazar: para el benefició préstamo del lugar de Encinas^ obispado de Segovia , vacante por…</t>
  </si>
  <si>
    <t>Zúñiga, Tomas</t>
  </si>
  <si>
    <t>Tomas Zúñiga</t>
  </si>
  <si>
    <t>…y benemérito comandante el coronel D. Julián de la Llave, y sargento mayor del mismo el de igual clase D. Mariano Novoa, como tam bién del , singular porte del capellán presbítero D. Tomas Zúñiga, pues han sellado honrosamente ia noble opinión que les distingue: igualmente que el recomendable' coronel D. Juan de Dios Saravia, comandante del bata* llon denominado del General ; su intrépido sargento mayor el teniente coro nel D. Francisco Ánglada; los s…</t>
  </si>
  <si>
    <t>Zurita, Gaspar</t>
  </si>
  <si>
    <t>Gaspar Zurita</t>
  </si>
  <si>
    <t>…lagon, D». Francisco Saavedra, conde de Ezpeleta , D. Pedro^Gó mez Labrador y D. Antonio Vargas y Laguna. 1 De número, pequeña á D. Francisco Ortiz de Taranco. &gt; Supernumerarias á D. Gaspar Zurita, D. Ignacio Acha,D. Vicente Alzaybár., D. Josef Vareta y Montero, Barón de Gastellnou de Momech , Don Burges Camac, D. Josef Montenegro , D. Ventura Malibran, D. Pedro Juan de Olazagarre, D. Diego Henares y Tienda, D. Diego Miguel Bravo, Don Antonio vidaurret…</t>
  </si>
  <si>
    <t>Zurita, Mateo</t>
  </si>
  <si>
    <t>Mateo Zurita</t>
  </si>
  <si>
    <t>…ombre de la ciudad de Montilla, en el reino de Córdo ba , el Escmo. Sr. D. Francisco Javier Venégas , teniente general de los Rea les egércitos. v , Igualmente el dia 20 del mismo D. Mateo Zurita , cura párroco de la iglesia de S. Hipólito el Real de la villa de Tamara, diócesis de Palencia, fe licitó á S. M. en nombre del vecindario y clero de aquella villa. , Asimismo el día 22 de Junio tuvo la honra de ser admitido á besar la Real mano y felicitar…</t>
  </si>
  <si>
    <t>Fuentes oficiales y criterio de elaboración · 1815</t>
  </si>
  <si>
    <t>162 archivos · 1410 páginas · enlaces al facsímil oficial</t>
  </si>
  <si>
    <t>Archivo</t>
  </si>
  <si>
    <t>Páginas PDF</t>
  </si>
  <si>
    <t>Registros del índice</t>
  </si>
  <si>
    <t>Facsímil completo</t>
  </si>
  <si>
    <t>GMD-1815-1.pdf</t>
  </si>
  <si>
    <t>GMD-1815-2.pdf</t>
  </si>
  <si>
    <t>GMD-1815-3.pdf</t>
  </si>
  <si>
    <t>GMD-1815-4.pdf</t>
  </si>
  <si>
    <t>GMD-1815-5.pdf</t>
  </si>
  <si>
    <t>GMD-1815-6.pdf</t>
  </si>
  <si>
    <t>GMD-1815-7.pdf</t>
  </si>
  <si>
    <t>GMD-1815-8.pdf</t>
  </si>
  <si>
    <t>GMD-1815-9.pdf</t>
  </si>
  <si>
    <t>GMD-1815-10.pdf</t>
  </si>
  <si>
    <t>GMD-1815-11.pdf</t>
  </si>
  <si>
    <t>GMD-1815-12.pdf</t>
  </si>
  <si>
    <t>GMD-1815-13.pdf</t>
  </si>
  <si>
    <t>GMD-1815-14.pdf</t>
  </si>
  <si>
    <t>GMD-1815-15.pdf</t>
  </si>
  <si>
    <t>GMD-1815-16.pdf</t>
  </si>
  <si>
    <t>GMD-1815-17.pdf</t>
  </si>
  <si>
    <t>GMD-1815-18.pdf</t>
  </si>
  <si>
    <t>GMD-1815-19.pdf</t>
  </si>
  <si>
    <t>GMD-1815-20.pdf</t>
  </si>
  <si>
    <t>GMD-1815-21.pdf</t>
  </si>
  <si>
    <t>GMD-1815-22.pdf</t>
  </si>
  <si>
    <t>GMD-1815-23.pdf</t>
  </si>
  <si>
    <t>GMD-1815-24.pdf</t>
  </si>
  <si>
    <t>GMD-1815-25.pdf</t>
  </si>
  <si>
    <t>GMD-1815-26.pdf</t>
  </si>
  <si>
    <t>GMD-1815-27.pdf</t>
  </si>
  <si>
    <t>GMD-1815-28.pdf</t>
  </si>
  <si>
    <t>GMD-1815-29.pdf</t>
  </si>
  <si>
    <t>GMD-1815-30.pdf</t>
  </si>
  <si>
    <t>GMD-1815-31.pdf</t>
  </si>
  <si>
    <t>GMD-1815-32.pdf</t>
  </si>
  <si>
    <t>GMD-1815-33.pdf</t>
  </si>
  <si>
    <t>GMD-1815-34.pdf</t>
  </si>
  <si>
    <t>GMD-1815-35.pdf</t>
  </si>
  <si>
    <t>GMD-1815-36.pdf</t>
  </si>
  <si>
    <t>GMD-1815-37.pdf</t>
  </si>
  <si>
    <t>GMD-1815-38.pdf</t>
  </si>
  <si>
    <t>GMD-1815-39.pdf</t>
  </si>
  <si>
    <t>GMD-1815-40E.pdf</t>
  </si>
  <si>
    <t>GMD-1815-41.pdf</t>
  </si>
  <si>
    <t>GMD-1815-42.pdf</t>
  </si>
  <si>
    <t>GMD-1815-43.pdf</t>
  </si>
  <si>
    <t>GMD-1815-44.pdf</t>
  </si>
  <si>
    <t>GMD-1815-45.pdf</t>
  </si>
  <si>
    <t>GMD-1815-46.pdf</t>
  </si>
  <si>
    <t>GMD-1815-47.pdf</t>
  </si>
  <si>
    <t>GMD-1815-48.pdf</t>
  </si>
  <si>
    <t>GMD-1815-49.pdf</t>
  </si>
  <si>
    <t>GMD-1815-50.pdf</t>
  </si>
  <si>
    <t>GMD-1815-51.pdf</t>
  </si>
  <si>
    <t>GMD-1815-52.pdf</t>
  </si>
  <si>
    <t>GMD-1815-53.pdf</t>
  </si>
  <si>
    <t>GMD-1815-54.pdf</t>
  </si>
  <si>
    <t>GMD-1815-55.pdf</t>
  </si>
  <si>
    <t>GMD-1815-56.pdf</t>
  </si>
  <si>
    <t>GMD-1815-57.pdf</t>
  </si>
  <si>
    <t>GMD-1815-58.pdf</t>
  </si>
  <si>
    <t>GMD-1815-59.pdf</t>
  </si>
  <si>
    <t>GMD-1815-60.pdf</t>
  </si>
  <si>
    <t>GMD-1815-61.pdf</t>
  </si>
  <si>
    <t>GMD-1815-62.pdf</t>
  </si>
  <si>
    <t>GMD-1815-63.pdf</t>
  </si>
  <si>
    <t>GMD-1815-64.pdf</t>
  </si>
  <si>
    <t>GMD-1815-65.pdf</t>
  </si>
  <si>
    <t>GMD-1815-66.pdf</t>
  </si>
  <si>
    <t>GMD-1815-67.pdf</t>
  </si>
  <si>
    <t>GMD-1815-68.pdf</t>
  </si>
  <si>
    <t>GMD-1815-69.pdf</t>
  </si>
  <si>
    <t>GMD-1815-70.pdf</t>
  </si>
  <si>
    <t>GMD-1815-71.pdf</t>
  </si>
  <si>
    <t>GMD-1815-72.pdf</t>
  </si>
  <si>
    <t>GMD-1815-73.pdf</t>
  </si>
  <si>
    <t>GMD-1815-74.pdf</t>
  </si>
  <si>
    <t>GMD-1815-75.pdf</t>
  </si>
  <si>
    <t>GMD-1815-76.pdf</t>
  </si>
  <si>
    <t>GMD-1815-77.pdf</t>
  </si>
  <si>
    <t>GMD-1815-78.pdf</t>
  </si>
  <si>
    <t>GMD-1815-79.pdf</t>
  </si>
  <si>
    <t>GMD-1815-80E.pdf</t>
  </si>
  <si>
    <t>GMD-1815-81.pdf</t>
  </si>
  <si>
    <t>GMD-1815-82E.pdf</t>
  </si>
  <si>
    <t>GMD-1815-83.pdf</t>
  </si>
  <si>
    <t>GMD-1815-84.pdf</t>
  </si>
  <si>
    <t>GMD-1815-85.pdf</t>
  </si>
  <si>
    <t>GMD-1815-86.pdf</t>
  </si>
  <si>
    <t>GMD-1815-87.pdf</t>
  </si>
  <si>
    <t>GMD-1815-88.pdf</t>
  </si>
  <si>
    <t>GMD-1815-89.pdf</t>
  </si>
  <si>
    <t>GMD-1815-90.pdf</t>
  </si>
  <si>
    <t>GMD-1815-91.pdf</t>
  </si>
  <si>
    <t>GMD-1815-92.pdf</t>
  </si>
  <si>
    <t>GMD-1815-93.pdf</t>
  </si>
  <si>
    <t>GMD-1815-94.pdf</t>
  </si>
  <si>
    <t>GMD-1815-95.pdf</t>
  </si>
  <si>
    <t>GMD-1815-96.pdf</t>
  </si>
  <si>
    <t>GMD-1815-97.pdf</t>
  </si>
  <si>
    <t>GMD-1815-98.pdf</t>
  </si>
  <si>
    <t>GMD-1815-99.pdf</t>
  </si>
  <si>
    <t>GMD-1815-100.pdf</t>
  </si>
  <si>
    <t>GMD-1815-101.pdf</t>
  </si>
  <si>
    <t>GMD-1815-102.pdf</t>
  </si>
  <si>
    <t>GMD-1815-103.pdf</t>
  </si>
  <si>
    <t>GMD-1815-104.pdf</t>
  </si>
  <si>
    <t>GMD-1815-105.pdf</t>
  </si>
  <si>
    <t>GMD-1815-106.pdf</t>
  </si>
  <si>
    <t>GMD-1815-107.pdf</t>
  </si>
  <si>
    <t>GMD-1815-108E.pdf</t>
  </si>
  <si>
    <t>GMD-1815-109.pdf</t>
  </si>
  <si>
    <t>GMD-1815-110.pdf</t>
  </si>
  <si>
    <t>GMD-1815-111.pdf</t>
  </si>
  <si>
    <t>GMD-1815-112.pdf</t>
  </si>
  <si>
    <t>GMD-1815-113.pdf</t>
  </si>
  <si>
    <t>GMD-1815-114.pdf</t>
  </si>
  <si>
    <t>GMD-1815-115.pdf</t>
  </si>
  <si>
    <t>GMD-1815-116.pdf</t>
  </si>
  <si>
    <t>GMD-1815-117.pdf</t>
  </si>
  <si>
    <t>GMD-1815-118.pdf</t>
  </si>
  <si>
    <t>GMD-1815-119.pdf</t>
  </si>
  <si>
    <t>GMD-1815-120E.pdf</t>
  </si>
  <si>
    <t>GMD-1815-121.pdf</t>
  </si>
  <si>
    <t>GMD-1815-122E.pdf</t>
  </si>
  <si>
    <t>GMD-1815-123.pdf</t>
  </si>
  <si>
    <t>GMD-1815-124.pdf</t>
  </si>
  <si>
    <t>GMD-1815-125.pdf</t>
  </si>
  <si>
    <t>GMD-1815-126.pdf</t>
  </si>
  <si>
    <t>GMD-1815-127.pdf</t>
  </si>
  <si>
    <t>GMD-1815-128.pdf</t>
  </si>
  <si>
    <t>GMD-1815-129.pdf</t>
  </si>
  <si>
    <t>GMD-1815-130.pdf</t>
  </si>
  <si>
    <t>GMD-1815-131.pdf</t>
  </si>
  <si>
    <t>GMD-1815-132.pdf</t>
  </si>
  <si>
    <t>GMD-1815-133.pdf</t>
  </si>
  <si>
    <t>GMD-1815-134.pdf</t>
  </si>
  <si>
    <t>GMD-1815-135.pdf</t>
  </si>
  <si>
    <t>GMD-1815-136.pdf</t>
  </si>
  <si>
    <t>GMD-1815-137.pdf</t>
  </si>
  <si>
    <t>GMD-1815-138.pdf</t>
  </si>
  <si>
    <t>GMD-1815-139.pdf</t>
  </si>
  <si>
    <t>GMD-1815-140.pdf</t>
  </si>
  <si>
    <t>GMD-1815-141.pdf</t>
  </si>
  <si>
    <t>GMD-1815-142.pdf</t>
  </si>
  <si>
    <t>GMD-1815-143.pdf</t>
  </si>
  <si>
    <t>GMD-1815-144.pdf</t>
  </si>
  <si>
    <t>GMD-1815-145.pdf</t>
  </si>
  <si>
    <t>GMD-1815-146.pdf</t>
  </si>
  <si>
    <t>GMD-1815-147.pdf</t>
  </si>
  <si>
    <t>GMD-1815-148.pdf</t>
  </si>
  <si>
    <t>GMD-1815-149.pdf</t>
  </si>
  <si>
    <t>GMD-1815-150.pdf</t>
  </si>
  <si>
    <t>GMD-1815-151.pdf</t>
  </si>
  <si>
    <t>GMD-1815-152.pdf</t>
  </si>
  <si>
    <t>GMD-1815-153.pdf</t>
  </si>
  <si>
    <t>GMD-1815-154.pdf</t>
  </si>
  <si>
    <t>GMD-1815-155.pdf</t>
  </si>
  <si>
    <t>GMD-1815-156.pdf</t>
  </si>
  <si>
    <t>GMD-1815-157.pdf</t>
  </si>
  <si>
    <t>GMD-1815-158.pdf</t>
  </si>
  <si>
    <t>GMD-1815-159.pdf</t>
  </si>
  <si>
    <t>GMD-1815-160.pdf</t>
  </si>
  <si>
    <t>GMD-1815-161.pdf</t>
  </si>
  <si>
    <t>GMD-1815-162.pdf</t>
  </si>
  <si>
    <t>Criterios, alcance y limitaciones</t>
  </si>
  <si>
    <t>Cobertura</t>
  </si>
  <si>
    <t>Se incluyen los 162 archivos localizados en la hemeroteca oficial entre el 1 de enero y el 31 de diciembre de 1815, incluidas las ediciones extraordinarias.</t>
  </si>
  <si>
    <t>Cabeceras</t>
  </si>
  <si>
    <t>Gaceta de Madrid (162 archivos).</t>
  </si>
  <si>
    <t>Numeración</t>
  </si>
  <si>
    <t>Los reinicios de numeración y las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</si>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</sst>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5" displayName="IndiceOnomasticoAnual1815" ref="A6:K5701" totalsRowShown="0">
  <autoFilter ref="A6:K5701"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5" displayName="FuentesGacetaAnual1815" ref="A4:F166" totalsRowShown="0">
  <autoFilter ref="A4:F166"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-30762</v>
      </c>
      <c r="F7" s="3" t="s">
        <v>19</v>
      </c>
      <c r="G7" s="3" t="s">
        <v>20</v>
      </c>
      <c r="H7" s="2" t="s">
        <v>21</v>
      </c>
      <c r="I7" s="2" t="s">
        <v>22</v>
      </c>
      <c r="J7" s="3" t="str">
        <f>HYPERLINK("https://www.boe.es/gazeta/dias/1815/10/10/pdfs/GMD-1815-127.pdf#page=4","Abrir facsímil")</f>
        <v>Abrir facsímil</v>
      </c>
      <c r="K7" s="3" t="s">
        <v>23</v>
      </c>
    </row>
    <row r="8" spans="1:11" ht="42" customHeight="1">
      <c r="A8" s="2" t="s">
        <v>24</v>
      </c>
      <c r="B8" s="2" t="s">
        <v>25</v>
      </c>
      <c r="C8" s="2" t="s">
        <v>17</v>
      </c>
      <c r="D8" s="2" t="s">
        <v>18</v>
      </c>
      <c r="E8" s="5">
        <v>-30800</v>
      </c>
      <c r="F8" s="3" t="s">
        <v>26</v>
      </c>
      <c r="G8" s="3" t="s">
        <v>27</v>
      </c>
      <c r="H8" s="2" t="s">
        <v>21</v>
      </c>
      <c r="I8" s="2" t="s">
        <v>28</v>
      </c>
      <c r="J8" s="3" t="str">
        <f>HYPERLINK("https://www.boe.es/gazeta/dias/1815/09/02/pdfs/GMD-1815-109.pdf#page=6","Abrir facsímil")</f>
        <v>Abrir facsímil</v>
      </c>
      <c r="K8" s="3" t="s">
        <v>23</v>
      </c>
    </row>
    <row r="9" spans="1:11" ht="42" customHeight="1">
      <c r="A9" s="2" t="s">
        <v>29</v>
      </c>
      <c r="B9" s="2" t="s">
        <v>30</v>
      </c>
      <c r="C9" s="2" t="s">
        <v>31</v>
      </c>
      <c r="D9" s="2" t="s">
        <v>32</v>
      </c>
      <c r="E9" s="5">
        <v>-30830</v>
      </c>
      <c r="F9" s="3" t="s">
        <v>33</v>
      </c>
      <c r="G9" s="3" t="s">
        <v>27</v>
      </c>
      <c r="H9" s="2" t="s">
        <v>21</v>
      </c>
      <c r="I9" s="2" t="s">
        <v>34</v>
      </c>
      <c r="J9" s="3" t="str">
        <f>HYPERLINK("https://www.boe.es/gazeta/dias/1815/08/03/pdfs/GMD-1815-95.pdf#page=6","Abrir facsímil")</f>
        <v>Abrir facsímil</v>
      </c>
      <c r="K9" s="3" t="s">
        <v>23</v>
      </c>
    </row>
    <row r="10" spans="1:11" ht="42" customHeight="1">
      <c r="A10" s="2" t="s">
        <v>35</v>
      </c>
      <c r="B10" s="2" t="s">
        <v>36</v>
      </c>
      <c r="C10" s="2" t="s">
        <v>31</v>
      </c>
      <c r="D10" s="2" t="s">
        <v>32</v>
      </c>
      <c r="E10" s="5">
        <v>-30977</v>
      </c>
      <c r="F10" s="3" t="s">
        <v>37</v>
      </c>
      <c r="G10" s="3" t="s">
        <v>38</v>
      </c>
      <c r="H10" s="2" t="s">
        <v>21</v>
      </c>
      <c r="I10" s="2" t="s">
        <v>39</v>
      </c>
      <c r="J10" s="3" t="str">
        <f>HYPERLINK("https://www.boe.es/gazeta/dias/1815/03/09/pdfs/GMD-1815-29.pdf#page=8","Abrir facsímil")</f>
        <v>Abrir facsímil</v>
      </c>
      <c r="K10" s="3" t="s">
        <v>23</v>
      </c>
    </row>
    <row r="11" spans="1:11" ht="42" customHeight="1">
      <c r="A11" s="2" t="s">
        <v>40</v>
      </c>
      <c r="B11" s="2" t="s">
        <v>41</v>
      </c>
      <c r="C11" s="2" t="s">
        <v>17</v>
      </c>
      <c r="D11" s="2" t="s">
        <v>18</v>
      </c>
      <c r="E11" s="5">
        <v>-31035</v>
      </c>
      <c r="F11" s="3" t="s">
        <v>42</v>
      </c>
      <c r="G11" s="3" t="s">
        <v>20</v>
      </c>
      <c r="H11" s="2" t="s">
        <v>21</v>
      </c>
      <c r="I11" s="2" t="s">
        <v>43</v>
      </c>
      <c r="J11" s="3" t="str">
        <f>HYPERLINK("https://www.boe.es/gazeta/dias/1815/01/10/pdfs/GMD-1815-4.pdf#page=4","Abrir facsímil")</f>
        <v>Abrir facsímil</v>
      </c>
      <c r="K11" s="3" t="s">
        <v>23</v>
      </c>
    </row>
    <row r="12" spans="1:11" ht="42" customHeight="1">
      <c r="A12" s="2" t="s">
        <v>44</v>
      </c>
      <c r="B12" s="2" t="s">
        <v>45</v>
      </c>
      <c r="C12" s="2" t="s">
        <v>17</v>
      </c>
      <c r="D12" s="2" t="s">
        <v>18</v>
      </c>
      <c r="E12" s="5">
        <v>-30986</v>
      </c>
      <c r="F12" s="3" t="s">
        <v>46</v>
      </c>
      <c r="G12" s="3" t="s">
        <v>47</v>
      </c>
      <c r="H12" s="2" t="s">
        <v>21</v>
      </c>
      <c r="I12" s="2" t="s">
        <v>48</v>
      </c>
      <c r="J12" s="3" t="str">
        <f>HYPERLINK("https://www.boe.es/gazeta/dias/1815/02/28/pdfs/GMD-1815-25.pdf#page=11","Abrir facsímil")</f>
        <v>Abrir facsímil</v>
      </c>
      <c r="K12" s="3" t="s">
        <v>23</v>
      </c>
    </row>
    <row r="13" spans="1:11" ht="42" customHeight="1">
      <c r="A13" s="2" t="s">
        <v>44</v>
      </c>
      <c r="B13" s="2" t="s">
        <v>45</v>
      </c>
      <c r="C13" s="2" t="s">
        <v>49</v>
      </c>
      <c r="D13" s="2" t="s">
        <v>50</v>
      </c>
      <c r="E13" s="5">
        <v>-30930</v>
      </c>
      <c r="F13" s="3" t="s">
        <v>51</v>
      </c>
      <c r="G13" s="3" t="s">
        <v>52</v>
      </c>
      <c r="H13" s="2" t="s">
        <v>21</v>
      </c>
      <c r="I13" s="2" t="s">
        <v>53</v>
      </c>
      <c r="J13" s="3" t="str">
        <f>HYPERLINK("https://www.boe.es/gazeta/dias/1815/04/25/pdfs/GMD-1815-50.pdf#page=11","Abrir facsímil")</f>
        <v>Abrir facsímil</v>
      </c>
      <c r="K13" s="3" t="s">
        <v>23</v>
      </c>
    </row>
    <row r="14" spans="1:11" ht="42" customHeight="1">
      <c r="A14" s="2" t="s">
        <v>54</v>
      </c>
      <c r="B14" s="2" t="s">
        <v>55</v>
      </c>
      <c r="C14" s="2" t="s">
        <v>31</v>
      </c>
      <c r="D14" s="2" t="s">
        <v>32</v>
      </c>
      <c r="E14" s="5">
        <v>-30979</v>
      </c>
      <c r="F14" s="3" t="s">
        <v>56</v>
      </c>
      <c r="G14" s="3" t="s">
        <v>57</v>
      </c>
      <c r="H14" s="2" t="s">
        <v>21</v>
      </c>
      <c r="I14" s="2" t="s">
        <v>58</v>
      </c>
      <c r="J14" s="3" t="str">
        <f>HYPERLINK("https://www.boe.es/gazeta/dias/1815/03/07/pdfs/GMD-1815-28.pdf#page=5","Abrir facsímil")</f>
        <v>Abrir facsímil</v>
      </c>
      <c r="K14" s="3" t="s">
        <v>23</v>
      </c>
    </row>
    <row r="15" spans="1:11" ht="42" customHeight="1">
      <c r="A15" s="2" t="s">
        <v>59</v>
      </c>
      <c r="B15" s="2" t="s">
        <v>60</v>
      </c>
      <c r="C15" s="2" t="s">
        <v>61</v>
      </c>
      <c r="D15" s="2" t="s">
        <v>50</v>
      </c>
      <c r="E15" s="5">
        <v>-30688</v>
      </c>
      <c r="F15" s="3" t="s">
        <v>62</v>
      </c>
      <c r="G15" s="3" t="s">
        <v>38</v>
      </c>
      <c r="H15" s="2" t="s">
        <v>21</v>
      </c>
      <c r="I15" s="2" t="s">
        <v>63</v>
      </c>
      <c r="J15" s="3" t="str">
        <f>HYPERLINK("https://www.boe.es/gazeta/dias/1815/12/23/pdfs/GMD-1815-159.pdf#page=8","Abrir facsímil")</f>
        <v>Abrir facsímil</v>
      </c>
      <c r="K15" s="3" t="s">
        <v>23</v>
      </c>
    </row>
    <row r="16" spans="1:11" ht="42" customHeight="1">
      <c r="A16" s="2" t="s">
        <v>64</v>
      </c>
      <c r="B16" s="2" t="s">
        <v>65</v>
      </c>
      <c r="C16" s="2" t="s">
        <v>17</v>
      </c>
      <c r="D16" s="2" t="s">
        <v>18</v>
      </c>
      <c r="E16" s="5">
        <v>-30993</v>
      </c>
      <c r="F16" s="3" t="s">
        <v>66</v>
      </c>
      <c r="G16" s="3" t="s">
        <v>57</v>
      </c>
      <c r="H16" s="2" t="s">
        <v>21</v>
      </c>
      <c r="I16" s="2" t="s">
        <v>67</v>
      </c>
      <c r="J16" s="3" t="str">
        <f>HYPERLINK("https://www.boe.es/gazeta/dias/1815/02/21/pdfs/GMD-1815-22.pdf#page=5","Abrir facsímil")</f>
        <v>Abrir facsímil</v>
      </c>
      <c r="K16" s="3" t="s">
        <v>23</v>
      </c>
    </row>
    <row r="17" spans="1:11" ht="42" customHeight="1">
      <c r="A17" s="2" t="s">
        <v>68</v>
      </c>
      <c r="B17" s="2" t="s">
        <v>69</v>
      </c>
      <c r="C17" s="2" t="s">
        <v>61</v>
      </c>
      <c r="D17" s="2" t="s">
        <v>50</v>
      </c>
      <c r="E17" s="5">
        <v>-31000</v>
      </c>
      <c r="F17" s="3" t="s">
        <v>70</v>
      </c>
      <c r="G17" s="3" t="s">
        <v>71</v>
      </c>
      <c r="H17" s="2" t="s">
        <v>72</v>
      </c>
      <c r="I17" s="2" t="s">
        <v>73</v>
      </c>
      <c r="J17" s="3" t="str">
        <f>HYPERLINK("https://www.boe.es/gazeta/dias/1815/02/14/pdfs/GMD-1815-19.pdf#page=7","Abrir facsímil")</f>
        <v>Abrir facsímil</v>
      </c>
      <c r="K17" s="3" t="s">
        <v>74</v>
      </c>
    </row>
    <row r="18" spans="1:11" ht="42" customHeight="1">
      <c r="A18" s="2" t="s">
        <v>75</v>
      </c>
      <c r="B18" s="2" t="s">
        <v>76</v>
      </c>
      <c r="C18" s="2" t="s">
        <v>49</v>
      </c>
      <c r="D18" s="2" t="s">
        <v>50</v>
      </c>
      <c r="E18" s="5">
        <v>-30723</v>
      </c>
      <c r="F18" s="3" t="s">
        <v>77</v>
      </c>
      <c r="G18" s="3" t="s">
        <v>27</v>
      </c>
      <c r="H18" s="2" t="s">
        <v>72</v>
      </c>
      <c r="I18" s="2" t="s">
        <v>78</v>
      </c>
      <c r="J18" s="3" t="str">
        <f>HYPERLINK("https://www.boe.es/gazeta/dias/1815/11/18/pdfs/GMD-1815-144.pdf#page=6","Abrir facsímil")</f>
        <v>Abrir facsímil</v>
      </c>
      <c r="K18" s="3" t="s">
        <v>74</v>
      </c>
    </row>
    <row r="19" spans="1:11" ht="42" customHeight="1">
      <c r="A19" s="2" t="s">
        <v>79</v>
      </c>
      <c r="B19" s="2" t="s">
        <v>80</v>
      </c>
      <c r="C19" s="2" t="s">
        <v>81</v>
      </c>
      <c r="D19" s="2" t="s">
        <v>50</v>
      </c>
      <c r="E19" s="5">
        <v>-30809</v>
      </c>
      <c r="F19" s="3" t="s">
        <v>82</v>
      </c>
      <c r="G19" s="3" t="s">
        <v>57</v>
      </c>
      <c r="H19" s="2" t="s">
        <v>72</v>
      </c>
      <c r="I19" s="2" t="s">
        <v>83</v>
      </c>
      <c r="J19" s="3" t="str">
        <f>HYPERLINK("https://www.boe.es/gazeta/dias/1815/08/24/pdfs/GMD-1815-104.pdf#page=5","Abrir facsímil")</f>
        <v>Abrir facsímil</v>
      </c>
      <c r="K19" s="3" t="s">
        <v>74</v>
      </c>
    </row>
    <row r="20" spans="1:11" ht="42" customHeight="1">
      <c r="A20" s="2" t="s">
        <v>79</v>
      </c>
      <c r="B20" s="2" t="s">
        <v>80</v>
      </c>
      <c r="C20" s="2" t="s">
        <v>31</v>
      </c>
      <c r="D20" s="2" t="s">
        <v>32</v>
      </c>
      <c r="E20" s="5">
        <v>-30809</v>
      </c>
      <c r="F20" s="3" t="s">
        <v>82</v>
      </c>
      <c r="G20" s="3" t="s">
        <v>27</v>
      </c>
      <c r="H20" s="2" t="s">
        <v>72</v>
      </c>
      <c r="I20" s="2" t="s">
        <v>84</v>
      </c>
      <c r="J20" s="3" t="str">
        <f>HYPERLINK("https://www.boe.es/gazeta/dias/1815/08/24/pdfs/GMD-1815-104.pdf#page=6","Abrir facsímil")</f>
        <v>Abrir facsímil</v>
      </c>
      <c r="K20" s="3" t="s">
        <v>74</v>
      </c>
    </row>
    <row r="21" spans="1:11" ht="42" customHeight="1">
      <c r="A21" s="2" t="s">
        <v>85</v>
      </c>
      <c r="B21" s="2" t="s">
        <v>86</v>
      </c>
      <c r="C21" s="2" t="s">
        <v>31</v>
      </c>
      <c r="D21" s="2" t="s">
        <v>32</v>
      </c>
      <c r="E21" s="5">
        <v>-30951</v>
      </c>
      <c r="F21" s="3" t="s">
        <v>87</v>
      </c>
      <c r="G21" s="3" t="s">
        <v>88</v>
      </c>
      <c r="H21" s="2" t="s">
        <v>72</v>
      </c>
      <c r="I21" s="2" t="s">
        <v>89</v>
      </c>
      <c r="J21" s="3" t="str">
        <f>HYPERLINK("https://www.boe.es/gazeta/dias/1815/04/04/pdfs/GMD-1815-41.pdf#page=10","Abrir facsímil")</f>
        <v>Abrir facsímil</v>
      </c>
      <c r="K21" s="3" t="s">
        <v>74</v>
      </c>
    </row>
    <row r="22" spans="1:11" ht="42" customHeight="1">
      <c r="A22" s="2" t="s">
        <v>90</v>
      </c>
      <c r="B22" s="2" t="s">
        <v>91</v>
      </c>
      <c r="C22" s="2" t="s">
        <v>31</v>
      </c>
      <c r="D22" s="2" t="s">
        <v>32</v>
      </c>
      <c r="E22" s="5">
        <v>-30856</v>
      </c>
      <c r="F22" s="3" t="s">
        <v>92</v>
      </c>
      <c r="G22" s="3" t="s">
        <v>71</v>
      </c>
      <c r="H22" s="2" t="s">
        <v>72</v>
      </c>
      <c r="I22" s="2" t="s">
        <v>93</v>
      </c>
      <c r="J22" s="3" t="str">
        <f>HYPERLINK("https://www.boe.es/gazeta/dias/1815/07/08/pdfs/GMD-1815-84.pdf#page=7","Abrir facsímil")</f>
        <v>Abrir facsímil</v>
      </c>
      <c r="K22" s="3" t="s">
        <v>74</v>
      </c>
    </row>
    <row r="23" spans="1:11" ht="42" customHeight="1">
      <c r="A23" s="2" t="s">
        <v>94</v>
      </c>
      <c r="B23" s="2" t="s">
        <v>95</v>
      </c>
      <c r="C23" s="2" t="s">
        <v>49</v>
      </c>
      <c r="D23" s="2" t="s">
        <v>50</v>
      </c>
      <c r="E23" s="5">
        <v>-30788</v>
      </c>
      <c r="F23" s="3" t="s">
        <v>96</v>
      </c>
      <c r="G23" s="3" t="s">
        <v>97</v>
      </c>
      <c r="H23" s="2" t="s">
        <v>72</v>
      </c>
      <c r="I23" s="2" t="s">
        <v>98</v>
      </c>
      <c r="J23" s="3" t="str">
        <f>HYPERLINK("https://www.boe.es/gazeta/dias/1815/09/14/pdfs/GMD-1815-114.pdf#page=3","Abrir facsímil")</f>
        <v>Abrir facsímil</v>
      </c>
      <c r="K23" s="3" t="s">
        <v>74</v>
      </c>
    </row>
    <row r="24" spans="1:11" ht="42" customHeight="1">
      <c r="A24" s="2" t="s">
        <v>99</v>
      </c>
      <c r="B24" s="2" t="s">
        <v>100</v>
      </c>
      <c r="C24" s="2" t="s">
        <v>17</v>
      </c>
      <c r="D24" s="2" t="s">
        <v>18</v>
      </c>
      <c r="E24" s="5">
        <v>-31024</v>
      </c>
      <c r="F24" s="3" t="s">
        <v>101</v>
      </c>
      <c r="G24" s="3" t="s">
        <v>57</v>
      </c>
      <c r="H24" s="2" t="s">
        <v>72</v>
      </c>
      <c r="I24" s="2" t="s">
        <v>102</v>
      </c>
      <c r="J24" s="3" t="str">
        <f>HYPERLINK("https://www.boe.es/gazeta/dias/1815/01/21/pdfs/GMD-1815-9.pdf#page=5","Abrir facsímil")</f>
        <v>Abrir facsímil</v>
      </c>
      <c r="K24" s="3" t="s">
        <v>74</v>
      </c>
    </row>
    <row r="25" spans="1:11" ht="42" customHeight="1">
      <c r="A25" s="2" t="s">
        <v>103</v>
      </c>
      <c r="B25" s="2" t="s">
        <v>104</v>
      </c>
      <c r="C25" s="2" t="s">
        <v>17</v>
      </c>
      <c r="D25" s="2" t="s">
        <v>18</v>
      </c>
      <c r="E25" s="5">
        <v>-31031</v>
      </c>
      <c r="F25" s="3" t="s">
        <v>105</v>
      </c>
      <c r="G25" s="3" t="s">
        <v>106</v>
      </c>
      <c r="H25" s="2" t="s">
        <v>72</v>
      </c>
      <c r="I25" s="2" t="s">
        <v>107</v>
      </c>
      <c r="J25" s="3" t="str">
        <f>HYPERLINK("https://www.boe.es/gazeta/dias/1815/01/14/pdfs/GMD-1815-6.pdf#page=7","Abrir facsímil")</f>
        <v>Abrir facsímil</v>
      </c>
      <c r="K25" s="3" t="s">
        <v>74</v>
      </c>
    </row>
    <row r="26" spans="1:11" ht="42" customHeight="1">
      <c r="A26" s="2" t="s">
        <v>108</v>
      </c>
      <c r="B26" s="2" t="s">
        <v>109</v>
      </c>
      <c r="C26" s="2" t="s">
        <v>17</v>
      </c>
      <c r="D26" s="2" t="s">
        <v>18</v>
      </c>
      <c r="E26" s="5">
        <v>-30863</v>
      </c>
      <c r="F26" s="3" t="s">
        <v>110</v>
      </c>
      <c r="G26" s="3" t="s">
        <v>71</v>
      </c>
      <c r="H26" s="2" t="s">
        <v>72</v>
      </c>
      <c r="I26" s="2" t="s">
        <v>111</v>
      </c>
      <c r="J26" s="3" t="str">
        <f>HYPERLINK("https://www.boe.es/gazeta/dias/1815/07/01/pdfs/GMD-1815-79.pdf#page=7","Abrir facsímil")</f>
        <v>Abrir facsímil</v>
      </c>
      <c r="K26" s="3" t="s">
        <v>74</v>
      </c>
    </row>
    <row r="27" spans="1:11" ht="42" customHeight="1">
      <c r="A27" s="2" t="s">
        <v>112</v>
      </c>
      <c r="B27" s="2" t="s">
        <v>113</v>
      </c>
      <c r="C27" s="2" t="s">
        <v>31</v>
      </c>
      <c r="D27" s="2" t="s">
        <v>32</v>
      </c>
      <c r="E27" s="5">
        <v>-30844</v>
      </c>
      <c r="F27" s="3" t="s">
        <v>114</v>
      </c>
      <c r="G27" s="3" t="s">
        <v>71</v>
      </c>
      <c r="H27" s="2" t="s">
        <v>72</v>
      </c>
      <c r="I27" s="2" t="s">
        <v>115</v>
      </c>
      <c r="J27" s="3" t="str">
        <f>HYPERLINK("https://www.boe.es/gazeta/dias/1815/07/20/pdfs/GMD-1815-89.pdf#page=7","Abrir facsímil")</f>
        <v>Abrir facsímil</v>
      </c>
      <c r="K27" s="3" t="s">
        <v>74</v>
      </c>
    </row>
    <row r="28" spans="1:11" ht="42" customHeight="1">
      <c r="A28" s="2" t="s">
        <v>116</v>
      </c>
      <c r="B28" s="2" t="s">
        <v>117</v>
      </c>
      <c r="C28" s="2" t="s">
        <v>17</v>
      </c>
      <c r="D28" s="2" t="s">
        <v>18</v>
      </c>
      <c r="E28" s="5">
        <v>-30776</v>
      </c>
      <c r="F28" s="3" t="s">
        <v>118</v>
      </c>
      <c r="G28" s="3" t="s">
        <v>71</v>
      </c>
      <c r="H28" s="2" t="s">
        <v>72</v>
      </c>
      <c r="I28" s="2" t="s">
        <v>119</v>
      </c>
      <c r="J28" s="3" t="str">
        <f>HYPERLINK("https://www.boe.es/gazeta/dias/1815/09/26/pdfs/GMD-1815-119.pdf#page=7","Abrir facsímil")</f>
        <v>Abrir facsímil</v>
      </c>
      <c r="K28" s="3" t="s">
        <v>74</v>
      </c>
    </row>
    <row r="29" spans="1:11" ht="42" customHeight="1">
      <c r="A29" s="2" t="s">
        <v>120</v>
      </c>
      <c r="B29" s="2" t="s">
        <v>121</v>
      </c>
      <c r="C29" s="2" t="s">
        <v>49</v>
      </c>
      <c r="D29" s="2" t="s">
        <v>50</v>
      </c>
      <c r="E29" s="5">
        <v>-30870</v>
      </c>
      <c r="F29" s="3" t="s">
        <v>122</v>
      </c>
      <c r="G29" s="3" t="s">
        <v>88</v>
      </c>
      <c r="H29" s="2" t="s">
        <v>72</v>
      </c>
      <c r="I29" s="2" t="s">
        <v>123</v>
      </c>
      <c r="J29" s="3" t="str">
        <f>HYPERLINK("https://www.boe.es/gazeta/dias/1815/06/24/pdfs/GMD-1815-76.pdf#page=10","Abrir facsímil")</f>
        <v>Abrir facsímil</v>
      </c>
      <c r="K29" s="3" t="s">
        <v>74</v>
      </c>
    </row>
    <row r="30" spans="1:11" ht="42" customHeight="1">
      <c r="A30" s="2" t="s">
        <v>124</v>
      </c>
      <c r="B30" s="2" t="s">
        <v>125</v>
      </c>
      <c r="C30" s="2" t="s">
        <v>31</v>
      </c>
      <c r="D30" s="2" t="s">
        <v>32</v>
      </c>
      <c r="E30" s="5">
        <v>-30842</v>
      </c>
      <c r="F30" s="3" t="s">
        <v>126</v>
      </c>
      <c r="G30" s="3" t="s">
        <v>71</v>
      </c>
      <c r="H30" s="2" t="s">
        <v>72</v>
      </c>
      <c r="I30" s="2" t="s">
        <v>127</v>
      </c>
      <c r="J30" s="3" t="str">
        <f>HYPERLINK("https://www.boe.es/gazeta/dias/1815/07/22/pdfs/GMD-1815-90.pdf#page=7","Abrir facsímil")</f>
        <v>Abrir facsímil</v>
      </c>
      <c r="K30" s="3" t="s">
        <v>74</v>
      </c>
    </row>
    <row r="31" spans="1:11" ht="42" customHeight="1">
      <c r="A31" s="2" t="s">
        <v>124</v>
      </c>
      <c r="B31" s="2" t="s">
        <v>125</v>
      </c>
      <c r="C31" s="2" t="s">
        <v>31</v>
      </c>
      <c r="D31" s="2" t="s">
        <v>32</v>
      </c>
      <c r="E31" s="5">
        <v>-30842</v>
      </c>
      <c r="F31" s="3" t="s">
        <v>126</v>
      </c>
      <c r="G31" s="3" t="s">
        <v>38</v>
      </c>
      <c r="H31" s="2" t="s">
        <v>72</v>
      </c>
      <c r="I31" s="2" t="s">
        <v>128</v>
      </c>
      <c r="J31" s="3" t="str">
        <f>HYPERLINK("https://www.boe.es/gazeta/dias/1815/07/22/pdfs/GMD-1815-90.pdf#page=8","Abrir facsímil")</f>
        <v>Abrir facsímil</v>
      </c>
      <c r="K31" s="3" t="s">
        <v>74</v>
      </c>
    </row>
    <row r="32" spans="1:11" ht="42" customHeight="1">
      <c r="A32" s="2" t="s">
        <v>129</v>
      </c>
      <c r="B32" s="2" t="s">
        <v>130</v>
      </c>
      <c r="C32" s="2" t="s">
        <v>131</v>
      </c>
      <c r="D32" s="2" t="s">
        <v>50</v>
      </c>
      <c r="E32" s="5">
        <v>-30893</v>
      </c>
      <c r="F32" s="3" t="s">
        <v>132</v>
      </c>
      <c r="G32" s="3" t="s">
        <v>38</v>
      </c>
      <c r="H32" s="2" t="s">
        <v>72</v>
      </c>
      <c r="I32" s="2" t="s">
        <v>133</v>
      </c>
      <c r="J32" s="3" t="str">
        <f>HYPERLINK("https://www.boe.es/gazeta/dias/1815/06/01/pdfs/GMD-1815-66.pdf#page=8","Abrir facsímil")</f>
        <v>Abrir facsímil</v>
      </c>
      <c r="K32" s="3" t="s">
        <v>74</v>
      </c>
    </row>
    <row r="33" spans="1:11" ht="42" customHeight="1">
      <c r="A33" s="2" t="s">
        <v>134</v>
      </c>
      <c r="B33" s="2" t="s">
        <v>135</v>
      </c>
      <c r="C33" s="2" t="s">
        <v>31</v>
      </c>
      <c r="D33" s="2" t="s">
        <v>32</v>
      </c>
      <c r="E33" s="5">
        <v>-30884</v>
      </c>
      <c r="F33" s="3" t="s">
        <v>136</v>
      </c>
      <c r="G33" s="3" t="s">
        <v>57</v>
      </c>
      <c r="H33" s="2" t="s">
        <v>21</v>
      </c>
      <c r="I33" s="2" t="s">
        <v>137</v>
      </c>
      <c r="J33" s="3" t="str">
        <f>HYPERLINK("https://www.boe.es/gazeta/dias/1815/06/10/pdfs/GMD-1815-70.pdf#page=5","Abrir facsímil")</f>
        <v>Abrir facsímil</v>
      </c>
      <c r="K33" s="3" t="s">
        <v>23</v>
      </c>
    </row>
    <row r="34" spans="1:11" ht="42" customHeight="1">
      <c r="A34" s="2" t="s">
        <v>138</v>
      </c>
      <c r="B34" s="2" t="s">
        <v>139</v>
      </c>
      <c r="C34" s="2" t="s">
        <v>49</v>
      </c>
      <c r="D34" s="2" t="s">
        <v>50</v>
      </c>
      <c r="E34" s="5">
        <v>-30886</v>
      </c>
      <c r="F34" s="3" t="s">
        <v>140</v>
      </c>
      <c r="G34" s="3" t="s">
        <v>38</v>
      </c>
      <c r="H34" s="2" t="s">
        <v>72</v>
      </c>
      <c r="I34" s="2" t="s">
        <v>141</v>
      </c>
      <c r="J34" s="3" t="str">
        <f>HYPERLINK("https://www.boe.es/gazeta/dias/1815/06/08/pdfs/GMD-1815-69.pdf#page=8","Abrir facsímil")</f>
        <v>Abrir facsímil</v>
      </c>
      <c r="K34" s="3" t="s">
        <v>74</v>
      </c>
    </row>
    <row r="35" spans="1:11" ht="42" customHeight="1">
      <c r="A35" s="2" t="s">
        <v>142</v>
      </c>
      <c r="B35" s="2" t="s">
        <v>143</v>
      </c>
      <c r="C35" s="2" t="s">
        <v>49</v>
      </c>
      <c r="D35" s="2" t="s">
        <v>50</v>
      </c>
      <c r="E35" s="5">
        <v>-30886</v>
      </c>
      <c r="F35" s="3" t="s">
        <v>140</v>
      </c>
      <c r="G35" s="3" t="s">
        <v>38</v>
      </c>
      <c r="H35" s="2" t="s">
        <v>72</v>
      </c>
      <c r="I35" s="2" t="s">
        <v>144</v>
      </c>
      <c r="J35" s="3" t="str">
        <f>HYPERLINK("https://www.boe.es/gazeta/dias/1815/06/08/pdfs/GMD-1815-69.pdf#page=8","Abrir facsímil")</f>
        <v>Abrir facsímil</v>
      </c>
      <c r="K35" s="3" t="s">
        <v>74</v>
      </c>
    </row>
    <row r="36" spans="1:11" ht="42" customHeight="1">
      <c r="A36" s="2" t="s">
        <v>145</v>
      </c>
      <c r="B36" s="2" t="s">
        <v>146</v>
      </c>
      <c r="C36" s="2" t="s">
        <v>31</v>
      </c>
      <c r="D36" s="2" t="s">
        <v>32</v>
      </c>
      <c r="E36" s="5">
        <v>-30916</v>
      </c>
      <c r="F36" s="3" t="s">
        <v>147</v>
      </c>
      <c r="G36" s="3" t="s">
        <v>148</v>
      </c>
      <c r="H36" s="2" t="s">
        <v>72</v>
      </c>
      <c r="I36" s="2" t="s">
        <v>149</v>
      </c>
      <c r="J36" s="3" t="str">
        <f>HYPERLINK("https://www.boe.es/gazeta/dias/1815/05/09/pdfs/GMD-1815-56.pdf#page=7","Abrir facsímil")</f>
        <v>Abrir facsímil</v>
      </c>
      <c r="K36" s="3" t="s">
        <v>74</v>
      </c>
    </row>
    <row r="37" spans="1:11" ht="42" customHeight="1">
      <c r="A37" s="2" t="s">
        <v>150</v>
      </c>
      <c r="B37" s="2" t="s">
        <v>151</v>
      </c>
      <c r="C37" s="2" t="s">
        <v>49</v>
      </c>
      <c r="D37" s="2" t="s">
        <v>50</v>
      </c>
      <c r="E37" s="5">
        <v>-30886</v>
      </c>
      <c r="F37" s="3" t="s">
        <v>140</v>
      </c>
      <c r="G37" s="3" t="s">
        <v>38</v>
      </c>
      <c r="H37" s="2" t="s">
        <v>72</v>
      </c>
      <c r="I37" s="2" t="s">
        <v>152</v>
      </c>
      <c r="J37" s="3" t="str">
        <f>HYPERLINK("https://www.boe.es/gazeta/dias/1815/06/08/pdfs/GMD-1815-69.pdf#page=8","Abrir facsímil")</f>
        <v>Abrir facsímil</v>
      </c>
      <c r="K37" s="3" t="s">
        <v>74</v>
      </c>
    </row>
    <row r="38" spans="1:11" ht="42" customHeight="1">
      <c r="A38" s="2" t="s">
        <v>153</v>
      </c>
      <c r="B38" s="2" t="s">
        <v>154</v>
      </c>
      <c r="C38" s="2" t="s">
        <v>49</v>
      </c>
      <c r="D38" s="2" t="s">
        <v>50</v>
      </c>
      <c r="E38" s="5">
        <v>-30893</v>
      </c>
      <c r="F38" s="3" t="s">
        <v>132</v>
      </c>
      <c r="G38" s="3" t="s">
        <v>155</v>
      </c>
      <c r="H38" s="2" t="s">
        <v>72</v>
      </c>
      <c r="I38" s="2" t="s">
        <v>156</v>
      </c>
      <c r="J38" s="3" t="str">
        <f>HYPERLINK("https://www.boe.es/gazeta/dias/1815/06/01/pdfs/GMD-1815-66.pdf#page=6","Abrir facsímil")</f>
        <v>Abrir facsímil</v>
      </c>
      <c r="K38" s="3" t="s">
        <v>74</v>
      </c>
    </row>
    <row r="39" spans="1:11" ht="42" customHeight="1">
      <c r="A39" s="2" t="s">
        <v>157</v>
      </c>
      <c r="B39" s="2" t="s">
        <v>158</v>
      </c>
      <c r="C39" s="2" t="s">
        <v>17</v>
      </c>
      <c r="D39" s="2" t="s">
        <v>18</v>
      </c>
      <c r="E39" s="5">
        <v>-30947</v>
      </c>
      <c r="F39" s="3" t="s">
        <v>159</v>
      </c>
      <c r="G39" s="3" t="s">
        <v>71</v>
      </c>
      <c r="H39" s="2" t="s">
        <v>72</v>
      </c>
      <c r="I39" s="2" t="s">
        <v>160</v>
      </c>
      <c r="J39" s="3" t="str">
        <f>HYPERLINK("https://www.boe.es/gazeta/dias/1815/04/08/pdfs/GMD-1815-43.pdf#page=7","Abrir facsímil")</f>
        <v>Abrir facsímil</v>
      </c>
      <c r="K39" s="3" t="s">
        <v>74</v>
      </c>
    </row>
    <row r="40" spans="1:11" ht="42" customHeight="1">
      <c r="A40" s="2" t="s">
        <v>161</v>
      </c>
      <c r="B40" s="2" t="s">
        <v>162</v>
      </c>
      <c r="C40" s="2" t="s">
        <v>49</v>
      </c>
      <c r="D40" s="2" t="s">
        <v>50</v>
      </c>
      <c r="E40" s="5">
        <v>-30865</v>
      </c>
      <c r="F40" s="3" t="s">
        <v>163</v>
      </c>
      <c r="G40" s="3" t="s">
        <v>71</v>
      </c>
      <c r="H40" s="2" t="s">
        <v>72</v>
      </c>
      <c r="I40" s="2" t="s">
        <v>164</v>
      </c>
      <c r="J40" s="3" t="str">
        <f>HYPERLINK("https://www.boe.es/gazeta/dias/1815/06/29/pdfs/GMD-1815-78.pdf#page=7","Abrir facsímil")</f>
        <v>Abrir facsímil</v>
      </c>
      <c r="K40" s="3" t="s">
        <v>74</v>
      </c>
    </row>
    <row r="41" spans="1:11" ht="42" customHeight="1">
      <c r="A41" s="2" t="s">
        <v>165</v>
      </c>
      <c r="B41" s="2" t="s">
        <v>166</v>
      </c>
      <c r="C41" s="2" t="s">
        <v>31</v>
      </c>
      <c r="D41" s="2" t="s">
        <v>32</v>
      </c>
      <c r="E41" s="5">
        <v>-30872</v>
      </c>
      <c r="F41" s="3" t="s">
        <v>167</v>
      </c>
      <c r="G41" s="3" t="s">
        <v>71</v>
      </c>
      <c r="H41" s="2" t="s">
        <v>72</v>
      </c>
      <c r="I41" s="2" t="s">
        <v>168</v>
      </c>
      <c r="J41" s="3" t="str">
        <f>HYPERLINK("https://www.boe.es/gazeta/dias/1815/06/22/pdfs/GMD-1815-75.pdf#page=7","Abrir facsímil")</f>
        <v>Abrir facsímil</v>
      </c>
      <c r="K41" s="3" t="s">
        <v>74</v>
      </c>
    </row>
    <row r="42" spans="1:11" ht="42" customHeight="1">
      <c r="A42" s="2" t="s">
        <v>165</v>
      </c>
      <c r="B42" s="2" t="s">
        <v>166</v>
      </c>
      <c r="C42" s="2" t="s">
        <v>31</v>
      </c>
      <c r="D42" s="2" t="s">
        <v>32</v>
      </c>
      <c r="E42" s="5">
        <v>-30870</v>
      </c>
      <c r="F42" s="3" t="s">
        <v>122</v>
      </c>
      <c r="G42" s="3" t="s">
        <v>71</v>
      </c>
      <c r="H42" s="2" t="s">
        <v>72</v>
      </c>
      <c r="I42" s="2" t="s">
        <v>169</v>
      </c>
      <c r="J42" s="3" t="str">
        <f>HYPERLINK("https://www.boe.es/gazeta/dias/1815/06/24/pdfs/GMD-1815-76.pdf#page=7","Abrir facsímil")</f>
        <v>Abrir facsímil</v>
      </c>
      <c r="K42" s="3" t="s">
        <v>74</v>
      </c>
    </row>
    <row r="43" spans="1:11" ht="42" customHeight="1">
      <c r="A43" s="2" t="s">
        <v>170</v>
      </c>
      <c r="B43" s="2" t="s">
        <v>171</v>
      </c>
      <c r="C43" s="2" t="s">
        <v>17</v>
      </c>
      <c r="D43" s="2" t="s">
        <v>18</v>
      </c>
      <c r="E43" s="5">
        <v>-30795</v>
      </c>
      <c r="F43" s="3" t="s">
        <v>172</v>
      </c>
      <c r="G43" s="3" t="s">
        <v>52</v>
      </c>
      <c r="H43" s="2" t="s">
        <v>72</v>
      </c>
      <c r="I43" s="2" t="s">
        <v>173</v>
      </c>
      <c r="J43" s="3" t="str">
        <f>HYPERLINK("https://www.boe.es/gazeta/dias/1815/09/07/pdfs/GMD-1815-111.pdf#page=11","Abrir facsímil")</f>
        <v>Abrir facsímil</v>
      </c>
      <c r="K43" s="3" t="s">
        <v>74</v>
      </c>
    </row>
    <row r="44" spans="1:11" ht="42" customHeight="1">
      <c r="A44" s="2" t="s">
        <v>174</v>
      </c>
      <c r="B44" s="2" t="s">
        <v>175</v>
      </c>
      <c r="C44" s="2" t="s">
        <v>81</v>
      </c>
      <c r="D44" s="2" t="s">
        <v>50</v>
      </c>
      <c r="E44" s="5">
        <v>-30895</v>
      </c>
      <c r="F44" s="3" t="s">
        <v>176</v>
      </c>
      <c r="G44" s="3" t="s">
        <v>71</v>
      </c>
      <c r="H44" s="2" t="s">
        <v>72</v>
      </c>
      <c r="I44" s="2" t="s">
        <v>177</v>
      </c>
      <c r="J44" s="3" t="str">
        <f>HYPERLINK("https://www.boe.es/gazeta/dias/1815/05/30/pdfs/GMD-1815-65.pdf#page=7","Abrir facsímil")</f>
        <v>Abrir facsímil</v>
      </c>
      <c r="K44" s="3" t="s">
        <v>74</v>
      </c>
    </row>
    <row r="45" spans="1:11" ht="42" customHeight="1">
      <c r="A45" s="2" t="s">
        <v>178</v>
      </c>
      <c r="B45" s="2" t="s">
        <v>178</v>
      </c>
      <c r="C45" s="2" t="s">
        <v>31</v>
      </c>
      <c r="D45" s="2" t="s">
        <v>179</v>
      </c>
      <c r="E45" s="5">
        <v>-30860</v>
      </c>
      <c r="F45" s="3" t="s">
        <v>180</v>
      </c>
      <c r="G45" s="3" t="s">
        <v>20</v>
      </c>
      <c r="H45" s="2" t="s">
        <v>72</v>
      </c>
      <c r="I45" s="2" t="s">
        <v>181</v>
      </c>
      <c r="J45" s="3" t="str">
        <f>HYPERLINK("https://www.boe.es/gazeta/dias/1815/07/04/pdfs/GMD-1815-82E.pdf#page=4","Abrir facsímil")</f>
        <v>Abrir facsímil</v>
      </c>
      <c r="K45" s="3" t="s">
        <v>74</v>
      </c>
    </row>
    <row r="46" spans="1:11" ht="42" customHeight="1">
      <c r="A46" s="2" t="s">
        <v>182</v>
      </c>
      <c r="B46" s="2" t="s">
        <v>183</v>
      </c>
      <c r="C46" s="2" t="s">
        <v>31</v>
      </c>
      <c r="D46" s="2" t="s">
        <v>32</v>
      </c>
      <c r="E46" s="5">
        <v>-30860</v>
      </c>
      <c r="F46" s="3" t="s">
        <v>184</v>
      </c>
      <c r="G46" s="3" t="s">
        <v>20</v>
      </c>
      <c r="H46" s="2" t="s">
        <v>72</v>
      </c>
      <c r="I46" s="2" t="s">
        <v>185</v>
      </c>
      <c r="J46" s="3" t="str">
        <f>HYPERLINK("https://www.boe.es/gazeta/dias/1815/07/04/pdfs/GMD-1815-81.pdf#page=4","Abrir facsímil")</f>
        <v>Abrir facsímil</v>
      </c>
      <c r="K46" s="3" t="s">
        <v>74</v>
      </c>
    </row>
    <row r="47" spans="1:11" ht="42" customHeight="1">
      <c r="A47" s="2" t="s">
        <v>186</v>
      </c>
      <c r="B47" s="2" t="s">
        <v>187</v>
      </c>
      <c r="C47" s="2" t="s">
        <v>49</v>
      </c>
      <c r="D47" s="2" t="s">
        <v>50</v>
      </c>
      <c r="E47" s="5">
        <v>-30893</v>
      </c>
      <c r="F47" s="3" t="s">
        <v>132</v>
      </c>
      <c r="G47" s="3" t="s">
        <v>155</v>
      </c>
      <c r="H47" s="2" t="s">
        <v>21</v>
      </c>
      <c r="I47" s="2" t="s">
        <v>188</v>
      </c>
      <c r="J47" s="3" t="str">
        <f>HYPERLINK("https://www.boe.es/gazeta/dias/1815/06/01/pdfs/GMD-1815-66.pdf#page=6","Abrir facsímil")</f>
        <v>Abrir facsímil</v>
      </c>
      <c r="K47" s="3" t="s">
        <v>23</v>
      </c>
    </row>
    <row r="48" spans="1:11" ht="42" customHeight="1">
      <c r="A48" s="2" t="s">
        <v>189</v>
      </c>
      <c r="B48" s="2" t="s">
        <v>190</v>
      </c>
      <c r="C48" s="2" t="s">
        <v>49</v>
      </c>
      <c r="D48" s="2" t="s">
        <v>50</v>
      </c>
      <c r="E48" s="5">
        <v>-30921</v>
      </c>
      <c r="F48" s="3" t="s">
        <v>191</v>
      </c>
      <c r="G48" s="3" t="s">
        <v>71</v>
      </c>
      <c r="H48" s="2" t="s">
        <v>72</v>
      </c>
      <c r="I48" s="2" t="s">
        <v>192</v>
      </c>
      <c r="J48" s="3" t="str">
        <f>HYPERLINK("https://www.boe.es/gazeta/dias/1815/05/04/pdfs/GMD-1815-54.pdf#page=7","Abrir facsímil")</f>
        <v>Abrir facsímil</v>
      </c>
      <c r="K48" s="3" t="s">
        <v>74</v>
      </c>
    </row>
    <row r="49" spans="1:11" ht="42" customHeight="1">
      <c r="A49" s="2" t="s">
        <v>193</v>
      </c>
      <c r="B49" s="2" t="s">
        <v>194</v>
      </c>
      <c r="C49" s="2" t="s">
        <v>195</v>
      </c>
      <c r="D49" s="2" t="s">
        <v>50</v>
      </c>
      <c r="E49" s="5">
        <v>-30702</v>
      </c>
      <c r="F49" s="3" t="s">
        <v>196</v>
      </c>
      <c r="G49" s="3" t="s">
        <v>38</v>
      </c>
      <c r="H49" s="2" t="s">
        <v>72</v>
      </c>
      <c r="I49" s="2" t="s">
        <v>197</v>
      </c>
      <c r="J49" s="3" t="str">
        <f>HYPERLINK("https://www.boe.es/gazeta/dias/1815/12/09/pdfs/GMD-1815-153.pdf#page=8","Abrir facsímil")</f>
        <v>Abrir facsímil</v>
      </c>
      <c r="K49" s="3" t="s">
        <v>74</v>
      </c>
    </row>
    <row r="50" spans="1:11" ht="42" customHeight="1">
      <c r="A50" s="2" t="s">
        <v>198</v>
      </c>
      <c r="B50" s="2" t="s">
        <v>199</v>
      </c>
      <c r="C50" s="2" t="s">
        <v>195</v>
      </c>
      <c r="D50" s="2" t="s">
        <v>50</v>
      </c>
      <c r="E50" s="5">
        <v>-31007</v>
      </c>
      <c r="F50" s="3" t="s">
        <v>200</v>
      </c>
      <c r="G50" s="3" t="s">
        <v>201</v>
      </c>
      <c r="H50" s="2" t="s">
        <v>72</v>
      </c>
      <c r="I50" s="2" t="s">
        <v>202</v>
      </c>
      <c r="J50" s="3" t="str">
        <f>HYPERLINK("https://www.boe.es/gazeta/dias/1815/02/07/pdfs/GMD-1815-16.pdf#page=10","Abrir facsímil")</f>
        <v>Abrir facsímil</v>
      </c>
      <c r="K50" s="3" t="s">
        <v>74</v>
      </c>
    </row>
    <row r="51" spans="1:11" ht="42" customHeight="1">
      <c r="A51" s="2" t="s">
        <v>203</v>
      </c>
      <c r="B51" s="2" t="s">
        <v>204</v>
      </c>
      <c r="C51" s="2" t="s">
        <v>49</v>
      </c>
      <c r="D51" s="2" t="s">
        <v>50</v>
      </c>
      <c r="E51" s="5">
        <v>-30870</v>
      </c>
      <c r="F51" s="3" t="s">
        <v>122</v>
      </c>
      <c r="G51" s="3" t="s">
        <v>88</v>
      </c>
      <c r="H51" s="2" t="s">
        <v>72</v>
      </c>
      <c r="I51" s="2" t="s">
        <v>205</v>
      </c>
      <c r="J51" s="3" t="str">
        <f>HYPERLINK("https://www.boe.es/gazeta/dias/1815/06/24/pdfs/GMD-1815-76.pdf#page=10","Abrir facsímil")</f>
        <v>Abrir facsímil</v>
      </c>
      <c r="K51" s="3" t="s">
        <v>74</v>
      </c>
    </row>
    <row r="52" spans="1:11" ht="42" customHeight="1">
      <c r="A52" s="2" t="s">
        <v>206</v>
      </c>
      <c r="B52" s="2" t="s">
        <v>207</v>
      </c>
      <c r="C52" s="2" t="s">
        <v>195</v>
      </c>
      <c r="D52" s="2" t="s">
        <v>50</v>
      </c>
      <c r="E52" s="5">
        <v>-30874</v>
      </c>
      <c r="F52" s="3" t="s">
        <v>208</v>
      </c>
      <c r="G52" s="3" t="s">
        <v>38</v>
      </c>
      <c r="H52" s="2" t="s">
        <v>72</v>
      </c>
      <c r="I52" s="2" t="s">
        <v>209</v>
      </c>
      <c r="J52" s="3" t="str">
        <f>HYPERLINK("https://www.boe.es/gazeta/dias/1815/06/20/pdfs/GMD-1815-74.pdf#page=8","Abrir facsímil")</f>
        <v>Abrir facsímil</v>
      </c>
      <c r="K52" s="3" t="s">
        <v>74</v>
      </c>
    </row>
    <row r="53" spans="1:11" ht="42" customHeight="1">
      <c r="A53" s="2" t="s">
        <v>210</v>
      </c>
      <c r="B53" s="2" t="s">
        <v>211</v>
      </c>
      <c r="C53" s="2" t="s">
        <v>61</v>
      </c>
      <c r="D53" s="2" t="s">
        <v>50</v>
      </c>
      <c r="E53" s="5">
        <v>-30898</v>
      </c>
      <c r="F53" s="3" t="s">
        <v>212</v>
      </c>
      <c r="G53" s="3" t="s">
        <v>71</v>
      </c>
      <c r="H53" s="2" t="s">
        <v>72</v>
      </c>
      <c r="I53" s="2" t="s">
        <v>213</v>
      </c>
      <c r="J53" s="3" t="str">
        <f>HYPERLINK("https://www.boe.es/gazeta/dias/1815/05/27/pdfs/GMD-1815-64.pdf#page=7","Abrir facsímil")</f>
        <v>Abrir facsímil</v>
      </c>
      <c r="K53" s="3" t="s">
        <v>74</v>
      </c>
    </row>
    <row r="54" spans="1:11" ht="42" customHeight="1">
      <c r="A54" s="2" t="s">
        <v>214</v>
      </c>
      <c r="B54" s="2" t="s">
        <v>215</v>
      </c>
      <c r="C54" s="2" t="s">
        <v>31</v>
      </c>
      <c r="D54" s="2" t="s">
        <v>32</v>
      </c>
      <c r="E54" s="5">
        <v>-30772</v>
      </c>
      <c r="F54" s="3" t="s">
        <v>216</v>
      </c>
      <c r="G54" s="3" t="s">
        <v>71</v>
      </c>
      <c r="H54" s="2" t="s">
        <v>72</v>
      </c>
      <c r="I54" s="2" t="s">
        <v>217</v>
      </c>
      <c r="J54" s="3" t="str">
        <f>HYPERLINK("https://www.boe.es/gazeta/dias/1815/09/30/pdfs/GMD-1815-123.pdf#page=7","Abrir facsímil")</f>
        <v>Abrir facsímil</v>
      </c>
      <c r="K54" s="3" t="s">
        <v>74</v>
      </c>
    </row>
    <row r="55" spans="1:11" ht="42" customHeight="1">
      <c r="A55" s="2" t="s">
        <v>218</v>
      </c>
      <c r="B55" s="2" t="s">
        <v>219</v>
      </c>
      <c r="C55" s="2" t="s">
        <v>49</v>
      </c>
      <c r="D55" s="2" t="s">
        <v>50</v>
      </c>
      <c r="E55" s="5">
        <v>-30982</v>
      </c>
      <c r="F55" s="3" t="s">
        <v>220</v>
      </c>
      <c r="G55" s="3" t="s">
        <v>57</v>
      </c>
      <c r="H55" s="2" t="s">
        <v>72</v>
      </c>
      <c r="I55" s="2" t="s">
        <v>221</v>
      </c>
      <c r="J55" s="3" t="str">
        <f>HYPERLINK("https://www.boe.es/gazeta/dias/1815/03/04/pdfs/GMD-1815-27.pdf#page=5","Abrir facsímil")</f>
        <v>Abrir facsímil</v>
      </c>
      <c r="K55" s="3" t="s">
        <v>74</v>
      </c>
    </row>
    <row r="56" spans="1:11" ht="42" customHeight="1">
      <c r="A56" s="2" t="s">
        <v>222</v>
      </c>
      <c r="B56" s="2" t="s">
        <v>223</v>
      </c>
      <c r="C56" s="2" t="s">
        <v>49</v>
      </c>
      <c r="D56" s="2" t="s">
        <v>50</v>
      </c>
      <c r="E56" s="5">
        <v>-30863</v>
      </c>
      <c r="F56" s="3" t="s">
        <v>110</v>
      </c>
      <c r="G56" s="3" t="s">
        <v>224</v>
      </c>
      <c r="H56" s="2" t="s">
        <v>72</v>
      </c>
      <c r="I56" s="2" t="s">
        <v>225</v>
      </c>
      <c r="J56" s="3" t="str">
        <f>HYPERLINK("https://www.boe.es/gazeta/dias/1815/07/01/pdfs/GMD-1815-79.pdf#page=9","Abrir facsímil")</f>
        <v>Abrir facsímil</v>
      </c>
      <c r="K56" s="3" t="s">
        <v>74</v>
      </c>
    </row>
    <row r="57" spans="1:11" ht="42" customHeight="1">
      <c r="A57" s="2" t="s">
        <v>226</v>
      </c>
      <c r="B57" s="2" t="s">
        <v>227</v>
      </c>
      <c r="C57" s="2" t="s">
        <v>31</v>
      </c>
      <c r="D57" s="2" t="s">
        <v>32</v>
      </c>
      <c r="E57" s="5">
        <v>-30767</v>
      </c>
      <c r="F57" s="3" t="s">
        <v>228</v>
      </c>
      <c r="G57" s="3" t="s">
        <v>224</v>
      </c>
      <c r="H57" s="2" t="s">
        <v>72</v>
      </c>
      <c r="I57" s="2" t="s">
        <v>229</v>
      </c>
      <c r="J57" s="3" t="str">
        <f>HYPERLINK("https://www.boe.es/gazeta/dias/1815/10/05/pdfs/GMD-1815-125.pdf#page=9","Abrir facsímil")</f>
        <v>Abrir facsímil</v>
      </c>
      <c r="K57" s="3" t="s">
        <v>74</v>
      </c>
    </row>
    <row r="58" spans="1:11" ht="42" customHeight="1">
      <c r="A58" s="2" t="s">
        <v>230</v>
      </c>
      <c r="B58" s="2" t="s">
        <v>231</v>
      </c>
      <c r="C58" s="2" t="s">
        <v>31</v>
      </c>
      <c r="D58" s="2" t="s">
        <v>32</v>
      </c>
      <c r="E58" s="5">
        <v>-30872</v>
      </c>
      <c r="F58" s="3" t="s">
        <v>167</v>
      </c>
      <c r="G58" s="3" t="s">
        <v>57</v>
      </c>
      <c r="H58" s="2" t="s">
        <v>72</v>
      </c>
      <c r="I58" s="2" t="s">
        <v>232</v>
      </c>
      <c r="J58" s="3" t="str">
        <f>HYPERLINK("https://www.boe.es/gazeta/dias/1815/06/22/pdfs/GMD-1815-75.pdf#page=5","Abrir facsímil")</f>
        <v>Abrir facsímil</v>
      </c>
      <c r="K58" s="3" t="s">
        <v>74</v>
      </c>
    </row>
    <row r="59" spans="1:11" ht="42" customHeight="1">
      <c r="A59" s="2" t="s">
        <v>233</v>
      </c>
      <c r="B59" s="2" t="s">
        <v>234</v>
      </c>
      <c r="C59" s="2" t="s">
        <v>31</v>
      </c>
      <c r="D59" s="2" t="s">
        <v>32</v>
      </c>
      <c r="E59" s="5">
        <v>-30870</v>
      </c>
      <c r="F59" s="3" t="s">
        <v>122</v>
      </c>
      <c r="G59" s="3" t="s">
        <v>71</v>
      </c>
      <c r="H59" s="2" t="s">
        <v>72</v>
      </c>
      <c r="I59" s="2" t="s">
        <v>235</v>
      </c>
      <c r="J59" s="3" t="str">
        <f>HYPERLINK("https://www.boe.es/gazeta/dias/1815/06/24/pdfs/GMD-1815-76.pdf#page=7","Abrir facsímil")</f>
        <v>Abrir facsímil</v>
      </c>
      <c r="K59" s="3" t="s">
        <v>74</v>
      </c>
    </row>
    <row r="60" spans="1:11" ht="42" customHeight="1">
      <c r="A60" s="2" t="s">
        <v>236</v>
      </c>
      <c r="B60" s="2" t="s">
        <v>237</v>
      </c>
      <c r="C60" s="2" t="s">
        <v>49</v>
      </c>
      <c r="D60" s="2" t="s">
        <v>50</v>
      </c>
      <c r="E60" s="5">
        <v>-30865</v>
      </c>
      <c r="F60" s="3" t="s">
        <v>163</v>
      </c>
      <c r="G60" s="3" t="s">
        <v>71</v>
      </c>
      <c r="H60" s="2" t="s">
        <v>72</v>
      </c>
      <c r="I60" s="2" t="s">
        <v>238</v>
      </c>
      <c r="J60" s="3" t="str">
        <f>HYPERLINK("https://www.boe.es/gazeta/dias/1815/06/29/pdfs/GMD-1815-78.pdf#page=7","Abrir facsímil")</f>
        <v>Abrir facsímil</v>
      </c>
      <c r="K60" s="3" t="s">
        <v>74</v>
      </c>
    </row>
    <row r="61" spans="1:11" ht="42" customHeight="1">
      <c r="A61" s="2" t="s">
        <v>236</v>
      </c>
      <c r="B61" s="2" t="s">
        <v>237</v>
      </c>
      <c r="C61" s="2" t="s">
        <v>49</v>
      </c>
      <c r="D61" s="2" t="s">
        <v>50</v>
      </c>
      <c r="E61" s="5">
        <v>-30863</v>
      </c>
      <c r="F61" s="3" t="s">
        <v>110</v>
      </c>
      <c r="G61" s="3" t="s">
        <v>224</v>
      </c>
      <c r="H61" s="2" t="s">
        <v>72</v>
      </c>
      <c r="I61" s="2" t="s">
        <v>239</v>
      </c>
      <c r="J61" s="3" t="str">
        <f>HYPERLINK("https://www.boe.es/gazeta/dias/1815/07/01/pdfs/GMD-1815-79.pdf#page=9","Abrir facsímil")</f>
        <v>Abrir facsímil</v>
      </c>
      <c r="K61" s="3" t="s">
        <v>74</v>
      </c>
    </row>
    <row r="62" spans="1:11" ht="42" customHeight="1">
      <c r="A62" s="2" t="s">
        <v>240</v>
      </c>
      <c r="B62" s="2" t="s">
        <v>241</v>
      </c>
      <c r="C62" s="2" t="s">
        <v>31</v>
      </c>
      <c r="D62" s="2" t="s">
        <v>32</v>
      </c>
      <c r="E62" s="5">
        <v>-30844</v>
      </c>
      <c r="F62" s="3" t="s">
        <v>114</v>
      </c>
      <c r="G62" s="3" t="s">
        <v>71</v>
      </c>
      <c r="H62" s="2" t="s">
        <v>72</v>
      </c>
      <c r="I62" s="2" t="s">
        <v>242</v>
      </c>
      <c r="J62" s="3" t="str">
        <f>HYPERLINK("https://www.boe.es/gazeta/dias/1815/07/20/pdfs/GMD-1815-89.pdf#page=7","Abrir facsímil")</f>
        <v>Abrir facsímil</v>
      </c>
      <c r="K62" s="3" t="s">
        <v>74</v>
      </c>
    </row>
    <row r="63" spans="1:11" ht="42" customHeight="1">
      <c r="A63" s="2" t="s">
        <v>243</v>
      </c>
      <c r="B63" s="2" t="s">
        <v>244</v>
      </c>
      <c r="C63" s="2" t="s">
        <v>17</v>
      </c>
      <c r="D63" s="2" t="s">
        <v>18</v>
      </c>
      <c r="E63" s="5">
        <v>-30844</v>
      </c>
      <c r="F63" s="3" t="s">
        <v>114</v>
      </c>
      <c r="G63" s="3" t="s">
        <v>71</v>
      </c>
      <c r="H63" s="2" t="s">
        <v>72</v>
      </c>
      <c r="I63" s="2" t="s">
        <v>245</v>
      </c>
      <c r="J63" s="3" t="str">
        <f>HYPERLINK("https://www.boe.es/gazeta/dias/1815/07/20/pdfs/GMD-1815-89.pdf#page=7","Abrir facsímil")</f>
        <v>Abrir facsímil</v>
      </c>
      <c r="K63" s="3" t="s">
        <v>74</v>
      </c>
    </row>
    <row r="64" spans="1:11" ht="42" customHeight="1">
      <c r="A64" s="2" t="s">
        <v>246</v>
      </c>
      <c r="B64" s="2" t="s">
        <v>247</v>
      </c>
      <c r="C64" s="2" t="s">
        <v>31</v>
      </c>
      <c r="D64" s="2" t="s">
        <v>32</v>
      </c>
      <c r="E64" s="5">
        <v>-30797</v>
      </c>
      <c r="F64" s="3" t="s">
        <v>248</v>
      </c>
      <c r="G64" s="3" t="s">
        <v>249</v>
      </c>
      <c r="H64" s="2" t="s">
        <v>72</v>
      </c>
      <c r="I64" s="2" t="s">
        <v>250</v>
      </c>
      <c r="J64" s="3" t="str">
        <f>HYPERLINK("https://www.boe.es/gazeta/dias/1815/09/05/pdfs/GMD-1815-110.pdf#page=3","Abrir facsímil")</f>
        <v>Abrir facsímil</v>
      </c>
      <c r="K64" s="3" t="s">
        <v>74</v>
      </c>
    </row>
    <row r="65" spans="1:11" ht="42" customHeight="1">
      <c r="A65" s="2" t="s">
        <v>251</v>
      </c>
      <c r="B65" s="2" t="s">
        <v>252</v>
      </c>
      <c r="C65" s="2" t="s">
        <v>31</v>
      </c>
      <c r="D65" s="2" t="s">
        <v>32</v>
      </c>
      <c r="E65" s="5">
        <v>-30767</v>
      </c>
      <c r="F65" s="3" t="s">
        <v>228</v>
      </c>
      <c r="G65" s="3" t="s">
        <v>88</v>
      </c>
      <c r="H65" s="2" t="s">
        <v>21</v>
      </c>
      <c r="I65" s="2" t="s">
        <v>253</v>
      </c>
      <c r="J65" s="3" t="str">
        <f>HYPERLINK("https://www.boe.es/gazeta/dias/1815/10/05/pdfs/GMD-1815-125.pdf#page=10","Abrir facsímil")</f>
        <v>Abrir facsímil</v>
      </c>
      <c r="K65" s="3" t="s">
        <v>23</v>
      </c>
    </row>
    <row r="66" spans="1:11" ht="42" customHeight="1">
      <c r="A66" s="2" t="s">
        <v>251</v>
      </c>
      <c r="B66" s="2" t="s">
        <v>252</v>
      </c>
      <c r="C66" s="2" t="s">
        <v>31</v>
      </c>
      <c r="D66" s="2" t="s">
        <v>32</v>
      </c>
      <c r="E66" s="5">
        <v>-30739</v>
      </c>
      <c r="F66" s="3" t="s">
        <v>254</v>
      </c>
      <c r="G66" s="3" t="s">
        <v>52</v>
      </c>
      <c r="H66" s="2" t="s">
        <v>21</v>
      </c>
      <c r="I66" s="2" t="s">
        <v>255</v>
      </c>
      <c r="J66" s="3" t="str">
        <f>HYPERLINK("https://www.boe.es/gazeta/dias/1815/11/02/pdfs/GMD-1815-137.pdf#page=11","Abrir facsímil")</f>
        <v>Abrir facsímil</v>
      </c>
      <c r="K66" s="3" t="s">
        <v>23</v>
      </c>
    </row>
    <row r="67" spans="1:11" ht="42" customHeight="1">
      <c r="A67" s="2" t="s">
        <v>256</v>
      </c>
      <c r="B67" s="2" t="s">
        <v>257</v>
      </c>
      <c r="C67" s="2" t="s">
        <v>61</v>
      </c>
      <c r="D67" s="2" t="s">
        <v>50</v>
      </c>
      <c r="E67" s="5">
        <v>-31024</v>
      </c>
      <c r="F67" s="3" t="s">
        <v>101</v>
      </c>
      <c r="G67" s="3" t="s">
        <v>258</v>
      </c>
      <c r="H67" s="2" t="s">
        <v>72</v>
      </c>
      <c r="I67" s="2" t="s">
        <v>259</v>
      </c>
      <c r="J67" s="3" t="str">
        <f>HYPERLINK("https://www.boe.es/gazeta/dias/1815/01/21/pdfs/GMD-1815-9.pdf#page=6","Abrir facsímil")</f>
        <v>Abrir facsímil</v>
      </c>
      <c r="K67" s="3" t="s">
        <v>74</v>
      </c>
    </row>
    <row r="68" spans="1:11" ht="42" customHeight="1">
      <c r="A68" s="2" t="s">
        <v>260</v>
      </c>
      <c r="B68" s="2" t="s">
        <v>261</v>
      </c>
      <c r="C68" s="2" t="s">
        <v>195</v>
      </c>
      <c r="D68" s="2" t="s">
        <v>50</v>
      </c>
      <c r="E68" s="5">
        <v>-30727</v>
      </c>
      <c r="F68" s="3" t="s">
        <v>262</v>
      </c>
      <c r="G68" s="3" t="s">
        <v>38</v>
      </c>
      <c r="H68" s="2" t="s">
        <v>21</v>
      </c>
      <c r="I68" s="2" t="s">
        <v>263</v>
      </c>
      <c r="J68" s="3" t="str">
        <f>HYPERLINK("https://www.boe.es/gazeta/dias/1815/11/14/pdfs/GMD-1815-142.pdf#page=8","Abrir facsímil")</f>
        <v>Abrir facsímil</v>
      </c>
      <c r="K68" s="3" t="s">
        <v>23</v>
      </c>
    </row>
    <row r="69" spans="1:11" ht="42" customHeight="1">
      <c r="A69" s="2" t="s">
        <v>264</v>
      </c>
      <c r="B69" s="2" t="s">
        <v>265</v>
      </c>
      <c r="C69" s="2" t="s">
        <v>17</v>
      </c>
      <c r="D69" s="2" t="s">
        <v>18</v>
      </c>
      <c r="E69" s="5">
        <v>-30832</v>
      </c>
      <c r="F69" s="3" t="s">
        <v>266</v>
      </c>
      <c r="G69" s="3" t="s">
        <v>88</v>
      </c>
      <c r="H69" s="2" t="s">
        <v>72</v>
      </c>
      <c r="I69" s="2" t="s">
        <v>267</v>
      </c>
      <c r="J69" s="3" t="str">
        <f>HYPERLINK("https://www.boe.es/gazeta/dias/1815/08/01/pdfs/GMD-1815-94.pdf#page=10","Abrir facsímil")</f>
        <v>Abrir facsímil</v>
      </c>
      <c r="K69" s="3" t="s">
        <v>74</v>
      </c>
    </row>
    <row r="70" spans="1:11" ht="42" customHeight="1">
      <c r="A70" s="2" t="s">
        <v>268</v>
      </c>
      <c r="B70" s="2" t="s">
        <v>269</v>
      </c>
      <c r="C70" s="2" t="s">
        <v>31</v>
      </c>
      <c r="D70" s="2" t="s">
        <v>32</v>
      </c>
      <c r="E70" s="5">
        <v>-30863</v>
      </c>
      <c r="F70" s="3" t="s">
        <v>110</v>
      </c>
      <c r="G70" s="3" t="s">
        <v>88</v>
      </c>
      <c r="H70" s="2" t="s">
        <v>72</v>
      </c>
      <c r="I70" s="2" t="s">
        <v>270</v>
      </c>
      <c r="J70" s="3" t="str">
        <f>HYPERLINK("https://www.boe.es/gazeta/dias/1815/07/01/pdfs/GMD-1815-79.pdf#page=10","Abrir facsímil")</f>
        <v>Abrir facsímil</v>
      </c>
      <c r="K70" s="3" t="s">
        <v>74</v>
      </c>
    </row>
    <row r="71" spans="1:11" ht="42" customHeight="1">
      <c r="A71" s="2" t="s">
        <v>271</v>
      </c>
      <c r="B71" s="2" t="s">
        <v>272</v>
      </c>
      <c r="C71" s="2" t="s">
        <v>49</v>
      </c>
      <c r="D71" s="2" t="s">
        <v>50</v>
      </c>
      <c r="E71" s="5">
        <v>-31031</v>
      </c>
      <c r="F71" s="3" t="s">
        <v>105</v>
      </c>
      <c r="G71" s="3" t="s">
        <v>106</v>
      </c>
      <c r="H71" s="2" t="s">
        <v>72</v>
      </c>
      <c r="I71" s="2" t="s">
        <v>273</v>
      </c>
      <c r="J71" s="3" t="str">
        <f>HYPERLINK("https://www.boe.es/gazeta/dias/1815/01/14/pdfs/GMD-1815-6.pdf#page=7","Abrir facsímil")</f>
        <v>Abrir facsímil</v>
      </c>
      <c r="K71" s="3" t="s">
        <v>74</v>
      </c>
    </row>
    <row r="72" spans="1:11" ht="42" customHeight="1">
      <c r="A72" s="2" t="s">
        <v>274</v>
      </c>
      <c r="B72" s="2" t="s">
        <v>275</v>
      </c>
      <c r="C72" s="2" t="s">
        <v>81</v>
      </c>
      <c r="D72" s="2" t="s">
        <v>50</v>
      </c>
      <c r="E72" s="5">
        <v>-30886</v>
      </c>
      <c r="F72" s="3" t="s">
        <v>140</v>
      </c>
      <c r="G72" s="3" t="s">
        <v>276</v>
      </c>
      <c r="H72" s="2" t="s">
        <v>72</v>
      </c>
      <c r="I72" s="2" t="s">
        <v>277</v>
      </c>
      <c r="J72" s="3" t="str">
        <f>HYPERLINK("https://www.boe.es/gazeta/dias/1815/06/08/pdfs/GMD-1815-69.pdf#page=12","Abrir facsímil")</f>
        <v>Abrir facsímil</v>
      </c>
      <c r="K72" s="3" t="s">
        <v>74</v>
      </c>
    </row>
    <row r="73" spans="1:11" ht="42" customHeight="1">
      <c r="A73" s="2" t="s">
        <v>278</v>
      </c>
      <c r="B73" s="2" t="s">
        <v>279</v>
      </c>
      <c r="C73" s="2" t="s">
        <v>31</v>
      </c>
      <c r="D73" s="2" t="s">
        <v>32</v>
      </c>
      <c r="E73" s="5">
        <v>-30830</v>
      </c>
      <c r="F73" s="3" t="s">
        <v>33</v>
      </c>
      <c r="G73" s="3" t="s">
        <v>71</v>
      </c>
      <c r="H73" s="2" t="s">
        <v>72</v>
      </c>
      <c r="I73" s="2" t="s">
        <v>280</v>
      </c>
      <c r="J73" s="3" t="str">
        <f>HYPERLINK("https://www.boe.es/gazeta/dias/1815/08/03/pdfs/GMD-1815-95.pdf#page=7","Abrir facsímil")</f>
        <v>Abrir facsímil</v>
      </c>
      <c r="K73" s="3" t="s">
        <v>74</v>
      </c>
    </row>
    <row r="74" spans="1:11" ht="42" customHeight="1">
      <c r="A74" s="2" t="s">
        <v>281</v>
      </c>
      <c r="B74" s="2" t="s">
        <v>281</v>
      </c>
      <c r="C74" s="2" t="s">
        <v>49</v>
      </c>
      <c r="D74" s="2" t="s">
        <v>50</v>
      </c>
      <c r="E74" s="5">
        <v>-30872</v>
      </c>
      <c r="F74" s="3" t="s">
        <v>167</v>
      </c>
      <c r="G74" s="3" t="s">
        <v>52</v>
      </c>
      <c r="H74" s="2" t="s">
        <v>72</v>
      </c>
      <c r="I74" s="2" t="s">
        <v>282</v>
      </c>
      <c r="J74" s="3" t="str">
        <f>HYPERLINK("https://www.boe.es/gazeta/dias/1815/06/22/pdfs/GMD-1815-75.pdf#page=11","Abrir facsímil")</f>
        <v>Abrir facsímil</v>
      </c>
      <c r="K74" s="3" t="s">
        <v>74</v>
      </c>
    </row>
    <row r="75" spans="1:11" ht="42" customHeight="1">
      <c r="A75" s="2" t="s">
        <v>281</v>
      </c>
      <c r="B75" s="2" t="s">
        <v>281</v>
      </c>
      <c r="C75" s="2" t="s">
        <v>81</v>
      </c>
      <c r="D75" s="2" t="s">
        <v>50</v>
      </c>
      <c r="E75" s="5">
        <v>-30767</v>
      </c>
      <c r="F75" s="3" t="s">
        <v>228</v>
      </c>
      <c r="G75" s="3" t="s">
        <v>88</v>
      </c>
      <c r="H75" s="2" t="s">
        <v>72</v>
      </c>
      <c r="I75" s="2" t="s">
        <v>283</v>
      </c>
      <c r="J75" s="3" t="str">
        <f>HYPERLINK("https://www.boe.es/gazeta/dias/1815/10/05/pdfs/GMD-1815-125.pdf#page=10","Abrir facsímil")</f>
        <v>Abrir facsímil</v>
      </c>
      <c r="K75" s="3" t="s">
        <v>74</v>
      </c>
    </row>
    <row r="76" spans="1:11" ht="42" customHeight="1">
      <c r="A76" s="2" t="s">
        <v>284</v>
      </c>
      <c r="B76" s="2" t="s">
        <v>284</v>
      </c>
      <c r="C76" s="2" t="s">
        <v>31</v>
      </c>
      <c r="D76" s="2" t="s">
        <v>32</v>
      </c>
      <c r="E76" s="5">
        <v>-30790</v>
      </c>
      <c r="F76" s="3" t="s">
        <v>285</v>
      </c>
      <c r="G76" s="3" t="s">
        <v>71</v>
      </c>
      <c r="H76" s="2" t="s">
        <v>72</v>
      </c>
      <c r="I76" s="2" t="s">
        <v>286</v>
      </c>
      <c r="J76" s="3" t="str">
        <f>HYPERLINK("https://www.boe.es/gazeta/dias/1815/09/12/pdfs/GMD-1815-113.pdf#page=7","Abrir facsímil")</f>
        <v>Abrir facsímil</v>
      </c>
      <c r="K76" s="3" t="s">
        <v>74</v>
      </c>
    </row>
    <row r="77" spans="1:11" ht="42" customHeight="1">
      <c r="A77" s="2" t="s">
        <v>287</v>
      </c>
      <c r="B77" s="2" t="s">
        <v>288</v>
      </c>
      <c r="C77" s="2" t="s">
        <v>131</v>
      </c>
      <c r="D77" s="2" t="s">
        <v>50</v>
      </c>
      <c r="E77" s="5">
        <v>-30996</v>
      </c>
      <c r="F77" s="3" t="s">
        <v>289</v>
      </c>
      <c r="G77" s="3" t="s">
        <v>38</v>
      </c>
      <c r="H77" s="2" t="s">
        <v>72</v>
      </c>
      <c r="I77" s="2" t="s">
        <v>290</v>
      </c>
      <c r="J77" s="3" t="str">
        <f>HYPERLINK("https://www.boe.es/gazeta/dias/1815/02/18/pdfs/GMD-1815-21.pdf#page=8","Abrir facsímil")</f>
        <v>Abrir facsímil</v>
      </c>
      <c r="K77" s="3" t="s">
        <v>74</v>
      </c>
    </row>
    <row r="78" spans="1:11" ht="42" customHeight="1">
      <c r="A78" s="2" t="s">
        <v>291</v>
      </c>
      <c r="B78" s="2" t="s">
        <v>292</v>
      </c>
      <c r="C78" s="2" t="s">
        <v>31</v>
      </c>
      <c r="D78" s="2" t="s">
        <v>32</v>
      </c>
      <c r="E78" s="5">
        <v>-30811</v>
      </c>
      <c r="F78" s="3" t="s">
        <v>293</v>
      </c>
      <c r="G78" s="3" t="s">
        <v>57</v>
      </c>
      <c r="H78" s="2" t="s">
        <v>72</v>
      </c>
      <c r="I78" s="2" t="s">
        <v>294</v>
      </c>
      <c r="J78" s="3" t="str">
        <f>HYPERLINK("https://www.boe.es/gazeta/dias/1815/08/22/pdfs/GMD-1815-103.pdf#page=5","Abrir facsímil")</f>
        <v>Abrir facsímil</v>
      </c>
      <c r="K78" s="3" t="s">
        <v>74</v>
      </c>
    </row>
    <row r="79" spans="1:11" ht="42" customHeight="1">
      <c r="A79" s="2" t="s">
        <v>295</v>
      </c>
      <c r="B79" s="2" t="s">
        <v>296</v>
      </c>
      <c r="C79" s="2" t="s">
        <v>31</v>
      </c>
      <c r="D79" s="2" t="s">
        <v>32</v>
      </c>
      <c r="E79" s="5">
        <v>-30958</v>
      </c>
      <c r="F79" s="3" t="s">
        <v>297</v>
      </c>
      <c r="G79" s="3" t="s">
        <v>27</v>
      </c>
      <c r="H79" s="2" t="s">
        <v>72</v>
      </c>
      <c r="I79" s="2" t="s">
        <v>298</v>
      </c>
      <c r="J79" s="3" t="str">
        <f>HYPERLINK("https://www.boe.es/gazeta/dias/1815/03/28/pdfs/GMD-1815-37.pdf#page=6","Abrir facsímil")</f>
        <v>Abrir facsímil</v>
      </c>
      <c r="K79" s="3" t="s">
        <v>74</v>
      </c>
    </row>
    <row r="80" spans="1:11" ht="42" customHeight="1">
      <c r="A80" s="2" t="s">
        <v>299</v>
      </c>
      <c r="B80" s="2" t="s">
        <v>300</v>
      </c>
      <c r="C80" s="2" t="s">
        <v>31</v>
      </c>
      <c r="D80" s="2" t="s">
        <v>32</v>
      </c>
      <c r="E80" s="5">
        <v>-30907</v>
      </c>
      <c r="F80" s="3" t="s">
        <v>301</v>
      </c>
      <c r="G80" s="3" t="s">
        <v>71</v>
      </c>
      <c r="H80" s="2" t="s">
        <v>72</v>
      </c>
      <c r="I80" s="2" t="s">
        <v>302</v>
      </c>
      <c r="J80" s="3" t="str">
        <f>HYPERLINK("https://www.boe.es/gazeta/dias/1815/05/18/pdfs/GMD-1815-60.pdf#page=7","Abrir facsímil")</f>
        <v>Abrir facsímil</v>
      </c>
      <c r="K80" s="3" t="s">
        <v>74</v>
      </c>
    </row>
    <row r="81" spans="1:11" ht="42" customHeight="1">
      <c r="A81" s="2" t="s">
        <v>303</v>
      </c>
      <c r="B81" s="2" t="s">
        <v>304</v>
      </c>
      <c r="C81" s="2" t="s">
        <v>31</v>
      </c>
      <c r="D81" s="2" t="s">
        <v>32</v>
      </c>
      <c r="E81" s="5">
        <v>-30823</v>
      </c>
      <c r="F81" s="3" t="s">
        <v>305</v>
      </c>
      <c r="G81" s="3" t="s">
        <v>306</v>
      </c>
      <c r="H81" s="2" t="s">
        <v>72</v>
      </c>
      <c r="I81" s="2" t="s">
        <v>307</v>
      </c>
      <c r="J81" s="3" t="str">
        <f>HYPERLINK("https://www.boe.es/gazeta/dias/1815/08/10/pdfs/GMD-1815-98.pdf#page=7","Abrir facsímil")</f>
        <v>Abrir facsímil</v>
      </c>
      <c r="K81" s="3" t="s">
        <v>74</v>
      </c>
    </row>
    <row r="82" spans="1:11" ht="42" customHeight="1">
      <c r="A82" s="2" t="s">
        <v>308</v>
      </c>
      <c r="B82" s="2" t="s">
        <v>309</v>
      </c>
      <c r="C82" s="2" t="s">
        <v>31</v>
      </c>
      <c r="D82" s="2" t="s">
        <v>32</v>
      </c>
      <c r="E82" s="5">
        <v>-30907</v>
      </c>
      <c r="F82" s="3" t="s">
        <v>301</v>
      </c>
      <c r="G82" s="3" t="s">
        <v>71</v>
      </c>
      <c r="H82" s="2" t="s">
        <v>72</v>
      </c>
      <c r="I82" s="2" t="s">
        <v>310</v>
      </c>
      <c r="J82" s="3" t="str">
        <f>HYPERLINK("https://www.boe.es/gazeta/dias/1815/05/18/pdfs/GMD-1815-60.pdf#page=7","Abrir facsímil")</f>
        <v>Abrir facsímil</v>
      </c>
      <c r="K82" s="3" t="s">
        <v>74</v>
      </c>
    </row>
    <row r="83" spans="1:11" ht="42" customHeight="1">
      <c r="A83" s="2" t="s">
        <v>311</v>
      </c>
      <c r="B83" s="2" t="s">
        <v>312</v>
      </c>
      <c r="C83" s="2" t="s">
        <v>131</v>
      </c>
      <c r="D83" s="2" t="s">
        <v>50</v>
      </c>
      <c r="E83" s="5">
        <v>-30727</v>
      </c>
      <c r="F83" s="3" t="s">
        <v>262</v>
      </c>
      <c r="G83" s="3" t="s">
        <v>38</v>
      </c>
      <c r="H83" s="2" t="s">
        <v>72</v>
      </c>
      <c r="I83" s="2" t="s">
        <v>313</v>
      </c>
      <c r="J83" s="3" t="str">
        <f>HYPERLINK("https://www.boe.es/gazeta/dias/1815/11/14/pdfs/GMD-1815-142.pdf#page=8","Abrir facsímil")</f>
        <v>Abrir facsímil</v>
      </c>
      <c r="K83" s="3" t="s">
        <v>74</v>
      </c>
    </row>
    <row r="84" spans="1:11" ht="42" customHeight="1">
      <c r="A84" s="2" t="s">
        <v>311</v>
      </c>
      <c r="B84" s="2" t="s">
        <v>312</v>
      </c>
      <c r="C84" s="2" t="s">
        <v>17</v>
      </c>
      <c r="D84" s="2" t="s">
        <v>18</v>
      </c>
      <c r="E84" s="5">
        <v>-30709</v>
      </c>
      <c r="F84" s="3" t="s">
        <v>314</v>
      </c>
      <c r="G84" s="3" t="s">
        <v>71</v>
      </c>
      <c r="H84" s="2" t="s">
        <v>72</v>
      </c>
      <c r="I84" s="2" t="s">
        <v>315</v>
      </c>
      <c r="J84" s="3" t="str">
        <f>HYPERLINK("https://www.boe.es/gazeta/dias/1815/12/02/pdfs/GMD-1815-150.pdf#page=7","Abrir facsímil")</f>
        <v>Abrir facsímil</v>
      </c>
      <c r="K84" s="3" t="s">
        <v>74</v>
      </c>
    </row>
    <row r="85" spans="1:11" ht="42" customHeight="1">
      <c r="A85" s="2" t="s">
        <v>316</v>
      </c>
      <c r="B85" s="2" t="s">
        <v>317</v>
      </c>
      <c r="C85" s="2" t="s">
        <v>195</v>
      </c>
      <c r="D85" s="2" t="s">
        <v>50</v>
      </c>
      <c r="E85" s="5">
        <v>-30991</v>
      </c>
      <c r="F85" s="3" t="s">
        <v>318</v>
      </c>
      <c r="G85" s="3" t="s">
        <v>319</v>
      </c>
      <c r="H85" s="2" t="s">
        <v>72</v>
      </c>
      <c r="I85" s="2" t="s">
        <v>320</v>
      </c>
      <c r="J85" s="3" t="str">
        <f>HYPERLINK("https://www.boe.es/gazeta/dias/1815/02/23/pdfs/GMD-1815-23.pdf#page=6","Abrir facsímil")</f>
        <v>Abrir facsímil</v>
      </c>
      <c r="K85" s="3" t="s">
        <v>74</v>
      </c>
    </row>
    <row r="86" spans="1:11" ht="42" customHeight="1">
      <c r="A86" s="2" t="s">
        <v>321</v>
      </c>
      <c r="B86" s="2" t="s">
        <v>321</v>
      </c>
      <c r="C86" s="2" t="s">
        <v>31</v>
      </c>
      <c r="D86" s="2" t="s">
        <v>32</v>
      </c>
      <c r="E86" s="5">
        <v>-30937</v>
      </c>
      <c r="F86" s="3" t="s">
        <v>322</v>
      </c>
      <c r="G86" s="3" t="s">
        <v>97</v>
      </c>
      <c r="H86" s="2" t="s">
        <v>72</v>
      </c>
      <c r="I86" s="2" t="s">
        <v>323</v>
      </c>
      <c r="J86" s="3" t="str">
        <f>HYPERLINK("https://www.boe.es/gazeta/dias/1815/04/18/pdfs/GMD-1815-47.pdf#page=3","Abrir facsímil")</f>
        <v>Abrir facsímil</v>
      </c>
      <c r="K86" s="3" t="s">
        <v>74</v>
      </c>
    </row>
    <row r="87" spans="1:11" ht="42" customHeight="1">
      <c r="A87" s="2" t="s">
        <v>324</v>
      </c>
      <c r="B87" s="2" t="s">
        <v>325</v>
      </c>
      <c r="C87" s="2" t="s">
        <v>81</v>
      </c>
      <c r="D87" s="2" t="s">
        <v>50</v>
      </c>
      <c r="E87" s="5">
        <v>-31040</v>
      </c>
      <c r="F87" s="3" t="s">
        <v>326</v>
      </c>
      <c r="G87" s="3" t="s">
        <v>71</v>
      </c>
      <c r="H87" s="2" t="s">
        <v>72</v>
      </c>
      <c r="I87" s="2" t="s">
        <v>327</v>
      </c>
      <c r="J87" s="3" t="str">
        <f>HYPERLINK("https://www.boe.es/gazeta/dias/1815/01/05/pdfs/GMD-1815-2.pdf#page=7","Abrir facsímil")</f>
        <v>Abrir facsímil</v>
      </c>
      <c r="K87" s="3" t="s">
        <v>74</v>
      </c>
    </row>
    <row r="88" spans="1:11" ht="42" customHeight="1">
      <c r="A88" s="2" t="s">
        <v>328</v>
      </c>
      <c r="B88" s="2" t="s">
        <v>329</v>
      </c>
      <c r="C88" s="2" t="s">
        <v>17</v>
      </c>
      <c r="D88" s="2" t="s">
        <v>18</v>
      </c>
      <c r="E88" s="5">
        <v>-30928</v>
      </c>
      <c r="F88" s="3" t="s">
        <v>330</v>
      </c>
      <c r="G88" s="3" t="s">
        <v>27</v>
      </c>
      <c r="H88" s="2" t="s">
        <v>72</v>
      </c>
      <c r="I88" s="2" t="s">
        <v>331</v>
      </c>
      <c r="J88" s="3" t="str">
        <f>HYPERLINK("https://www.boe.es/gazeta/dias/1815/04/27/pdfs/GMD-1815-51.pdf#page=6","Abrir facsímil")</f>
        <v>Abrir facsímil</v>
      </c>
      <c r="K88" s="3" t="s">
        <v>74</v>
      </c>
    </row>
    <row r="89" spans="1:11" ht="42" customHeight="1">
      <c r="A89" s="2" t="s">
        <v>332</v>
      </c>
      <c r="B89" s="2" t="s">
        <v>333</v>
      </c>
      <c r="C89" s="2" t="s">
        <v>61</v>
      </c>
      <c r="D89" s="2" t="s">
        <v>50</v>
      </c>
      <c r="E89" s="5">
        <v>-30818</v>
      </c>
      <c r="F89" s="3" t="s">
        <v>334</v>
      </c>
      <c r="G89" s="3" t="s">
        <v>276</v>
      </c>
      <c r="H89" s="2" t="s">
        <v>72</v>
      </c>
      <c r="I89" s="2" t="s">
        <v>335</v>
      </c>
      <c r="J89" s="3" t="str">
        <f>HYPERLINK("https://www.boe.es/gazeta/dias/1815/08/15/pdfs/GMD-1815-100.pdf#page=12","Abrir facsímil")</f>
        <v>Abrir facsímil</v>
      </c>
      <c r="K89" s="3" t="s">
        <v>74</v>
      </c>
    </row>
    <row r="90" spans="1:11" ht="42" customHeight="1">
      <c r="A90" s="2" t="s">
        <v>336</v>
      </c>
      <c r="B90" s="2" t="s">
        <v>337</v>
      </c>
      <c r="C90" s="2" t="s">
        <v>17</v>
      </c>
      <c r="D90" s="2" t="s">
        <v>18</v>
      </c>
      <c r="E90" s="5">
        <v>-30914</v>
      </c>
      <c r="F90" s="3" t="s">
        <v>338</v>
      </c>
      <c r="G90" s="3" t="s">
        <v>276</v>
      </c>
      <c r="H90" s="2" t="s">
        <v>72</v>
      </c>
      <c r="I90" s="2" t="s">
        <v>339</v>
      </c>
      <c r="J90" s="3" t="str">
        <f>HYPERLINK("https://www.boe.es/gazeta/dias/1815/05/11/pdfs/GMD-1815-57.pdf#page=12","Abrir facsímil")</f>
        <v>Abrir facsímil</v>
      </c>
      <c r="K90" s="3" t="s">
        <v>74</v>
      </c>
    </row>
    <row r="91" spans="1:11" ht="42" customHeight="1">
      <c r="A91" s="2" t="s">
        <v>340</v>
      </c>
      <c r="B91" s="2" t="s">
        <v>341</v>
      </c>
      <c r="C91" s="2" t="s">
        <v>195</v>
      </c>
      <c r="D91" s="2" t="s">
        <v>50</v>
      </c>
      <c r="E91" s="5">
        <v>-30872</v>
      </c>
      <c r="F91" s="3" t="s">
        <v>167</v>
      </c>
      <c r="G91" s="3" t="s">
        <v>342</v>
      </c>
      <c r="H91" s="2" t="s">
        <v>72</v>
      </c>
      <c r="I91" s="2" t="s">
        <v>343</v>
      </c>
      <c r="J91" s="3" t="str">
        <f>HYPERLINK("https://www.boe.es/gazeta/dias/1815/06/22/pdfs/GMD-1815-75.pdf#page=8","Abrir facsímil")</f>
        <v>Abrir facsímil</v>
      </c>
      <c r="K91" s="3" t="s">
        <v>74</v>
      </c>
    </row>
    <row r="92" spans="1:11" ht="42" customHeight="1">
      <c r="A92" s="2" t="s">
        <v>344</v>
      </c>
      <c r="B92" s="2" t="s">
        <v>345</v>
      </c>
      <c r="C92" s="2" t="s">
        <v>49</v>
      </c>
      <c r="D92" s="2" t="s">
        <v>50</v>
      </c>
      <c r="E92" s="5">
        <v>-30865</v>
      </c>
      <c r="F92" s="3" t="s">
        <v>163</v>
      </c>
      <c r="G92" s="3" t="s">
        <v>71</v>
      </c>
      <c r="H92" s="2" t="s">
        <v>72</v>
      </c>
      <c r="I92" s="2" t="s">
        <v>346</v>
      </c>
      <c r="J92" s="3" t="str">
        <f>HYPERLINK("https://www.boe.es/gazeta/dias/1815/06/29/pdfs/GMD-1815-78.pdf#page=7","Abrir facsímil")</f>
        <v>Abrir facsímil</v>
      </c>
      <c r="K92" s="3" t="s">
        <v>74</v>
      </c>
    </row>
    <row r="93" spans="1:11" ht="42" customHeight="1">
      <c r="A93" s="2" t="s">
        <v>347</v>
      </c>
      <c r="B93" s="2" t="s">
        <v>348</v>
      </c>
      <c r="C93" s="2" t="s">
        <v>31</v>
      </c>
      <c r="D93" s="2" t="s">
        <v>32</v>
      </c>
      <c r="E93" s="5">
        <v>-30760</v>
      </c>
      <c r="F93" s="3" t="s">
        <v>349</v>
      </c>
      <c r="G93" s="3" t="s">
        <v>38</v>
      </c>
      <c r="H93" s="2" t="s">
        <v>72</v>
      </c>
      <c r="I93" s="2" t="s">
        <v>350</v>
      </c>
      <c r="J93" s="3" t="str">
        <f>HYPERLINK("https://www.boe.es/gazeta/dias/1815/10/12/pdfs/GMD-1815-128.pdf#page=8","Abrir facsímil")</f>
        <v>Abrir facsímil</v>
      </c>
      <c r="K93" s="3" t="s">
        <v>74</v>
      </c>
    </row>
    <row r="94" spans="1:11" ht="42" customHeight="1">
      <c r="A94" s="2" t="s">
        <v>351</v>
      </c>
      <c r="B94" s="2" t="s">
        <v>352</v>
      </c>
      <c r="C94" s="2" t="s">
        <v>17</v>
      </c>
      <c r="D94" s="2" t="s">
        <v>18</v>
      </c>
      <c r="E94" s="5">
        <v>-30842</v>
      </c>
      <c r="F94" s="3" t="s">
        <v>126</v>
      </c>
      <c r="G94" s="3" t="s">
        <v>88</v>
      </c>
      <c r="H94" s="2" t="s">
        <v>72</v>
      </c>
      <c r="I94" s="2" t="s">
        <v>353</v>
      </c>
      <c r="J94" s="3" t="str">
        <f>HYPERLINK("https://www.boe.es/gazeta/dias/1815/07/22/pdfs/GMD-1815-90.pdf#page=10","Abrir facsímil")</f>
        <v>Abrir facsímil</v>
      </c>
      <c r="K94" s="3" t="s">
        <v>74</v>
      </c>
    </row>
    <row r="95" spans="1:11" ht="42" customHeight="1">
      <c r="A95" s="2" t="s">
        <v>354</v>
      </c>
      <c r="B95" s="2" t="s">
        <v>355</v>
      </c>
      <c r="C95" s="2" t="s">
        <v>17</v>
      </c>
      <c r="D95" s="2" t="s">
        <v>18</v>
      </c>
      <c r="E95" s="5">
        <v>-30874</v>
      </c>
      <c r="F95" s="3" t="s">
        <v>208</v>
      </c>
      <c r="G95" s="3" t="s">
        <v>71</v>
      </c>
      <c r="H95" s="2" t="s">
        <v>72</v>
      </c>
      <c r="I95" s="2" t="s">
        <v>356</v>
      </c>
      <c r="J95" s="3" t="str">
        <f>HYPERLINK("https://www.boe.es/gazeta/dias/1815/06/20/pdfs/GMD-1815-74.pdf#page=7","Abrir facsímil")</f>
        <v>Abrir facsímil</v>
      </c>
      <c r="K95" s="3" t="s">
        <v>74</v>
      </c>
    </row>
    <row r="96" spans="1:11" ht="42" customHeight="1">
      <c r="A96" s="2" t="s">
        <v>357</v>
      </c>
      <c r="B96" s="2" t="s">
        <v>358</v>
      </c>
      <c r="C96" s="2" t="s">
        <v>49</v>
      </c>
      <c r="D96" s="2" t="s">
        <v>50</v>
      </c>
      <c r="E96" s="5">
        <v>-30865</v>
      </c>
      <c r="F96" s="3" t="s">
        <v>163</v>
      </c>
      <c r="G96" s="3" t="s">
        <v>71</v>
      </c>
      <c r="H96" s="2" t="s">
        <v>72</v>
      </c>
      <c r="I96" s="2" t="s">
        <v>359</v>
      </c>
      <c r="J96" s="3" t="str">
        <f>HYPERLINK("https://www.boe.es/gazeta/dias/1815/06/29/pdfs/GMD-1815-78.pdf#page=7","Abrir facsímil")</f>
        <v>Abrir facsímil</v>
      </c>
      <c r="K96" s="3" t="s">
        <v>74</v>
      </c>
    </row>
    <row r="97" spans="1:11" ht="42" customHeight="1">
      <c r="A97" s="2" t="s">
        <v>360</v>
      </c>
      <c r="B97" s="2" t="s">
        <v>361</v>
      </c>
      <c r="C97" s="2" t="s">
        <v>49</v>
      </c>
      <c r="D97" s="2" t="s">
        <v>50</v>
      </c>
      <c r="E97" s="5">
        <v>-30886</v>
      </c>
      <c r="F97" s="3" t="s">
        <v>140</v>
      </c>
      <c r="G97" s="3" t="s">
        <v>224</v>
      </c>
      <c r="H97" s="2" t="s">
        <v>72</v>
      </c>
      <c r="I97" s="2" t="s">
        <v>362</v>
      </c>
      <c r="J97" s="3" t="str">
        <f>HYPERLINK("https://www.boe.es/gazeta/dias/1815/06/08/pdfs/GMD-1815-69.pdf#page=9","Abrir facsímil")</f>
        <v>Abrir facsímil</v>
      </c>
      <c r="K97" s="3" t="s">
        <v>74</v>
      </c>
    </row>
    <row r="98" spans="1:11" ht="42" customHeight="1">
      <c r="A98" s="2" t="s">
        <v>363</v>
      </c>
      <c r="B98" s="2" t="s">
        <v>364</v>
      </c>
      <c r="C98" s="2" t="s">
        <v>49</v>
      </c>
      <c r="D98" s="2" t="s">
        <v>50</v>
      </c>
      <c r="E98" s="5">
        <v>-30870</v>
      </c>
      <c r="F98" s="3" t="s">
        <v>122</v>
      </c>
      <c r="G98" s="3" t="s">
        <v>88</v>
      </c>
      <c r="H98" s="2" t="s">
        <v>21</v>
      </c>
      <c r="I98" s="2" t="s">
        <v>365</v>
      </c>
      <c r="J98" s="3" t="str">
        <f>HYPERLINK("https://www.boe.es/gazeta/dias/1815/06/24/pdfs/GMD-1815-76.pdf#page=10","Abrir facsímil")</f>
        <v>Abrir facsímil</v>
      </c>
      <c r="K98" s="3" t="s">
        <v>23</v>
      </c>
    </row>
    <row r="99" spans="1:11" ht="42" customHeight="1">
      <c r="A99" s="2" t="s">
        <v>366</v>
      </c>
      <c r="B99" s="2" t="s">
        <v>367</v>
      </c>
      <c r="C99" s="2" t="s">
        <v>131</v>
      </c>
      <c r="D99" s="2" t="s">
        <v>50</v>
      </c>
      <c r="E99" s="5">
        <v>-30888</v>
      </c>
      <c r="F99" s="3" t="s">
        <v>368</v>
      </c>
      <c r="G99" s="3" t="s">
        <v>369</v>
      </c>
      <c r="H99" s="2" t="s">
        <v>72</v>
      </c>
      <c r="I99" s="2" t="s">
        <v>370</v>
      </c>
      <c r="J99" s="3" t="str">
        <f>HYPERLINK("https://www.boe.es/gazeta/dias/1815/06/06/pdfs/GMD-1815-68.pdf#page=7","Abrir facsímil")</f>
        <v>Abrir facsímil</v>
      </c>
      <c r="K99" s="3" t="s">
        <v>74</v>
      </c>
    </row>
    <row r="100" spans="1:11" ht="42" customHeight="1">
      <c r="A100" s="2" t="s">
        <v>371</v>
      </c>
      <c r="B100" s="2" t="s">
        <v>372</v>
      </c>
      <c r="C100" s="2" t="s">
        <v>49</v>
      </c>
      <c r="D100" s="2" t="s">
        <v>50</v>
      </c>
      <c r="E100" s="5">
        <v>-30720</v>
      </c>
      <c r="F100" s="3" t="s">
        <v>373</v>
      </c>
      <c r="G100" s="3" t="s">
        <v>224</v>
      </c>
      <c r="H100" s="2" t="s">
        <v>72</v>
      </c>
      <c r="I100" s="2" t="s">
        <v>374</v>
      </c>
      <c r="J100" s="3" t="str">
        <f>HYPERLINK("https://www.boe.es/gazeta/dias/1815/11/21/pdfs/GMD-1815-145.pdf#page=9","Abrir facsímil")</f>
        <v>Abrir facsímil</v>
      </c>
      <c r="K100" s="3" t="s">
        <v>74</v>
      </c>
    </row>
    <row r="101" spans="1:11" ht="42" customHeight="1">
      <c r="A101" s="2" t="s">
        <v>375</v>
      </c>
      <c r="B101" s="2" t="s">
        <v>375</v>
      </c>
      <c r="C101" s="2" t="s">
        <v>31</v>
      </c>
      <c r="D101" s="2" t="s">
        <v>32</v>
      </c>
      <c r="E101" s="5">
        <v>-30734</v>
      </c>
      <c r="F101" s="3" t="s">
        <v>376</v>
      </c>
      <c r="G101" s="3" t="s">
        <v>377</v>
      </c>
      <c r="H101" s="2" t="s">
        <v>72</v>
      </c>
      <c r="I101" s="2" t="s">
        <v>378</v>
      </c>
      <c r="J101" s="3" t="str">
        <f>HYPERLINK("https://www.boe.es/gazeta/dias/1815/11/07/pdfs/GMD-1815-139.pdf#page=2","Abrir facsímil")</f>
        <v>Abrir facsímil</v>
      </c>
      <c r="K101" s="3" t="s">
        <v>74</v>
      </c>
    </row>
    <row r="102" spans="1:11" ht="42" customHeight="1">
      <c r="A102" s="2" t="s">
        <v>379</v>
      </c>
      <c r="B102" s="2" t="s">
        <v>380</v>
      </c>
      <c r="C102" s="2" t="s">
        <v>49</v>
      </c>
      <c r="D102" s="2" t="s">
        <v>50</v>
      </c>
      <c r="E102" s="5">
        <v>-30697</v>
      </c>
      <c r="F102" s="3" t="s">
        <v>381</v>
      </c>
      <c r="G102" s="3" t="s">
        <v>57</v>
      </c>
      <c r="H102" s="2" t="s">
        <v>72</v>
      </c>
      <c r="I102" s="2" t="s">
        <v>382</v>
      </c>
      <c r="J102" s="3" t="str">
        <f>HYPERLINK("https://www.boe.es/gazeta/dias/1815/12/14/pdfs/GMD-1815-155.pdf#page=5","Abrir facsímil")</f>
        <v>Abrir facsímil</v>
      </c>
      <c r="K102" s="3" t="s">
        <v>74</v>
      </c>
    </row>
    <row r="103" spans="1:11" ht="42" customHeight="1">
      <c r="A103" s="2" t="s">
        <v>383</v>
      </c>
      <c r="B103" s="2" t="s">
        <v>384</v>
      </c>
      <c r="C103" s="2" t="s">
        <v>195</v>
      </c>
      <c r="D103" s="2" t="s">
        <v>50</v>
      </c>
      <c r="E103" s="5">
        <v>-30872</v>
      </c>
      <c r="F103" s="3" t="s">
        <v>167</v>
      </c>
      <c r="G103" s="3" t="s">
        <v>342</v>
      </c>
      <c r="H103" s="2" t="s">
        <v>72</v>
      </c>
      <c r="I103" s="2" t="s">
        <v>385</v>
      </c>
      <c r="J103" s="3" t="str">
        <f>HYPERLINK("https://www.boe.es/gazeta/dias/1815/06/22/pdfs/GMD-1815-75.pdf#page=8","Abrir facsímil")</f>
        <v>Abrir facsímil</v>
      </c>
      <c r="K103" s="3" t="s">
        <v>74</v>
      </c>
    </row>
    <row r="104" spans="1:11" ht="42" customHeight="1">
      <c r="A104" s="2" t="s">
        <v>386</v>
      </c>
      <c r="B104" s="2" t="s">
        <v>387</v>
      </c>
      <c r="C104" s="2" t="s">
        <v>31</v>
      </c>
      <c r="D104" s="2" t="s">
        <v>32</v>
      </c>
      <c r="E104" s="5">
        <v>-30872</v>
      </c>
      <c r="F104" s="3" t="s">
        <v>167</v>
      </c>
      <c r="G104" s="3" t="s">
        <v>224</v>
      </c>
      <c r="H104" s="2" t="s">
        <v>72</v>
      </c>
      <c r="I104" s="2" t="s">
        <v>388</v>
      </c>
      <c r="J104" s="3" t="str">
        <f>HYPERLINK("https://www.boe.es/gazeta/dias/1815/06/22/pdfs/GMD-1815-75.pdf#page=9","Abrir facsímil")</f>
        <v>Abrir facsímil</v>
      </c>
      <c r="K104" s="3" t="s">
        <v>74</v>
      </c>
    </row>
    <row r="105" spans="1:11" ht="42" customHeight="1">
      <c r="A105" s="2" t="s">
        <v>389</v>
      </c>
      <c r="B105" s="2" t="s">
        <v>390</v>
      </c>
      <c r="C105" s="2" t="s">
        <v>195</v>
      </c>
      <c r="D105" s="2" t="s">
        <v>50</v>
      </c>
      <c r="E105" s="5">
        <v>-30744</v>
      </c>
      <c r="F105" s="3" t="s">
        <v>391</v>
      </c>
      <c r="G105" s="3" t="s">
        <v>38</v>
      </c>
      <c r="H105" s="2" t="s">
        <v>72</v>
      </c>
      <c r="I105" s="2" t="s">
        <v>392</v>
      </c>
      <c r="J105" s="3" t="str">
        <f>HYPERLINK("https://www.boe.es/gazeta/dias/1815/10/28/pdfs/GMD-1815-135.pdf#page=8","Abrir facsímil")</f>
        <v>Abrir facsímil</v>
      </c>
      <c r="K105" s="3" t="s">
        <v>74</v>
      </c>
    </row>
    <row r="106" spans="1:11" ht="42" customHeight="1">
      <c r="A106" s="2" t="s">
        <v>393</v>
      </c>
      <c r="B106" s="2" t="s">
        <v>394</v>
      </c>
      <c r="C106" s="2" t="s">
        <v>31</v>
      </c>
      <c r="D106" s="2" t="s">
        <v>32</v>
      </c>
      <c r="E106" s="5">
        <v>-31038</v>
      </c>
      <c r="F106" s="3" t="s">
        <v>395</v>
      </c>
      <c r="G106" s="3" t="s">
        <v>396</v>
      </c>
      <c r="H106" s="2" t="s">
        <v>72</v>
      </c>
      <c r="I106" s="2" t="s">
        <v>397</v>
      </c>
      <c r="J106" s="3" t="str">
        <f>HYPERLINK("https://www.boe.es/gazeta/dias/1815/01/07/pdfs/GMD-1815-3.pdf#page=5","Abrir facsímil")</f>
        <v>Abrir facsímil</v>
      </c>
      <c r="K106" s="3" t="s">
        <v>74</v>
      </c>
    </row>
    <row r="107" spans="1:11" ht="42" customHeight="1">
      <c r="A107" s="2" t="s">
        <v>398</v>
      </c>
      <c r="B107" s="2" t="s">
        <v>399</v>
      </c>
      <c r="C107" s="2" t="s">
        <v>31</v>
      </c>
      <c r="D107" s="2" t="s">
        <v>32</v>
      </c>
      <c r="E107" s="5">
        <v>-30734</v>
      </c>
      <c r="F107" s="3" t="s">
        <v>376</v>
      </c>
      <c r="G107" s="3" t="s">
        <v>71</v>
      </c>
      <c r="H107" s="2" t="s">
        <v>72</v>
      </c>
      <c r="I107" s="2" t="s">
        <v>400</v>
      </c>
      <c r="J107" s="3" t="str">
        <f>HYPERLINK("https://www.boe.es/gazeta/dias/1815/11/07/pdfs/GMD-1815-139.pdf#page=7","Abrir facsímil")</f>
        <v>Abrir facsímil</v>
      </c>
      <c r="K107" s="3" t="s">
        <v>74</v>
      </c>
    </row>
    <row r="108" spans="1:11" ht="42" customHeight="1">
      <c r="A108" s="2" t="s">
        <v>401</v>
      </c>
      <c r="B108" s="2" t="s">
        <v>402</v>
      </c>
      <c r="C108" s="2" t="s">
        <v>49</v>
      </c>
      <c r="D108" s="2" t="s">
        <v>50</v>
      </c>
      <c r="E108" s="5">
        <v>-30886</v>
      </c>
      <c r="F108" s="3" t="s">
        <v>140</v>
      </c>
      <c r="G108" s="3" t="s">
        <v>224</v>
      </c>
      <c r="H108" s="2" t="s">
        <v>72</v>
      </c>
      <c r="I108" s="2" t="s">
        <v>403</v>
      </c>
      <c r="J108" s="3" t="str">
        <f>HYPERLINK("https://www.boe.es/gazeta/dias/1815/06/08/pdfs/GMD-1815-69.pdf#page=9","Abrir facsímil")</f>
        <v>Abrir facsímil</v>
      </c>
      <c r="K108" s="3" t="s">
        <v>74</v>
      </c>
    </row>
    <row r="109" spans="1:11" ht="42" customHeight="1">
      <c r="A109" s="2" t="s">
        <v>404</v>
      </c>
      <c r="B109" s="2" t="s">
        <v>404</v>
      </c>
      <c r="C109" s="2" t="s">
        <v>49</v>
      </c>
      <c r="D109" s="2" t="s">
        <v>50</v>
      </c>
      <c r="E109" s="5">
        <v>-31003</v>
      </c>
      <c r="F109" s="3" t="s">
        <v>405</v>
      </c>
      <c r="G109" s="3" t="s">
        <v>377</v>
      </c>
      <c r="H109" s="2" t="s">
        <v>72</v>
      </c>
      <c r="I109" s="2" t="s">
        <v>406</v>
      </c>
      <c r="J109" s="3" t="str">
        <f>HYPERLINK("https://www.boe.es/gazeta/dias/1815/02/11/pdfs/GMD-1815-18.pdf#page=2","Abrir facsímil")</f>
        <v>Abrir facsímil</v>
      </c>
      <c r="K109" s="3" t="s">
        <v>74</v>
      </c>
    </row>
    <row r="110" spans="1:11" ht="42" customHeight="1">
      <c r="A110" s="2" t="s">
        <v>407</v>
      </c>
      <c r="B110" s="2" t="s">
        <v>407</v>
      </c>
      <c r="C110" s="2" t="s">
        <v>49</v>
      </c>
      <c r="D110" s="2" t="s">
        <v>50</v>
      </c>
      <c r="E110" s="5">
        <v>-31040</v>
      </c>
      <c r="F110" s="3" t="s">
        <v>326</v>
      </c>
      <c r="G110" s="3" t="s">
        <v>377</v>
      </c>
      <c r="H110" s="2" t="s">
        <v>72</v>
      </c>
      <c r="I110" s="2" t="s">
        <v>408</v>
      </c>
      <c r="J110" s="3" t="str">
        <f>HYPERLINK("https://www.boe.es/gazeta/dias/1815/01/05/pdfs/GMD-1815-2.pdf#page=2","Abrir facsímil")</f>
        <v>Abrir facsímil</v>
      </c>
      <c r="K110" s="3" t="s">
        <v>74</v>
      </c>
    </row>
    <row r="111" spans="1:11" ht="42" customHeight="1">
      <c r="A111" s="2" t="s">
        <v>407</v>
      </c>
      <c r="B111" s="2" t="s">
        <v>407</v>
      </c>
      <c r="C111" s="2" t="s">
        <v>195</v>
      </c>
      <c r="D111" s="2" t="s">
        <v>50</v>
      </c>
      <c r="E111" s="5">
        <v>-30954</v>
      </c>
      <c r="F111" s="3" t="s">
        <v>409</v>
      </c>
      <c r="G111" s="3" t="s">
        <v>410</v>
      </c>
      <c r="H111" s="2" t="s">
        <v>72</v>
      </c>
      <c r="I111" s="2" t="s">
        <v>411</v>
      </c>
      <c r="J111" s="3" t="str">
        <f>HYPERLINK("https://www.boe.es/gazeta/dias/1815/04/01/pdfs/GMD-1815-39.pdf#page=1","Abrir facsímil")</f>
        <v>Abrir facsímil</v>
      </c>
      <c r="K111" s="3" t="s">
        <v>74</v>
      </c>
    </row>
    <row r="112" spans="1:11" ht="42" customHeight="1">
      <c r="A112" s="2" t="s">
        <v>407</v>
      </c>
      <c r="B112" s="2" t="s">
        <v>407</v>
      </c>
      <c r="C112" s="2" t="s">
        <v>49</v>
      </c>
      <c r="D112" s="2" t="s">
        <v>50</v>
      </c>
      <c r="E112" s="5">
        <v>-30944</v>
      </c>
      <c r="F112" s="3" t="s">
        <v>412</v>
      </c>
      <c r="G112" s="3" t="s">
        <v>413</v>
      </c>
      <c r="H112" s="2" t="s">
        <v>72</v>
      </c>
      <c r="I112" s="2" t="s">
        <v>414</v>
      </c>
      <c r="J112" s="3" t="str">
        <f>HYPERLINK("https://www.boe.es/gazeta/dias/1815/04/11/pdfs/GMD-1815-44.pdf#page=2","Abrir facsímil")</f>
        <v>Abrir facsímil</v>
      </c>
      <c r="K112" s="3" t="s">
        <v>74</v>
      </c>
    </row>
    <row r="113" spans="1:11" ht="42" customHeight="1">
      <c r="A113" s="2" t="s">
        <v>415</v>
      </c>
      <c r="B113" s="2" t="s">
        <v>416</v>
      </c>
      <c r="C113" s="2" t="s">
        <v>49</v>
      </c>
      <c r="D113" s="2" t="s">
        <v>50</v>
      </c>
      <c r="E113" s="5">
        <v>-31038</v>
      </c>
      <c r="F113" s="3" t="s">
        <v>395</v>
      </c>
      <c r="G113" s="3" t="s">
        <v>396</v>
      </c>
      <c r="H113" s="2" t="s">
        <v>72</v>
      </c>
      <c r="I113" s="2" t="s">
        <v>417</v>
      </c>
      <c r="J113" s="3" t="str">
        <f>HYPERLINK("https://www.boe.es/gazeta/dias/1815/01/07/pdfs/GMD-1815-3.pdf#page=5","Abrir facsímil")</f>
        <v>Abrir facsímil</v>
      </c>
      <c r="K113" s="3" t="s">
        <v>74</v>
      </c>
    </row>
    <row r="114" spans="1:11" ht="42" customHeight="1">
      <c r="A114" s="2" t="s">
        <v>418</v>
      </c>
      <c r="B114" s="2" t="s">
        <v>419</v>
      </c>
      <c r="C114" s="2" t="s">
        <v>17</v>
      </c>
      <c r="D114" s="2" t="s">
        <v>18</v>
      </c>
      <c r="E114" s="5">
        <v>-30949</v>
      </c>
      <c r="F114" s="3" t="s">
        <v>420</v>
      </c>
      <c r="G114" s="3" t="s">
        <v>27</v>
      </c>
      <c r="H114" s="2" t="s">
        <v>72</v>
      </c>
      <c r="I114" s="2" t="s">
        <v>421</v>
      </c>
      <c r="J114" s="3" t="str">
        <f>HYPERLINK("https://www.boe.es/gazeta/dias/1815/04/06/pdfs/GMD-1815-42.pdf#page=6","Abrir facsímil")</f>
        <v>Abrir facsímil</v>
      </c>
      <c r="K114" s="3" t="s">
        <v>74</v>
      </c>
    </row>
    <row r="115" spans="1:11" ht="42" customHeight="1">
      <c r="A115" s="2" t="s">
        <v>422</v>
      </c>
      <c r="B115" s="2" t="s">
        <v>422</v>
      </c>
      <c r="C115" s="2" t="s">
        <v>17</v>
      </c>
      <c r="D115" s="2" t="s">
        <v>18</v>
      </c>
      <c r="E115" s="5">
        <v>-30783</v>
      </c>
      <c r="F115" s="3" t="s">
        <v>423</v>
      </c>
      <c r="G115" s="3" t="s">
        <v>410</v>
      </c>
      <c r="H115" s="2" t="s">
        <v>72</v>
      </c>
      <c r="I115" s="2" t="s">
        <v>424</v>
      </c>
      <c r="J115" s="3" t="str">
        <f>HYPERLINK("https://www.boe.es/gazeta/dias/1815/09/19/pdfs/GMD-1815-116.pdf#page=1","Abrir facsímil")</f>
        <v>Abrir facsímil</v>
      </c>
      <c r="K115" s="3" t="s">
        <v>74</v>
      </c>
    </row>
    <row r="116" spans="1:11" ht="42" customHeight="1">
      <c r="A116" s="2" t="s">
        <v>425</v>
      </c>
      <c r="B116" s="2" t="s">
        <v>426</v>
      </c>
      <c r="C116" s="2" t="s">
        <v>49</v>
      </c>
      <c r="D116" s="2" t="s">
        <v>50</v>
      </c>
      <c r="E116" s="5">
        <v>-30870</v>
      </c>
      <c r="F116" s="3" t="s">
        <v>122</v>
      </c>
      <c r="G116" s="3" t="s">
        <v>52</v>
      </c>
      <c r="H116" s="2" t="s">
        <v>72</v>
      </c>
      <c r="I116" s="2" t="s">
        <v>427</v>
      </c>
      <c r="J116" s="3" t="str">
        <f>HYPERLINK("https://www.boe.es/gazeta/dias/1815/06/24/pdfs/GMD-1815-76.pdf#page=11","Abrir facsímil")</f>
        <v>Abrir facsímil</v>
      </c>
      <c r="K116" s="3" t="s">
        <v>74</v>
      </c>
    </row>
    <row r="117" spans="1:11" ht="42" customHeight="1">
      <c r="A117" s="2" t="s">
        <v>428</v>
      </c>
      <c r="B117" s="2" t="s">
        <v>429</v>
      </c>
      <c r="C117" s="2" t="s">
        <v>49</v>
      </c>
      <c r="D117" s="2" t="s">
        <v>50</v>
      </c>
      <c r="E117" s="5">
        <v>-30863</v>
      </c>
      <c r="F117" s="3" t="s">
        <v>110</v>
      </c>
      <c r="G117" s="3" t="s">
        <v>224</v>
      </c>
      <c r="H117" s="2" t="s">
        <v>72</v>
      </c>
      <c r="I117" s="2" t="s">
        <v>430</v>
      </c>
      <c r="J117" s="3" t="str">
        <f>HYPERLINK("https://www.boe.es/gazeta/dias/1815/07/01/pdfs/GMD-1815-79.pdf#page=9","Abrir facsímil")</f>
        <v>Abrir facsímil</v>
      </c>
      <c r="K117" s="3" t="s">
        <v>74</v>
      </c>
    </row>
    <row r="118" spans="1:11" ht="42" customHeight="1">
      <c r="A118" s="2" t="s">
        <v>431</v>
      </c>
      <c r="B118" s="2" t="s">
        <v>432</v>
      </c>
      <c r="C118" s="2" t="s">
        <v>49</v>
      </c>
      <c r="D118" s="2" t="s">
        <v>50</v>
      </c>
      <c r="E118" s="5">
        <v>-30865</v>
      </c>
      <c r="F118" s="3" t="s">
        <v>163</v>
      </c>
      <c r="G118" s="3" t="s">
        <v>71</v>
      </c>
      <c r="H118" s="2" t="s">
        <v>72</v>
      </c>
      <c r="I118" s="2" t="s">
        <v>433</v>
      </c>
      <c r="J118" s="3" t="str">
        <f>HYPERLINK("https://www.boe.es/gazeta/dias/1815/06/29/pdfs/GMD-1815-78.pdf#page=7","Abrir facsímil")</f>
        <v>Abrir facsímil</v>
      </c>
      <c r="K118" s="3" t="s">
        <v>74</v>
      </c>
    </row>
    <row r="119" spans="1:11" ht="42" customHeight="1">
      <c r="A119" s="2" t="s">
        <v>434</v>
      </c>
      <c r="B119" s="2" t="s">
        <v>435</v>
      </c>
      <c r="C119" s="2" t="s">
        <v>61</v>
      </c>
      <c r="D119" s="2" t="s">
        <v>50</v>
      </c>
      <c r="E119" s="5">
        <v>-30970</v>
      </c>
      <c r="F119" s="3" t="s">
        <v>436</v>
      </c>
      <c r="G119" s="3" t="s">
        <v>38</v>
      </c>
      <c r="H119" s="2" t="s">
        <v>72</v>
      </c>
      <c r="I119" s="2" t="s">
        <v>437</v>
      </c>
      <c r="J119" s="3" t="str">
        <f>HYPERLINK("https://www.boe.es/gazeta/dias/1815/03/16/pdfs/GMD-1815-32.pdf#page=8","Abrir facsímil")</f>
        <v>Abrir facsímil</v>
      </c>
      <c r="K119" s="3" t="s">
        <v>74</v>
      </c>
    </row>
    <row r="120" spans="1:11" ht="42" customHeight="1">
      <c r="A120" s="2" t="s">
        <v>434</v>
      </c>
      <c r="B120" s="2" t="s">
        <v>435</v>
      </c>
      <c r="C120" s="2" t="s">
        <v>81</v>
      </c>
      <c r="D120" s="2" t="s">
        <v>50</v>
      </c>
      <c r="E120" s="5">
        <v>-30711</v>
      </c>
      <c r="F120" s="3" t="s">
        <v>438</v>
      </c>
      <c r="G120" s="3" t="s">
        <v>38</v>
      </c>
      <c r="H120" s="2" t="s">
        <v>72</v>
      </c>
      <c r="I120" s="2" t="s">
        <v>439</v>
      </c>
      <c r="J120" s="3" t="str">
        <f>HYPERLINK("https://www.boe.es/gazeta/dias/1815/11/30/pdfs/GMD-1815-149.pdf#page=8","Abrir facsímil")</f>
        <v>Abrir facsímil</v>
      </c>
      <c r="K120" s="3" t="s">
        <v>74</v>
      </c>
    </row>
    <row r="121" spans="1:11" ht="42" customHeight="1">
      <c r="A121" s="2" t="s">
        <v>440</v>
      </c>
      <c r="B121" s="2" t="s">
        <v>441</v>
      </c>
      <c r="C121" s="2" t="s">
        <v>31</v>
      </c>
      <c r="D121" s="2" t="s">
        <v>32</v>
      </c>
      <c r="E121" s="5">
        <v>-30851</v>
      </c>
      <c r="F121" s="3" t="s">
        <v>442</v>
      </c>
      <c r="G121" s="3" t="s">
        <v>27</v>
      </c>
      <c r="H121" s="2" t="s">
        <v>72</v>
      </c>
      <c r="I121" s="2" t="s">
        <v>443</v>
      </c>
      <c r="J121" s="3" t="str">
        <f>HYPERLINK("https://www.boe.es/gazeta/dias/1815/07/13/pdfs/GMD-1815-86.pdf#page=6","Abrir facsímil")</f>
        <v>Abrir facsímil</v>
      </c>
      <c r="K121" s="3" t="s">
        <v>74</v>
      </c>
    </row>
    <row r="122" spans="1:11" ht="42" customHeight="1">
      <c r="A122" s="2" t="s">
        <v>444</v>
      </c>
      <c r="B122" s="2" t="s">
        <v>445</v>
      </c>
      <c r="C122" s="2" t="s">
        <v>17</v>
      </c>
      <c r="D122" s="2" t="s">
        <v>18</v>
      </c>
      <c r="E122" s="5">
        <v>-30881</v>
      </c>
      <c r="F122" s="3" t="s">
        <v>446</v>
      </c>
      <c r="G122" s="3" t="s">
        <v>71</v>
      </c>
      <c r="H122" s="2" t="s">
        <v>72</v>
      </c>
      <c r="I122" s="2" t="s">
        <v>447</v>
      </c>
      <c r="J122" s="3" t="str">
        <f>HYPERLINK("https://www.boe.es/gazeta/dias/1815/06/13/pdfs/GMD-1815-71.pdf#page=7","Abrir facsímil")</f>
        <v>Abrir facsímil</v>
      </c>
      <c r="K122" s="3" t="s">
        <v>74</v>
      </c>
    </row>
    <row r="123" spans="1:11" ht="42" customHeight="1">
      <c r="A123" s="2" t="s">
        <v>448</v>
      </c>
      <c r="B123" s="2" t="s">
        <v>449</v>
      </c>
      <c r="C123" s="2" t="s">
        <v>17</v>
      </c>
      <c r="D123" s="2" t="s">
        <v>18</v>
      </c>
      <c r="E123" s="5">
        <v>-30818</v>
      </c>
      <c r="F123" s="3" t="s">
        <v>334</v>
      </c>
      <c r="G123" s="3" t="s">
        <v>52</v>
      </c>
      <c r="H123" s="2" t="s">
        <v>72</v>
      </c>
      <c r="I123" s="2" t="s">
        <v>450</v>
      </c>
      <c r="J123" s="3" t="str">
        <f>HYPERLINK("https://www.boe.es/gazeta/dias/1815/08/15/pdfs/GMD-1815-100.pdf#page=11","Abrir facsímil")</f>
        <v>Abrir facsímil</v>
      </c>
      <c r="K123" s="3" t="s">
        <v>74</v>
      </c>
    </row>
    <row r="124" spans="1:11" ht="42" customHeight="1">
      <c r="A124" s="2" t="s">
        <v>451</v>
      </c>
      <c r="B124" s="2" t="s">
        <v>452</v>
      </c>
      <c r="C124" s="2" t="s">
        <v>17</v>
      </c>
      <c r="D124" s="2" t="s">
        <v>18</v>
      </c>
      <c r="E124" s="5">
        <v>-30865</v>
      </c>
      <c r="F124" s="3" t="s">
        <v>163</v>
      </c>
      <c r="G124" s="3" t="s">
        <v>71</v>
      </c>
      <c r="H124" s="2" t="s">
        <v>72</v>
      </c>
      <c r="I124" s="2" t="s">
        <v>453</v>
      </c>
      <c r="J124" s="3" t="str">
        <f>HYPERLINK("https://www.boe.es/gazeta/dias/1815/06/29/pdfs/GMD-1815-78.pdf#page=7","Abrir facsímil")</f>
        <v>Abrir facsímil</v>
      </c>
      <c r="K124" s="3" t="s">
        <v>74</v>
      </c>
    </row>
    <row r="125" spans="1:11" ht="42" customHeight="1">
      <c r="A125" s="2" t="s">
        <v>454</v>
      </c>
      <c r="B125" s="2" t="s">
        <v>455</v>
      </c>
      <c r="C125" s="2" t="s">
        <v>17</v>
      </c>
      <c r="D125" s="2" t="s">
        <v>18</v>
      </c>
      <c r="E125" s="5">
        <v>-31017</v>
      </c>
      <c r="F125" s="3" t="s">
        <v>456</v>
      </c>
      <c r="G125" s="3" t="s">
        <v>20</v>
      </c>
      <c r="H125" s="2" t="s">
        <v>72</v>
      </c>
      <c r="I125" s="2" t="s">
        <v>457</v>
      </c>
      <c r="J125" s="3" t="str">
        <f>HYPERLINK("https://www.boe.es/gazeta/dias/1815/01/28/pdfs/GMD-1815-12.pdf#page=4","Abrir facsímil")</f>
        <v>Abrir facsímil</v>
      </c>
      <c r="K125" s="3" t="s">
        <v>74</v>
      </c>
    </row>
    <row r="126" spans="1:11" ht="42" customHeight="1">
      <c r="A126" s="2" t="s">
        <v>458</v>
      </c>
      <c r="B126" s="2" t="s">
        <v>459</v>
      </c>
      <c r="C126" s="2" t="s">
        <v>31</v>
      </c>
      <c r="D126" s="2" t="s">
        <v>32</v>
      </c>
      <c r="E126" s="5">
        <v>-30982</v>
      </c>
      <c r="F126" s="3" t="s">
        <v>220</v>
      </c>
      <c r="G126" s="3" t="s">
        <v>57</v>
      </c>
      <c r="H126" s="2" t="s">
        <v>72</v>
      </c>
      <c r="I126" s="2" t="s">
        <v>460</v>
      </c>
      <c r="J126" s="3" t="str">
        <f>HYPERLINK("https://www.boe.es/gazeta/dias/1815/03/04/pdfs/GMD-1815-27.pdf#page=5","Abrir facsímil")</f>
        <v>Abrir facsímil</v>
      </c>
      <c r="K126" s="3" t="s">
        <v>74</v>
      </c>
    </row>
    <row r="127" spans="1:11" ht="42" customHeight="1">
      <c r="A127" s="2" t="s">
        <v>461</v>
      </c>
      <c r="B127" s="2" t="s">
        <v>462</v>
      </c>
      <c r="C127" s="2" t="s">
        <v>49</v>
      </c>
      <c r="D127" s="2" t="s">
        <v>50</v>
      </c>
      <c r="E127" s="5">
        <v>-30865</v>
      </c>
      <c r="F127" s="3" t="s">
        <v>163</v>
      </c>
      <c r="G127" s="3" t="s">
        <v>71</v>
      </c>
      <c r="H127" s="2" t="s">
        <v>72</v>
      </c>
      <c r="I127" s="2" t="s">
        <v>463</v>
      </c>
      <c r="J127" s="3" t="str">
        <f>HYPERLINK("https://www.boe.es/gazeta/dias/1815/06/29/pdfs/GMD-1815-78.pdf#page=7","Abrir facsímil")</f>
        <v>Abrir facsímil</v>
      </c>
      <c r="K127" s="3" t="s">
        <v>74</v>
      </c>
    </row>
    <row r="128" spans="1:11" ht="42" customHeight="1">
      <c r="A128" s="2" t="s">
        <v>464</v>
      </c>
      <c r="B128" s="2" t="s">
        <v>465</v>
      </c>
      <c r="C128" s="2" t="s">
        <v>61</v>
      </c>
      <c r="D128" s="2" t="s">
        <v>50</v>
      </c>
      <c r="E128" s="5">
        <v>-31024</v>
      </c>
      <c r="F128" s="3" t="s">
        <v>101</v>
      </c>
      <c r="G128" s="3" t="s">
        <v>258</v>
      </c>
      <c r="H128" s="2" t="s">
        <v>72</v>
      </c>
      <c r="I128" s="2" t="s">
        <v>466</v>
      </c>
      <c r="J128" s="3" t="str">
        <f>HYPERLINK("https://www.boe.es/gazeta/dias/1815/01/21/pdfs/GMD-1815-9.pdf#page=6","Abrir facsímil")</f>
        <v>Abrir facsímil</v>
      </c>
      <c r="K128" s="3" t="s">
        <v>74</v>
      </c>
    </row>
    <row r="129" spans="1:11" ht="42" customHeight="1">
      <c r="A129" s="2" t="s">
        <v>467</v>
      </c>
      <c r="B129" s="2" t="s">
        <v>468</v>
      </c>
      <c r="C129" s="2" t="s">
        <v>49</v>
      </c>
      <c r="D129" s="2" t="s">
        <v>50</v>
      </c>
      <c r="E129" s="5">
        <v>-30865</v>
      </c>
      <c r="F129" s="3" t="s">
        <v>163</v>
      </c>
      <c r="G129" s="3" t="s">
        <v>71</v>
      </c>
      <c r="H129" s="2" t="s">
        <v>72</v>
      </c>
      <c r="I129" s="2" t="s">
        <v>469</v>
      </c>
      <c r="J129" s="3" t="str">
        <f>HYPERLINK("https://www.boe.es/gazeta/dias/1815/06/29/pdfs/GMD-1815-78.pdf#page=7","Abrir facsímil")</f>
        <v>Abrir facsímil</v>
      </c>
      <c r="K129" s="3" t="s">
        <v>74</v>
      </c>
    </row>
    <row r="130" spans="1:11" ht="42" customHeight="1">
      <c r="A130" s="2" t="s">
        <v>470</v>
      </c>
      <c r="B130" s="2" t="s">
        <v>471</v>
      </c>
      <c r="C130" s="2" t="s">
        <v>81</v>
      </c>
      <c r="D130" s="2" t="s">
        <v>50</v>
      </c>
      <c r="E130" s="5">
        <v>-30860</v>
      </c>
      <c r="F130" s="3" t="s">
        <v>184</v>
      </c>
      <c r="G130" s="3" t="s">
        <v>472</v>
      </c>
      <c r="H130" s="2" t="s">
        <v>72</v>
      </c>
      <c r="I130" s="2" t="s">
        <v>473</v>
      </c>
      <c r="J130" s="3" t="str">
        <f>HYPERLINK("https://www.boe.es/gazeta/dias/1815/07/04/pdfs/GMD-1815-81.pdf#page=8","Abrir facsímil")</f>
        <v>Abrir facsímil</v>
      </c>
      <c r="K130" s="3" t="s">
        <v>74</v>
      </c>
    </row>
    <row r="131" spans="1:11" ht="42" customHeight="1">
      <c r="A131" s="2" t="s">
        <v>474</v>
      </c>
      <c r="B131" s="2" t="s">
        <v>475</v>
      </c>
      <c r="C131" s="2" t="s">
        <v>49</v>
      </c>
      <c r="D131" s="2" t="s">
        <v>50</v>
      </c>
      <c r="E131" s="5">
        <v>-30886</v>
      </c>
      <c r="F131" s="3" t="s">
        <v>140</v>
      </c>
      <c r="G131" s="3" t="s">
        <v>224</v>
      </c>
      <c r="H131" s="2" t="s">
        <v>72</v>
      </c>
      <c r="I131" s="2" t="s">
        <v>476</v>
      </c>
      <c r="J131" s="3" t="str">
        <f>HYPERLINK("https://www.boe.es/gazeta/dias/1815/06/08/pdfs/GMD-1815-69.pdf#page=9","Abrir facsímil")</f>
        <v>Abrir facsímil</v>
      </c>
      <c r="K131" s="3" t="s">
        <v>74</v>
      </c>
    </row>
    <row r="132" spans="1:11" ht="42" customHeight="1">
      <c r="A132" s="2" t="s">
        <v>477</v>
      </c>
      <c r="B132" s="2" t="s">
        <v>478</v>
      </c>
      <c r="C132" s="2" t="s">
        <v>49</v>
      </c>
      <c r="D132" s="2" t="s">
        <v>50</v>
      </c>
      <c r="E132" s="5">
        <v>-30886</v>
      </c>
      <c r="F132" s="3" t="s">
        <v>140</v>
      </c>
      <c r="G132" s="3" t="s">
        <v>224</v>
      </c>
      <c r="H132" s="2" t="s">
        <v>72</v>
      </c>
      <c r="I132" s="2" t="s">
        <v>479</v>
      </c>
      <c r="J132" s="3" t="str">
        <f>HYPERLINK("https://www.boe.es/gazeta/dias/1815/06/08/pdfs/GMD-1815-69.pdf#page=9","Abrir facsímil")</f>
        <v>Abrir facsímil</v>
      </c>
      <c r="K132" s="3" t="s">
        <v>74</v>
      </c>
    </row>
    <row r="133" spans="1:11" ht="42" customHeight="1">
      <c r="A133" s="2" t="s">
        <v>480</v>
      </c>
      <c r="B133" s="2" t="s">
        <v>480</v>
      </c>
      <c r="C133" s="2" t="s">
        <v>17</v>
      </c>
      <c r="D133" s="2" t="s">
        <v>18</v>
      </c>
      <c r="E133" s="5">
        <v>-31021</v>
      </c>
      <c r="F133" s="3" t="s">
        <v>481</v>
      </c>
      <c r="G133" s="3" t="s">
        <v>410</v>
      </c>
      <c r="H133" s="2" t="s">
        <v>72</v>
      </c>
      <c r="I133" s="2" t="s">
        <v>482</v>
      </c>
      <c r="J133" s="3" t="str">
        <f>HYPERLINK("https://www.boe.es/gazeta/dias/1815/01/24/pdfs/GMD-1815-10.pdf#page=1","Abrir facsímil")</f>
        <v>Abrir facsímil</v>
      </c>
      <c r="K133" s="3" t="s">
        <v>74</v>
      </c>
    </row>
    <row r="134" spans="1:11" ht="42" customHeight="1">
      <c r="A134" s="2" t="s">
        <v>483</v>
      </c>
      <c r="B134" s="2" t="s">
        <v>484</v>
      </c>
      <c r="C134" s="2" t="s">
        <v>31</v>
      </c>
      <c r="D134" s="2" t="s">
        <v>32</v>
      </c>
      <c r="E134" s="5">
        <v>-30863</v>
      </c>
      <c r="F134" s="3" t="s">
        <v>110</v>
      </c>
      <c r="G134" s="3" t="s">
        <v>88</v>
      </c>
      <c r="H134" s="2" t="s">
        <v>72</v>
      </c>
      <c r="I134" s="2" t="s">
        <v>485</v>
      </c>
      <c r="J134" s="3" t="str">
        <f>HYPERLINK("https://www.boe.es/gazeta/dias/1815/07/01/pdfs/GMD-1815-79.pdf#page=10","Abrir facsímil")</f>
        <v>Abrir facsímil</v>
      </c>
      <c r="K134" s="3" t="s">
        <v>74</v>
      </c>
    </row>
    <row r="135" spans="1:11" ht="42" customHeight="1">
      <c r="A135" s="2" t="s">
        <v>486</v>
      </c>
      <c r="B135" s="2" t="s">
        <v>487</v>
      </c>
      <c r="C135" s="2" t="s">
        <v>31</v>
      </c>
      <c r="D135" s="2" t="s">
        <v>32</v>
      </c>
      <c r="E135" s="5">
        <v>-30937</v>
      </c>
      <c r="F135" s="3" t="s">
        <v>322</v>
      </c>
      <c r="G135" s="3" t="s">
        <v>27</v>
      </c>
      <c r="H135" s="2" t="s">
        <v>21</v>
      </c>
      <c r="I135" s="2" t="s">
        <v>488</v>
      </c>
      <c r="J135" s="3" t="str">
        <f>HYPERLINK("https://www.boe.es/gazeta/dias/1815/04/18/pdfs/GMD-1815-47.pdf#page=6","Abrir facsímil")</f>
        <v>Abrir facsímil</v>
      </c>
      <c r="K135" s="3" t="s">
        <v>23</v>
      </c>
    </row>
    <row r="136" spans="1:11" ht="42" customHeight="1">
      <c r="A136" s="2" t="s">
        <v>489</v>
      </c>
      <c r="B136" s="2" t="s">
        <v>490</v>
      </c>
      <c r="C136" s="2" t="s">
        <v>195</v>
      </c>
      <c r="D136" s="2" t="s">
        <v>50</v>
      </c>
      <c r="E136" s="5">
        <v>-30914</v>
      </c>
      <c r="F136" s="3" t="s">
        <v>338</v>
      </c>
      <c r="G136" s="3" t="s">
        <v>88</v>
      </c>
      <c r="H136" s="2" t="s">
        <v>72</v>
      </c>
      <c r="I136" s="2" t="s">
        <v>491</v>
      </c>
      <c r="J136" s="3" t="str">
        <f>HYPERLINK("https://www.boe.es/gazeta/dias/1815/05/11/pdfs/GMD-1815-57.pdf#page=10","Abrir facsímil")</f>
        <v>Abrir facsímil</v>
      </c>
      <c r="K136" s="3" t="s">
        <v>74</v>
      </c>
    </row>
    <row r="137" spans="1:11" ht="42" customHeight="1">
      <c r="A137" s="2" t="s">
        <v>492</v>
      </c>
      <c r="B137" s="2" t="s">
        <v>492</v>
      </c>
      <c r="C137" s="2" t="s">
        <v>31</v>
      </c>
      <c r="D137" s="2" t="s">
        <v>32</v>
      </c>
      <c r="E137" s="5">
        <v>-31033</v>
      </c>
      <c r="F137" s="3" t="s">
        <v>493</v>
      </c>
      <c r="G137" s="3" t="s">
        <v>410</v>
      </c>
      <c r="H137" s="2" t="s">
        <v>72</v>
      </c>
      <c r="I137" s="2" t="s">
        <v>494</v>
      </c>
      <c r="J137" s="3" t="str">
        <f>HYPERLINK("https://www.boe.es/gazeta/dias/1815/01/12/pdfs/GMD-1815-5.pdf#page=1","Abrir facsímil")</f>
        <v>Abrir facsímil</v>
      </c>
      <c r="K137" s="3" t="s">
        <v>74</v>
      </c>
    </row>
    <row r="138" spans="1:11" ht="42" customHeight="1">
      <c r="A138" s="2" t="s">
        <v>492</v>
      </c>
      <c r="B138" s="2" t="s">
        <v>492</v>
      </c>
      <c r="C138" s="2" t="s">
        <v>31</v>
      </c>
      <c r="D138" s="2" t="s">
        <v>32</v>
      </c>
      <c r="E138" s="5">
        <v>-30956</v>
      </c>
      <c r="F138" s="3" t="s">
        <v>495</v>
      </c>
      <c r="G138" s="3" t="s">
        <v>27</v>
      </c>
      <c r="H138" s="2" t="s">
        <v>72</v>
      </c>
      <c r="I138" s="2" t="s">
        <v>496</v>
      </c>
      <c r="J138" s="3" t="str">
        <f>HYPERLINK("https://www.boe.es/gazeta/dias/1815/03/30/pdfs/GMD-1815-38.pdf#page=6","Abrir facsímil")</f>
        <v>Abrir facsímil</v>
      </c>
      <c r="K138" s="3" t="s">
        <v>74</v>
      </c>
    </row>
    <row r="139" spans="1:11" ht="42" customHeight="1">
      <c r="A139" s="2" t="s">
        <v>492</v>
      </c>
      <c r="B139" s="2" t="s">
        <v>492</v>
      </c>
      <c r="C139" s="2" t="s">
        <v>31</v>
      </c>
      <c r="D139" s="2" t="s">
        <v>32</v>
      </c>
      <c r="E139" s="5">
        <v>-30914</v>
      </c>
      <c r="F139" s="3" t="s">
        <v>338</v>
      </c>
      <c r="G139" s="3" t="s">
        <v>377</v>
      </c>
      <c r="H139" s="2" t="s">
        <v>72</v>
      </c>
      <c r="I139" s="2" t="s">
        <v>497</v>
      </c>
      <c r="J139" s="3" t="str">
        <f>HYPERLINK("https://www.boe.es/gazeta/dias/1815/05/11/pdfs/GMD-1815-57.pdf#page=2","Abrir facsímil")</f>
        <v>Abrir facsímil</v>
      </c>
      <c r="K139" s="3" t="s">
        <v>74</v>
      </c>
    </row>
    <row r="140" spans="1:11" ht="42" customHeight="1">
      <c r="A140" s="2" t="s">
        <v>492</v>
      </c>
      <c r="B140" s="2" t="s">
        <v>492</v>
      </c>
      <c r="C140" s="2" t="s">
        <v>31</v>
      </c>
      <c r="D140" s="2" t="s">
        <v>32</v>
      </c>
      <c r="E140" s="5">
        <v>-30891</v>
      </c>
      <c r="F140" s="3" t="s">
        <v>498</v>
      </c>
      <c r="G140" s="3" t="s">
        <v>57</v>
      </c>
      <c r="H140" s="2" t="s">
        <v>72</v>
      </c>
      <c r="I140" s="2" t="s">
        <v>499</v>
      </c>
      <c r="J140" s="3" t="str">
        <f>HYPERLINK("https://www.boe.es/gazeta/dias/1815/06/03/pdfs/GMD-1815-67.pdf#page=5","Abrir facsímil")</f>
        <v>Abrir facsímil</v>
      </c>
      <c r="K140" s="3" t="s">
        <v>74</v>
      </c>
    </row>
    <row r="141" spans="1:11" ht="42" customHeight="1">
      <c r="A141" s="2" t="s">
        <v>500</v>
      </c>
      <c r="B141" s="2" t="s">
        <v>500</v>
      </c>
      <c r="C141" s="2" t="s">
        <v>31</v>
      </c>
      <c r="D141" s="2" t="s">
        <v>32</v>
      </c>
      <c r="E141" s="5">
        <v>-30849</v>
      </c>
      <c r="F141" s="3" t="s">
        <v>501</v>
      </c>
      <c r="G141" s="3" t="s">
        <v>88</v>
      </c>
      <c r="H141" s="2" t="s">
        <v>72</v>
      </c>
      <c r="I141" s="2" t="s">
        <v>502</v>
      </c>
      <c r="J141" s="3" t="str">
        <f>HYPERLINK("https://www.boe.es/gazeta/dias/1815/07/15/pdfs/GMD-1815-87.pdf#page=10","Abrir facsímil")</f>
        <v>Abrir facsímil</v>
      </c>
      <c r="K141" s="3" t="s">
        <v>74</v>
      </c>
    </row>
    <row r="142" spans="1:11" ht="42" customHeight="1">
      <c r="A142" s="2" t="s">
        <v>503</v>
      </c>
      <c r="B142" s="2" t="s">
        <v>504</v>
      </c>
      <c r="C142" s="2" t="s">
        <v>49</v>
      </c>
      <c r="D142" s="2" t="s">
        <v>50</v>
      </c>
      <c r="E142" s="5">
        <v>-30886</v>
      </c>
      <c r="F142" s="3" t="s">
        <v>140</v>
      </c>
      <c r="G142" s="3" t="s">
        <v>224</v>
      </c>
      <c r="H142" s="2" t="s">
        <v>72</v>
      </c>
      <c r="I142" s="2" t="s">
        <v>505</v>
      </c>
      <c r="J142" s="3" t="str">
        <f>HYPERLINK("https://www.boe.es/gazeta/dias/1815/06/08/pdfs/GMD-1815-69.pdf#page=9","Abrir facsímil")</f>
        <v>Abrir facsímil</v>
      </c>
      <c r="K142" s="3" t="s">
        <v>74</v>
      </c>
    </row>
    <row r="143" spans="1:11" ht="42" customHeight="1">
      <c r="A143" s="2" t="s">
        <v>506</v>
      </c>
      <c r="B143" s="2" t="s">
        <v>507</v>
      </c>
      <c r="C143" s="2" t="s">
        <v>31</v>
      </c>
      <c r="D143" s="2" t="s">
        <v>32</v>
      </c>
      <c r="E143" s="5">
        <v>-30692</v>
      </c>
      <c r="F143" s="3" t="s">
        <v>508</v>
      </c>
      <c r="G143" s="3" t="s">
        <v>509</v>
      </c>
      <c r="H143" s="2" t="s">
        <v>72</v>
      </c>
      <c r="I143" s="2" t="s">
        <v>510</v>
      </c>
      <c r="J143" s="3" t="str">
        <f>HYPERLINK("https://www.boe.es/gazeta/dias/1815/12/19/pdfs/GMD-1815-157.pdf#page=6","Abrir facsímil")</f>
        <v>Abrir facsímil</v>
      </c>
      <c r="K143" s="3" t="s">
        <v>74</v>
      </c>
    </row>
    <row r="144" spans="1:11" ht="42" customHeight="1">
      <c r="A144" s="2" t="s">
        <v>511</v>
      </c>
      <c r="B144" s="2" t="s">
        <v>511</v>
      </c>
      <c r="C144" s="2" t="s">
        <v>61</v>
      </c>
      <c r="D144" s="2" t="s">
        <v>50</v>
      </c>
      <c r="E144" s="5">
        <v>-31042</v>
      </c>
      <c r="F144" s="3" t="s">
        <v>512</v>
      </c>
      <c r="G144" s="3" t="s">
        <v>377</v>
      </c>
      <c r="H144" s="2" t="s">
        <v>72</v>
      </c>
      <c r="I144" s="2" t="s">
        <v>513</v>
      </c>
      <c r="J144" s="3" t="str">
        <f>HYPERLINK("https://www.boe.es/gazeta/dias/1815/01/03/pdfs/GMD-1815-1.pdf#page=2","Abrir facsímil")</f>
        <v>Abrir facsímil</v>
      </c>
      <c r="K144" s="3" t="s">
        <v>74</v>
      </c>
    </row>
    <row r="145" spans="1:11" ht="42" customHeight="1">
      <c r="A145" s="2" t="s">
        <v>514</v>
      </c>
      <c r="B145" s="2" t="s">
        <v>514</v>
      </c>
      <c r="C145" s="2" t="s">
        <v>17</v>
      </c>
      <c r="D145" s="2" t="s">
        <v>18</v>
      </c>
      <c r="E145" s="5">
        <v>-31033</v>
      </c>
      <c r="F145" s="3" t="s">
        <v>493</v>
      </c>
      <c r="G145" s="3" t="s">
        <v>377</v>
      </c>
      <c r="H145" s="2" t="s">
        <v>72</v>
      </c>
      <c r="I145" s="2" t="s">
        <v>515</v>
      </c>
      <c r="J145" s="3" t="str">
        <f>HYPERLINK("https://www.boe.es/gazeta/dias/1815/01/12/pdfs/GMD-1815-5.pdf#page=2","Abrir facsímil")</f>
        <v>Abrir facsímil</v>
      </c>
      <c r="K145" s="3" t="s">
        <v>74</v>
      </c>
    </row>
    <row r="146" spans="1:11" ht="42" customHeight="1">
      <c r="A146" s="2" t="s">
        <v>511</v>
      </c>
      <c r="B146" s="2" t="s">
        <v>511</v>
      </c>
      <c r="C146" s="2" t="s">
        <v>49</v>
      </c>
      <c r="D146" s="2" t="s">
        <v>50</v>
      </c>
      <c r="E146" s="5">
        <v>-31031</v>
      </c>
      <c r="F146" s="3" t="s">
        <v>105</v>
      </c>
      <c r="G146" s="3" t="s">
        <v>377</v>
      </c>
      <c r="H146" s="2" t="s">
        <v>72</v>
      </c>
      <c r="I146" s="2" t="s">
        <v>516</v>
      </c>
      <c r="J146" s="3" t="str">
        <f>HYPERLINK("https://www.boe.es/gazeta/dias/1815/01/14/pdfs/GMD-1815-6.pdf#page=2","Abrir facsímil")</f>
        <v>Abrir facsímil</v>
      </c>
      <c r="K146" s="3" t="s">
        <v>74</v>
      </c>
    </row>
    <row r="147" spans="1:11" ht="42" customHeight="1">
      <c r="A147" s="2" t="s">
        <v>511</v>
      </c>
      <c r="B147" s="2" t="s">
        <v>511</v>
      </c>
      <c r="C147" s="2" t="s">
        <v>49</v>
      </c>
      <c r="D147" s="2" t="s">
        <v>50</v>
      </c>
      <c r="E147" s="5">
        <v>-31028</v>
      </c>
      <c r="F147" s="3" t="s">
        <v>517</v>
      </c>
      <c r="G147" s="3" t="s">
        <v>410</v>
      </c>
      <c r="H147" s="2" t="s">
        <v>72</v>
      </c>
      <c r="I147" s="2" t="s">
        <v>518</v>
      </c>
      <c r="J147" s="3" t="str">
        <f>HYPERLINK("https://www.boe.es/gazeta/dias/1815/01/17/pdfs/GMD-1815-7.pdf#page=1","Abrir facsímil")</f>
        <v>Abrir facsímil</v>
      </c>
      <c r="K147" s="3" t="s">
        <v>74</v>
      </c>
    </row>
    <row r="148" spans="1:11" ht="42" customHeight="1">
      <c r="A148" s="2" t="s">
        <v>511</v>
      </c>
      <c r="B148" s="2" t="s">
        <v>511</v>
      </c>
      <c r="C148" s="2" t="s">
        <v>31</v>
      </c>
      <c r="D148" s="2" t="s">
        <v>32</v>
      </c>
      <c r="E148" s="5">
        <v>-30935</v>
      </c>
      <c r="F148" s="3" t="s">
        <v>519</v>
      </c>
      <c r="G148" s="3" t="s">
        <v>520</v>
      </c>
      <c r="H148" s="2" t="s">
        <v>72</v>
      </c>
      <c r="I148" s="2" t="s">
        <v>521</v>
      </c>
      <c r="J148" s="3" t="str">
        <f>HYPERLINK("https://www.boe.es/gazeta/dias/1815/04/20/pdfs/GMD-1815-48.pdf#page=1","Abrir facsímil")</f>
        <v>Abrir facsímil</v>
      </c>
      <c r="K148" s="3" t="s">
        <v>74</v>
      </c>
    </row>
    <row r="149" spans="1:11" ht="42" customHeight="1">
      <c r="A149" s="2" t="s">
        <v>511</v>
      </c>
      <c r="B149" s="2" t="s">
        <v>511</v>
      </c>
      <c r="C149" s="2" t="s">
        <v>31</v>
      </c>
      <c r="D149" s="2" t="s">
        <v>32</v>
      </c>
      <c r="E149" s="5">
        <v>-30935</v>
      </c>
      <c r="F149" s="3" t="s">
        <v>519</v>
      </c>
      <c r="G149" s="3" t="s">
        <v>97</v>
      </c>
      <c r="H149" s="2" t="s">
        <v>72</v>
      </c>
      <c r="I149" s="2" t="s">
        <v>522</v>
      </c>
      <c r="J149" s="3" t="str">
        <f>HYPERLINK("https://www.boe.es/gazeta/dias/1815/04/20/pdfs/GMD-1815-48.pdf#page=3","Abrir facsímil")</f>
        <v>Abrir facsímil</v>
      </c>
      <c r="K149" s="3" t="s">
        <v>74</v>
      </c>
    </row>
    <row r="150" spans="1:11" ht="42" customHeight="1">
      <c r="A150" s="2" t="s">
        <v>511</v>
      </c>
      <c r="B150" s="2" t="s">
        <v>511</v>
      </c>
      <c r="C150" s="2" t="s">
        <v>49</v>
      </c>
      <c r="D150" s="2" t="s">
        <v>50</v>
      </c>
      <c r="E150" s="5">
        <v>-30928</v>
      </c>
      <c r="F150" s="3" t="s">
        <v>330</v>
      </c>
      <c r="G150" s="3" t="s">
        <v>20</v>
      </c>
      <c r="H150" s="2" t="s">
        <v>72</v>
      </c>
      <c r="I150" s="2" t="s">
        <v>523</v>
      </c>
      <c r="J150" s="3" t="str">
        <f>HYPERLINK("https://www.boe.es/gazeta/dias/1815/04/27/pdfs/GMD-1815-51.pdf#page=4","Abrir facsímil")</f>
        <v>Abrir facsímil</v>
      </c>
      <c r="K150" s="3" t="s">
        <v>74</v>
      </c>
    </row>
    <row r="151" spans="1:11" ht="42" customHeight="1">
      <c r="A151" s="2" t="s">
        <v>511</v>
      </c>
      <c r="B151" s="2" t="s">
        <v>511</v>
      </c>
      <c r="C151" s="2" t="s">
        <v>31</v>
      </c>
      <c r="D151" s="2" t="s">
        <v>32</v>
      </c>
      <c r="E151" s="5">
        <v>-30923</v>
      </c>
      <c r="F151" s="3" t="s">
        <v>524</v>
      </c>
      <c r="G151" s="3" t="s">
        <v>410</v>
      </c>
      <c r="H151" s="2" t="s">
        <v>72</v>
      </c>
      <c r="I151" s="2" t="s">
        <v>525</v>
      </c>
      <c r="J151" s="3" t="str">
        <f>HYPERLINK("https://www.boe.es/gazeta/dias/1815/05/02/pdfs/GMD-1815-53.pdf#page=1","Abrir facsímil")</f>
        <v>Abrir facsímil</v>
      </c>
      <c r="K151" s="3" t="s">
        <v>74</v>
      </c>
    </row>
    <row r="152" spans="1:11" ht="42" customHeight="1">
      <c r="A152" s="2" t="s">
        <v>526</v>
      </c>
      <c r="B152" s="2" t="s">
        <v>526</v>
      </c>
      <c r="C152" s="2" t="s">
        <v>31</v>
      </c>
      <c r="D152" s="2" t="s">
        <v>32</v>
      </c>
      <c r="E152" s="5">
        <v>-31033</v>
      </c>
      <c r="F152" s="3" t="s">
        <v>493</v>
      </c>
      <c r="G152" s="3" t="s">
        <v>410</v>
      </c>
      <c r="H152" s="2" t="s">
        <v>72</v>
      </c>
      <c r="I152" s="2" t="s">
        <v>527</v>
      </c>
      <c r="J152" s="3" t="str">
        <f>HYPERLINK("https://www.boe.es/gazeta/dias/1815/01/12/pdfs/GMD-1815-5.pdf#page=1","Abrir facsímil")</f>
        <v>Abrir facsímil</v>
      </c>
      <c r="K152" s="3" t="s">
        <v>74</v>
      </c>
    </row>
    <row r="153" spans="1:11" ht="42" customHeight="1">
      <c r="A153" s="2" t="s">
        <v>528</v>
      </c>
      <c r="B153" s="2" t="s">
        <v>528</v>
      </c>
      <c r="C153" s="2" t="s">
        <v>195</v>
      </c>
      <c r="D153" s="2" t="s">
        <v>50</v>
      </c>
      <c r="E153" s="5">
        <v>-31012</v>
      </c>
      <c r="F153" s="3" t="s">
        <v>529</v>
      </c>
      <c r="G153" s="3" t="s">
        <v>530</v>
      </c>
      <c r="H153" s="2" t="s">
        <v>72</v>
      </c>
      <c r="I153" s="2" t="s">
        <v>531</v>
      </c>
      <c r="J153" s="3" t="str">
        <f>HYPERLINK("https://www.boe.es/gazeta/dias/1815/02/02/pdfs/GMD-1815-14.pdf#page=6","Abrir facsímil")</f>
        <v>Abrir facsímil</v>
      </c>
      <c r="K153" s="3" t="s">
        <v>74</v>
      </c>
    </row>
    <row r="154" spans="1:11" ht="42" customHeight="1">
      <c r="A154" s="2" t="s">
        <v>532</v>
      </c>
      <c r="B154" s="2" t="s">
        <v>533</v>
      </c>
      <c r="C154" s="2" t="s">
        <v>49</v>
      </c>
      <c r="D154" s="2" t="s">
        <v>50</v>
      </c>
      <c r="E154" s="5">
        <v>-30891</v>
      </c>
      <c r="F154" s="3" t="s">
        <v>498</v>
      </c>
      <c r="G154" s="3" t="s">
        <v>71</v>
      </c>
      <c r="H154" s="2" t="s">
        <v>21</v>
      </c>
      <c r="I154" s="2" t="s">
        <v>534</v>
      </c>
      <c r="J154" s="3" t="str">
        <f>HYPERLINK("https://www.boe.es/gazeta/dias/1815/06/03/pdfs/GMD-1815-67.pdf#page=7","Abrir facsímil")</f>
        <v>Abrir facsímil</v>
      </c>
      <c r="K154" s="3" t="s">
        <v>23</v>
      </c>
    </row>
    <row r="155" spans="1:11" ht="42" customHeight="1">
      <c r="A155" s="2" t="s">
        <v>535</v>
      </c>
      <c r="B155" s="2" t="s">
        <v>536</v>
      </c>
      <c r="C155" s="2" t="s">
        <v>17</v>
      </c>
      <c r="D155" s="2" t="s">
        <v>18</v>
      </c>
      <c r="E155" s="5">
        <v>-30944</v>
      </c>
      <c r="F155" s="3" t="s">
        <v>412</v>
      </c>
      <c r="G155" s="3" t="s">
        <v>38</v>
      </c>
      <c r="H155" s="2" t="s">
        <v>72</v>
      </c>
      <c r="I155" s="2" t="s">
        <v>537</v>
      </c>
      <c r="J155" s="3" t="str">
        <f>HYPERLINK("https://www.boe.es/gazeta/dias/1815/04/11/pdfs/GMD-1815-44.pdf#page=8","Abrir facsímil")</f>
        <v>Abrir facsímil</v>
      </c>
      <c r="K155" s="3" t="s">
        <v>74</v>
      </c>
    </row>
    <row r="156" spans="1:11" ht="42" customHeight="1">
      <c r="A156" s="2" t="s">
        <v>538</v>
      </c>
      <c r="B156" s="2" t="s">
        <v>538</v>
      </c>
      <c r="C156" s="2" t="s">
        <v>17</v>
      </c>
      <c r="D156" s="2" t="s">
        <v>18</v>
      </c>
      <c r="E156" s="5">
        <v>-30998</v>
      </c>
      <c r="F156" s="3" t="s">
        <v>539</v>
      </c>
      <c r="G156" s="3" t="s">
        <v>27</v>
      </c>
      <c r="H156" s="2" t="s">
        <v>72</v>
      </c>
      <c r="I156" s="2" t="s">
        <v>540</v>
      </c>
      <c r="J156" s="3" t="str">
        <f>HYPERLINK("https://www.boe.es/gazeta/dias/1815/02/16/pdfs/GMD-1815-20.pdf#page=6","Abrir facsímil")</f>
        <v>Abrir facsímil</v>
      </c>
      <c r="K156" s="3" t="s">
        <v>74</v>
      </c>
    </row>
    <row r="157" spans="1:11" ht="42" customHeight="1">
      <c r="A157" s="2" t="s">
        <v>538</v>
      </c>
      <c r="B157" s="2" t="s">
        <v>538</v>
      </c>
      <c r="C157" s="2" t="s">
        <v>31</v>
      </c>
      <c r="D157" s="2" t="s">
        <v>32</v>
      </c>
      <c r="E157" s="5">
        <v>-30891</v>
      </c>
      <c r="F157" s="3" t="s">
        <v>498</v>
      </c>
      <c r="G157" s="3" t="s">
        <v>71</v>
      </c>
      <c r="H157" s="2" t="s">
        <v>72</v>
      </c>
      <c r="I157" s="2" t="s">
        <v>541</v>
      </c>
      <c r="J157" s="3" t="str">
        <f>HYPERLINK("https://www.boe.es/gazeta/dias/1815/06/03/pdfs/GMD-1815-67.pdf#page=7","Abrir facsímil")</f>
        <v>Abrir facsímil</v>
      </c>
      <c r="K157" s="3" t="s">
        <v>74</v>
      </c>
    </row>
    <row r="158" spans="1:11" ht="42" customHeight="1">
      <c r="A158" s="2" t="s">
        <v>542</v>
      </c>
      <c r="B158" s="2" t="s">
        <v>543</v>
      </c>
      <c r="C158" s="2" t="s">
        <v>17</v>
      </c>
      <c r="D158" s="2" t="s">
        <v>18</v>
      </c>
      <c r="E158" s="5">
        <v>-30835</v>
      </c>
      <c r="F158" s="3" t="s">
        <v>544</v>
      </c>
      <c r="G158" s="3" t="s">
        <v>52</v>
      </c>
      <c r="H158" s="2" t="s">
        <v>72</v>
      </c>
      <c r="I158" s="2" t="s">
        <v>545</v>
      </c>
      <c r="J158" s="3" t="str">
        <f>HYPERLINK("https://www.boe.es/gazeta/dias/1815/07/29/pdfs/GMD-1815-93.pdf#page=11","Abrir facsímil")</f>
        <v>Abrir facsímil</v>
      </c>
      <c r="K158" s="3" t="s">
        <v>74</v>
      </c>
    </row>
    <row r="159" spans="1:11" ht="42" customHeight="1">
      <c r="A159" s="2" t="s">
        <v>546</v>
      </c>
      <c r="B159" s="2" t="s">
        <v>547</v>
      </c>
      <c r="C159" s="2" t="s">
        <v>31</v>
      </c>
      <c r="D159" s="2" t="s">
        <v>32</v>
      </c>
      <c r="E159" s="5">
        <v>-30877</v>
      </c>
      <c r="F159" s="3" t="s">
        <v>548</v>
      </c>
      <c r="G159" s="3" t="s">
        <v>52</v>
      </c>
      <c r="H159" s="2" t="s">
        <v>72</v>
      </c>
      <c r="I159" s="2" t="s">
        <v>549</v>
      </c>
      <c r="J159" s="3" t="str">
        <f>HYPERLINK("https://www.boe.es/gazeta/dias/1815/06/17/pdfs/GMD-1815-73.pdf#page=11","Abrir facsímil")</f>
        <v>Abrir facsímil</v>
      </c>
      <c r="K159" s="3" t="s">
        <v>74</v>
      </c>
    </row>
    <row r="160" spans="1:11" ht="42" customHeight="1">
      <c r="A160" s="2" t="s">
        <v>550</v>
      </c>
      <c r="B160" s="2" t="s">
        <v>551</v>
      </c>
      <c r="C160" s="2" t="s">
        <v>49</v>
      </c>
      <c r="D160" s="2" t="s">
        <v>50</v>
      </c>
      <c r="E160" s="5">
        <v>-30818</v>
      </c>
      <c r="F160" s="3" t="s">
        <v>334</v>
      </c>
      <c r="G160" s="3" t="s">
        <v>52</v>
      </c>
      <c r="H160" s="2" t="s">
        <v>72</v>
      </c>
      <c r="I160" s="2" t="s">
        <v>552</v>
      </c>
      <c r="J160" s="3" t="str">
        <f>HYPERLINK("https://www.boe.es/gazeta/dias/1815/08/15/pdfs/GMD-1815-100.pdf#page=11","Abrir facsímil")</f>
        <v>Abrir facsímil</v>
      </c>
      <c r="K160" s="3" t="s">
        <v>74</v>
      </c>
    </row>
    <row r="161" spans="1:11" ht="42" customHeight="1">
      <c r="A161" s="2" t="s">
        <v>553</v>
      </c>
      <c r="B161" s="2" t="s">
        <v>553</v>
      </c>
      <c r="C161" s="2" t="s">
        <v>31</v>
      </c>
      <c r="D161" s="2" t="s">
        <v>32</v>
      </c>
      <c r="E161" s="5">
        <v>-30732</v>
      </c>
      <c r="F161" s="3" t="s">
        <v>554</v>
      </c>
      <c r="G161" s="3" t="s">
        <v>57</v>
      </c>
      <c r="H161" s="2" t="s">
        <v>72</v>
      </c>
      <c r="I161" s="2" t="s">
        <v>555</v>
      </c>
      <c r="J161" s="3" t="str">
        <f>HYPERLINK("https://www.boe.es/gazeta/dias/1815/11/09/pdfs/GMD-1815-140.pdf#page=5","Abrir facsímil")</f>
        <v>Abrir facsímil</v>
      </c>
      <c r="K161" s="3" t="s">
        <v>74</v>
      </c>
    </row>
    <row r="162" spans="1:11" ht="42" customHeight="1">
      <c r="A162" s="2" t="s">
        <v>556</v>
      </c>
      <c r="B162" s="2" t="s">
        <v>557</v>
      </c>
      <c r="C162" s="2" t="s">
        <v>31</v>
      </c>
      <c r="D162" s="2" t="s">
        <v>32</v>
      </c>
      <c r="E162" s="5">
        <v>-30786</v>
      </c>
      <c r="F162" s="3" t="s">
        <v>558</v>
      </c>
      <c r="G162" s="3" t="s">
        <v>38</v>
      </c>
      <c r="H162" s="2" t="s">
        <v>21</v>
      </c>
      <c r="I162" s="2" t="s">
        <v>559</v>
      </c>
      <c r="J162" s="3" t="str">
        <f>HYPERLINK("https://www.boe.es/gazeta/dias/1815/09/16/pdfs/GMD-1815-115.pdf#page=8","Abrir facsímil")</f>
        <v>Abrir facsímil</v>
      </c>
      <c r="K162" s="3" t="s">
        <v>23</v>
      </c>
    </row>
    <row r="163" spans="1:11" ht="42" customHeight="1">
      <c r="A163" s="2" t="s">
        <v>560</v>
      </c>
      <c r="B163" s="2" t="s">
        <v>561</v>
      </c>
      <c r="C163" s="2" t="s">
        <v>49</v>
      </c>
      <c r="D163" s="2" t="s">
        <v>50</v>
      </c>
      <c r="E163" s="5">
        <v>-30863</v>
      </c>
      <c r="F163" s="3" t="s">
        <v>110</v>
      </c>
      <c r="G163" s="3" t="s">
        <v>224</v>
      </c>
      <c r="H163" s="2" t="s">
        <v>72</v>
      </c>
      <c r="I163" s="2" t="s">
        <v>562</v>
      </c>
      <c r="J163" s="3" t="str">
        <f>HYPERLINK("https://www.boe.es/gazeta/dias/1815/07/01/pdfs/GMD-1815-79.pdf#page=9","Abrir facsímil")</f>
        <v>Abrir facsímil</v>
      </c>
      <c r="K163" s="3" t="s">
        <v>74</v>
      </c>
    </row>
    <row r="164" spans="1:11" ht="42" customHeight="1">
      <c r="A164" s="2" t="s">
        <v>563</v>
      </c>
      <c r="B164" s="2" t="s">
        <v>564</v>
      </c>
      <c r="C164" s="2" t="s">
        <v>49</v>
      </c>
      <c r="D164" s="2" t="s">
        <v>50</v>
      </c>
      <c r="E164" s="5">
        <v>-30767</v>
      </c>
      <c r="F164" s="3" t="s">
        <v>228</v>
      </c>
      <c r="G164" s="3" t="s">
        <v>88</v>
      </c>
      <c r="H164" s="2" t="s">
        <v>72</v>
      </c>
      <c r="I164" s="2" t="s">
        <v>565</v>
      </c>
      <c r="J164" s="3" t="str">
        <f>HYPERLINK("https://www.boe.es/gazeta/dias/1815/10/05/pdfs/GMD-1815-125.pdf#page=10","Abrir facsímil")</f>
        <v>Abrir facsímil</v>
      </c>
      <c r="K164" s="3" t="s">
        <v>74</v>
      </c>
    </row>
    <row r="165" spans="1:11" ht="42" customHeight="1">
      <c r="A165" s="2" t="s">
        <v>566</v>
      </c>
      <c r="B165" s="2" t="s">
        <v>567</v>
      </c>
      <c r="C165" s="2" t="s">
        <v>31</v>
      </c>
      <c r="D165" s="2" t="s">
        <v>32</v>
      </c>
      <c r="E165" s="5">
        <v>-30823</v>
      </c>
      <c r="F165" s="3" t="s">
        <v>305</v>
      </c>
      <c r="G165" s="3" t="s">
        <v>52</v>
      </c>
      <c r="H165" s="2" t="s">
        <v>21</v>
      </c>
      <c r="I165" s="2" t="s">
        <v>568</v>
      </c>
      <c r="J165" s="3" t="str">
        <f>HYPERLINK("https://www.boe.es/gazeta/dias/1815/08/10/pdfs/GMD-1815-98.pdf#page=11","Abrir facsímil")</f>
        <v>Abrir facsímil</v>
      </c>
      <c r="K165" s="3" t="s">
        <v>23</v>
      </c>
    </row>
    <row r="166" spans="1:11" ht="42" customHeight="1">
      <c r="A166" s="2" t="s">
        <v>569</v>
      </c>
      <c r="B166" s="2" t="s">
        <v>570</v>
      </c>
      <c r="C166" s="2" t="s">
        <v>17</v>
      </c>
      <c r="D166" s="2" t="s">
        <v>18</v>
      </c>
      <c r="E166" s="5">
        <v>-30888</v>
      </c>
      <c r="F166" s="3" t="s">
        <v>368</v>
      </c>
      <c r="G166" s="3" t="s">
        <v>276</v>
      </c>
      <c r="H166" s="2" t="s">
        <v>72</v>
      </c>
      <c r="I166" s="2" t="s">
        <v>571</v>
      </c>
      <c r="J166" s="3" t="str">
        <f>HYPERLINK("https://www.boe.es/gazeta/dias/1815/06/06/pdfs/GMD-1815-68.pdf#page=12","Abrir facsímil")</f>
        <v>Abrir facsímil</v>
      </c>
      <c r="K166" s="3" t="s">
        <v>74</v>
      </c>
    </row>
    <row r="167" spans="1:11" ht="42" customHeight="1">
      <c r="A167" s="2" t="s">
        <v>572</v>
      </c>
      <c r="B167" s="2" t="s">
        <v>573</v>
      </c>
      <c r="C167" s="2" t="s">
        <v>81</v>
      </c>
      <c r="D167" s="2" t="s">
        <v>50</v>
      </c>
      <c r="E167" s="5">
        <v>-31028</v>
      </c>
      <c r="F167" s="3" t="s">
        <v>517</v>
      </c>
      <c r="G167" s="3" t="s">
        <v>224</v>
      </c>
      <c r="H167" s="2" t="s">
        <v>72</v>
      </c>
      <c r="I167" s="2" t="s">
        <v>574</v>
      </c>
      <c r="J167" s="3" t="str">
        <f>HYPERLINK("https://www.boe.es/gazeta/dias/1815/01/17/pdfs/GMD-1815-7.pdf#page=9","Abrir facsímil")</f>
        <v>Abrir facsímil</v>
      </c>
      <c r="K167" s="3" t="s">
        <v>74</v>
      </c>
    </row>
    <row r="168" spans="1:11" ht="42" customHeight="1">
      <c r="A168" s="2" t="s">
        <v>572</v>
      </c>
      <c r="B168" s="2" t="s">
        <v>573</v>
      </c>
      <c r="C168" s="2" t="s">
        <v>31</v>
      </c>
      <c r="D168" s="2" t="s">
        <v>32</v>
      </c>
      <c r="E168" s="5">
        <v>-31024</v>
      </c>
      <c r="F168" s="3" t="s">
        <v>101</v>
      </c>
      <c r="G168" s="3" t="s">
        <v>38</v>
      </c>
      <c r="H168" s="2" t="s">
        <v>72</v>
      </c>
      <c r="I168" s="2" t="s">
        <v>575</v>
      </c>
      <c r="J168" s="3" t="str">
        <f>HYPERLINK("https://www.boe.es/gazeta/dias/1815/01/21/pdfs/GMD-1815-9.pdf#page=8","Abrir facsímil")</f>
        <v>Abrir facsímil</v>
      </c>
      <c r="K168" s="3" t="s">
        <v>74</v>
      </c>
    </row>
    <row r="169" spans="1:11" ht="42" customHeight="1">
      <c r="A169" s="2" t="s">
        <v>572</v>
      </c>
      <c r="B169" s="2" t="s">
        <v>573</v>
      </c>
      <c r="C169" s="2" t="s">
        <v>17</v>
      </c>
      <c r="D169" s="2" t="s">
        <v>18</v>
      </c>
      <c r="E169" s="5">
        <v>-31005</v>
      </c>
      <c r="F169" s="3" t="s">
        <v>576</v>
      </c>
      <c r="G169" s="3" t="s">
        <v>520</v>
      </c>
      <c r="H169" s="2" t="s">
        <v>72</v>
      </c>
      <c r="I169" s="2" t="s">
        <v>577</v>
      </c>
      <c r="J169" s="3" t="str">
        <f>HYPERLINK("https://www.boe.es/gazeta/dias/1815/02/09/pdfs/GMD-1815-17.pdf#page=8","Abrir facsímil")</f>
        <v>Abrir facsímil</v>
      </c>
      <c r="K169" s="3" t="s">
        <v>74</v>
      </c>
    </row>
    <row r="170" spans="1:11" ht="42" customHeight="1">
      <c r="A170" s="2" t="s">
        <v>572</v>
      </c>
      <c r="B170" s="2" t="s">
        <v>573</v>
      </c>
      <c r="C170" s="2" t="s">
        <v>49</v>
      </c>
      <c r="D170" s="2" t="s">
        <v>50</v>
      </c>
      <c r="E170" s="5">
        <v>-30928</v>
      </c>
      <c r="F170" s="3" t="s">
        <v>330</v>
      </c>
      <c r="G170" s="3" t="s">
        <v>38</v>
      </c>
      <c r="H170" s="2" t="s">
        <v>72</v>
      </c>
      <c r="I170" s="2" t="s">
        <v>578</v>
      </c>
      <c r="J170" s="3" t="str">
        <f>HYPERLINK("https://www.boe.es/gazeta/dias/1815/04/27/pdfs/GMD-1815-51.pdf#page=8","Abrir facsímil")</f>
        <v>Abrir facsímil</v>
      </c>
      <c r="K170" s="3" t="s">
        <v>74</v>
      </c>
    </row>
    <row r="171" spans="1:11" ht="42" customHeight="1">
      <c r="A171" s="2" t="s">
        <v>572</v>
      </c>
      <c r="B171" s="2" t="s">
        <v>573</v>
      </c>
      <c r="C171" s="2" t="s">
        <v>17</v>
      </c>
      <c r="D171" s="2" t="s">
        <v>18</v>
      </c>
      <c r="E171" s="5">
        <v>-30912</v>
      </c>
      <c r="F171" s="3" t="s">
        <v>579</v>
      </c>
      <c r="G171" s="3" t="s">
        <v>38</v>
      </c>
      <c r="H171" s="2" t="s">
        <v>72</v>
      </c>
      <c r="I171" s="2" t="s">
        <v>580</v>
      </c>
      <c r="J171" s="3" t="str">
        <f>HYPERLINK("https://www.boe.es/gazeta/dias/1815/05/13/pdfs/GMD-1815-58.pdf#page=8","Abrir facsímil")</f>
        <v>Abrir facsímil</v>
      </c>
      <c r="K171" s="3" t="s">
        <v>74</v>
      </c>
    </row>
    <row r="172" spans="1:11" ht="42" customHeight="1">
      <c r="A172" s="2" t="s">
        <v>572</v>
      </c>
      <c r="B172" s="2" t="s">
        <v>573</v>
      </c>
      <c r="C172" s="2" t="s">
        <v>31</v>
      </c>
      <c r="D172" s="2" t="s">
        <v>32</v>
      </c>
      <c r="E172" s="5">
        <v>-30909</v>
      </c>
      <c r="F172" s="3" t="s">
        <v>581</v>
      </c>
      <c r="G172" s="3" t="s">
        <v>38</v>
      </c>
      <c r="H172" s="2" t="s">
        <v>72</v>
      </c>
      <c r="I172" s="2" t="s">
        <v>582</v>
      </c>
      <c r="J172" s="3" t="str">
        <f>HYPERLINK("https://www.boe.es/gazeta/dias/1815/05/16/pdfs/GMD-1815-59.pdf#page=8","Abrir facsímil")</f>
        <v>Abrir facsímil</v>
      </c>
      <c r="K172" s="3" t="s">
        <v>74</v>
      </c>
    </row>
    <row r="173" spans="1:11" ht="42" customHeight="1">
      <c r="A173" s="2" t="s">
        <v>572</v>
      </c>
      <c r="B173" s="2" t="s">
        <v>573</v>
      </c>
      <c r="C173" s="2" t="s">
        <v>31</v>
      </c>
      <c r="D173" s="2" t="s">
        <v>32</v>
      </c>
      <c r="E173" s="5">
        <v>-30898</v>
      </c>
      <c r="F173" s="3" t="s">
        <v>212</v>
      </c>
      <c r="G173" s="3" t="s">
        <v>38</v>
      </c>
      <c r="H173" s="2" t="s">
        <v>72</v>
      </c>
      <c r="I173" s="2" t="s">
        <v>583</v>
      </c>
      <c r="J173" s="3" t="str">
        <f>HYPERLINK("https://www.boe.es/gazeta/dias/1815/05/27/pdfs/GMD-1815-64.pdf#page=8","Abrir facsímil")</f>
        <v>Abrir facsímil</v>
      </c>
      <c r="K173" s="3" t="s">
        <v>74</v>
      </c>
    </row>
    <row r="174" spans="1:11" ht="42" customHeight="1">
      <c r="A174" s="2" t="s">
        <v>572</v>
      </c>
      <c r="B174" s="2" t="s">
        <v>573</v>
      </c>
      <c r="C174" s="2" t="s">
        <v>131</v>
      </c>
      <c r="D174" s="2" t="s">
        <v>50</v>
      </c>
      <c r="E174" s="5">
        <v>-30877</v>
      </c>
      <c r="F174" s="3" t="s">
        <v>548</v>
      </c>
      <c r="G174" s="3" t="s">
        <v>276</v>
      </c>
      <c r="H174" s="2" t="s">
        <v>72</v>
      </c>
      <c r="I174" s="2" t="s">
        <v>584</v>
      </c>
      <c r="J174" s="3" t="str">
        <f>HYPERLINK("https://www.boe.es/gazeta/dias/1815/06/17/pdfs/GMD-1815-73.pdf#page=12","Abrir facsímil")</f>
        <v>Abrir facsímil</v>
      </c>
      <c r="K174" s="3" t="s">
        <v>74</v>
      </c>
    </row>
    <row r="175" spans="1:11" ht="42" customHeight="1">
      <c r="A175" s="2" t="s">
        <v>572</v>
      </c>
      <c r="B175" s="2" t="s">
        <v>573</v>
      </c>
      <c r="C175" s="2" t="s">
        <v>17</v>
      </c>
      <c r="D175" s="2" t="s">
        <v>18</v>
      </c>
      <c r="E175" s="5">
        <v>-30832</v>
      </c>
      <c r="F175" s="3" t="s">
        <v>266</v>
      </c>
      <c r="G175" s="3" t="s">
        <v>276</v>
      </c>
      <c r="H175" s="2" t="s">
        <v>72</v>
      </c>
      <c r="I175" s="2" t="s">
        <v>585</v>
      </c>
      <c r="J175" s="3" t="str">
        <f>HYPERLINK("https://www.boe.es/gazeta/dias/1815/08/01/pdfs/GMD-1815-94.pdf#page=12","Abrir facsímil")</f>
        <v>Abrir facsímil</v>
      </c>
      <c r="K175" s="3" t="s">
        <v>74</v>
      </c>
    </row>
    <row r="176" spans="1:11" ht="42" customHeight="1">
      <c r="A176" s="2" t="s">
        <v>572</v>
      </c>
      <c r="B176" s="2" t="s">
        <v>573</v>
      </c>
      <c r="C176" s="2" t="s">
        <v>49</v>
      </c>
      <c r="D176" s="2" t="s">
        <v>50</v>
      </c>
      <c r="E176" s="5">
        <v>-30807</v>
      </c>
      <c r="F176" s="3" t="s">
        <v>586</v>
      </c>
      <c r="G176" s="3" t="s">
        <v>38</v>
      </c>
      <c r="H176" s="2" t="s">
        <v>72</v>
      </c>
      <c r="I176" s="2" t="s">
        <v>587</v>
      </c>
      <c r="J176" s="3" t="str">
        <f>HYPERLINK("https://www.boe.es/gazeta/dias/1815/08/26/pdfs/GMD-1815-105.pdf#page=8","Abrir facsímil")</f>
        <v>Abrir facsímil</v>
      </c>
      <c r="K176" s="3" t="s">
        <v>74</v>
      </c>
    </row>
    <row r="177" spans="1:11" ht="42" customHeight="1">
      <c r="A177" s="2" t="s">
        <v>572</v>
      </c>
      <c r="B177" s="2" t="s">
        <v>573</v>
      </c>
      <c r="C177" s="2" t="s">
        <v>17</v>
      </c>
      <c r="D177" s="2" t="s">
        <v>18</v>
      </c>
      <c r="E177" s="5">
        <v>-30732</v>
      </c>
      <c r="F177" s="3" t="s">
        <v>554</v>
      </c>
      <c r="G177" s="3" t="s">
        <v>71</v>
      </c>
      <c r="H177" s="2" t="s">
        <v>72</v>
      </c>
      <c r="I177" s="2" t="s">
        <v>588</v>
      </c>
      <c r="J177" s="3" t="str">
        <f>HYPERLINK("https://www.boe.es/gazeta/dias/1815/11/09/pdfs/GMD-1815-140.pdf#page=7","Abrir facsímil")</f>
        <v>Abrir facsímil</v>
      </c>
      <c r="K177" s="3" t="s">
        <v>74</v>
      </c>
    </row>
    <row r="178" spans="1:11" ht="42" customHeight="1">
      <c r="A178" s="2" t="s">
        <v>572</v>
      </c>
      <c r="B178" s="2" t="s">
        <v>573</v>
      </c>
      <c r="C178" s="2" t="s">
        <v>17</v>
      </c>
      <c r="D178" s="2" t="s">
        <v>18</v>
      </c>
      <c r="E178" s="5">
        <v>-30716</v>
      </c>
      <c r="F178" s="3" t="s">
        <v>589</v>
      </c>
      <c r="G178" s="3" t="s">
        <v>590</v>
      </c>
      <c r="H178" s="2" t="s">
        <v>72</v>
      </c>
      <c r="I178" s="2" t="s">
        <v>591</v>
      </c>
      <c r="J178" s="3" t="str">
        <f>HYPERLINK("https://www.boe.es/gazeta/dias/1815/11/25/pdfs/GMD-1815-147.pdf#page=8","Abrir facsímil")</f>
        <v>Abrir facsímil</v>
      </c>
      <c r="K178" s="3" t="s">
        <v>74</v>
      </c>
    </row>
    <row r="179" spans="1:11" ht="42" customHeight="1">
      <c r="A179" s="2" t="s">
        <v>592</v>
      </c>
      <c r="B179" s="2" t="s">
        <v>593</v>
      </c>
      <c r="C179" s="2" t="s">
        <v>131</v>
      </c>
      <c r="D179" s="2" t="s">
        <v>50</v>
      </c>
      <c r="E179" s="5">
        <v>-30844</v>
      </c>
      <c r="F179" s="3" t="s">
        <v>114</v>
      </c>
      <c r="G179" s="3" t="s">
        <v>38</v>
      </c>
      <c r="H179" s="2" t="s">
        <v>72</v>
      </c>
      <c r="I179" s="2" t="s">
        <v>594</v>
      </c>
      <c r="J179" s="3" t="str">
        <f>HYPERLINK("https://www.boe.es/gazeta/dias/1815/07/20/pdfs/GMD-1815-89.pdf#page=8","Abrir facsímil")</f>
        <v>Abrir facsímil</v>
      </c>
      <c r="K179" s="3" t="s">
        <v>74</v>
      </c>
    </row>
    <row r="180" spans="1:11" ht="42" customHeight="1">
      <c r="A180" s="2" t="s">
        <v>592</v>
      </c>
      <c r="B180" s="2" t="s">
        <v>593</v>
      </c>
      <c r="C180" s="2" t="s">
        <v>17</v>
      </c>
      <c r="D180" s="2" t="s">
        <v>18</v>
      </c>
      <c r="E180" s="5">
        <v>-30776</v>
      </c>
      <c r="F180" s="3" t="s">
        <v>118</v>
      </c>
      <c r="G180" s="3" t="s">
        <v>38</v>
      </c>
      <c r="H180" s="2" t="s">
        <v>72</v>
      </c>
      <c r="I180" s="2" t="s">
        <v>595</v>
      </c>
      <c r="J180" s="3" t="str">
        <f>HYPERLINK("https://www.boe.es/gazeta/dias/1815/09/26/pdfs/GMD-1815-119.pdf#page=8","Abrir facsímil")</f>
        <v>Abrir facsímil</v>
      </c>
      <c r="K180" s="3" t="s">
        <v>74</v>
      </c>
    </row>
    <row r="181" spans="1:11" ht="42" customHeight="1">
      <c r="A181" s="2" t="s">
        <v>596</v>
      </c>
      <c r="B181" s="2" t="s">
        <v>597</v>
      </c>
      <c r="C181" s="2" t="s">
        <v>17</v>
      </c>
      <c r="D181" s="2" t="s">
        <v>18</v>
      </c>
      <c r="E181" s="5">
        <v>-30755</v>
      </c>
      <c r="F181" s="3" t="s">
        <v>598</v>
      </c>
      <c r="G181" s="3" t="s">
        <v>276</v>
      </c>
      <c r="H181" s="2" t="s">
        <v>72</v>
      </c>
      <c r="I181" s="2" t="s">
        <v>599</v>
      </c>
      <c r="J181" s="3" t="str">
        <f>HYPERLINK("https://www.boe.es/gazeta/dias/1815/10/17/pdfs/GMD-1815-130.pdf#page=12","Abrir facsímil")</f>
        <v>Abrir facsímil</v>
      </c>
      <c r="K181" s="3" t="s">
        <v>74</v>
      </c>
    </row>
    <row r="182" spans="1:11" ht="42" customHeight="1">
      <c r="A182" s="2" t="s">
        <v>600</v>
      </c>
      <c r="B182" s="2" t="s">
        <v>601</v>
      </c>
      <c r="C182" s="2" t="s">
        <v>31</v>
      </c>
      <c r="D182" s="2" t="s">
        <v>32</v>
      </c>
      <c r="E182" s="5">
        <v>-30835</v>
      </c>
      <c r="F182" s="3" t="s">
        <v>544</v>
      </c>
      <c r="G182" s="3" t="s">
        <v>52</v>
      </c>
      <c r="H182" s="2" t="s">
        <v>72</v>
      </c>
      <c r="I182" s="2" t="s">
        <v>602</v>
      </c>
      <c r="J182" s="3" t="str">
        <f>HYPERLINK("https://www.boe.es/gazeta/dias/1815/07/29/pdfs/GMD-1815-93.pdf#page=11","Abrir facsímil")</f>
        <v>Abrir facsímil</v>
      </c>
      <c r="K182" s="3" t="s">
        <v>74</v>
      </c>
    </row>
    <row r="183" spans="1:11" ht="42" customHeight="1">
      <c r="A183" s="2" t="s">
        <v>603</v>
      </c>
      <c r="B183" s="2" t="s">
        <v>604</v>
      </c>
      <c r="C183" s="2" t="s">
        <v>81</v>
      </c>
      <c r="D183" s="2" t="s">
        <v>50</v>
      </c>
      <c r="E183" s="5">
        <v>-30996</v>
      </c>
      <c r="F183" s="3" t="s">
        <v>289</v>
      </c>
      <c r="G183" s="3" t="s">
        <v>38</v>
      </c>
      <c r="H183" s="2" t="s">
        <v>72</v>
      </c>
      <c r="I183" s="2" t="s">
        <v>605</v>
      </c>
      <c r="J183" s="3" t="str">
        <f>HYPERLINK("https://www.boe.es/gazeta/dias/1815/02/18/pdfs/GMD-1815-21.pdf#page=8","Abrir facsímil")</f>
        <v>Abrir facsímil</v>
      </c>
      <c r="K183" s="3" t="s">
        <v>74</v>
      </c>
    </row>
    <row r="184" spans="1:11" ht="42" customHeight="1">
      <c r="A184" s="2" t="s">
        <v>606</v>
      </c>
      <c r="B184" s="2" t="s">
        <v>606</v>
      </c>
      <c r="C184" s="2" t="s">
        <v>31</v>
      </c>
      <c r="D184" s="2" t="s">
        <v>32</v>
      </c>
      <c r="E184" s="5">
        <v>-30916</v>
      </c>
      <c r="F184" s="3" t="s">
        <v>147</v>
      </c>
      <c r="G184" s="3" t="s">
        <v>148</v>
      </c>
      <c r="H184" s="2" t="s">
        <v>72</v>
      </c>
      <c r="I184" s="2" t="s">
        <v>607</v>
      </c>
      <c r="J184" s="3" t="str">
        <f>HYPERLINK("https://www.boe.es/gazeta/dias/1815/05/09/pdfs/GMD-1815-56.pdf#page=7","Abrir facsímil")</f>
        <v>Abrir facsímil</v>
      </c>
      <c r="K184" s="3" t="s">
        <v>74</v>
      </c>
    </row>
    <row r="185" spans="1:11" ht="42" customHeight="1">
      <c r="A185" s="2" t="s">
        <v>608</v>
      </c>
      <c r="B185" s="2" t="s">
        <v>609</v>
      </c>
      <c r="C185" s="2" t="s">
        <v>17</v>
      </c>
      <c r="D185" s="2" t="s">
        <v>18</v>
      </c>
      <c r="E185" s="5">
        <v>-30940</v>
      </c>
      <c r="F185" s="3" t="s">
        <v>610</v>
      </c>
      <c r="G185" s="3" t="s">
        <v>71</v>
      </c>
      <c r="H185" s="2" t="s">
        <v>72</v>
      </c>
      <c r="I185" s="2" t="s">
        <v>611</v>
      </c>
      <c r="J185" s="3" t="str">
        <f>HYPERLINK("https://www.boe.es/gazeta/dias/1815/04/15/pdfs/GMD-1815-46.pdf#page=7","Abrir facsímil")</f>
        <v>Abrir facsímil</v>
      </c>
      <c r="K185" s="3" t="s">
        <v>74</v>
      </c>
    </row>
    <row r="186" spans="1:11" ht="42" customHeight="1">
      <c r="A186" s="2" t="s">
        <v>612</v>
      </c>
      <c r="B186" s="2" t="s">
        <v>613</v>
      </c>
      <c r="C186" s="2" t="s">
        <v>49</v>
      </c>
      <c r="D186" s="2" t="s">
        <v>50</v>
      </c>
      <c r="E186" s="5">
        <v>-31040</v>
      </c>
      <c r="F186" s="3" t="s">
        <v>326</v>
      </c>
      <c r="G186" s="3" t="s">
        <v>27</v>
      </c>
      <c r="H186" s="2" t="s">
        <v>72</v>
      </c>
      <c r="I186" s="2" t="s">
        <v>614</v>
      </c>
      <c r="J186" s="3" t="str">
        <f>HYPERLINK("https://www.boe.es/gazeta/dias/1815/01/05/pdfs/GMD-1815-2.pdf#page=6","Abrir facsímil")</f>
        <v>Abrir facsímil</v>
      </c>
      <c r="K186" s="3" t="s">
        <v>74</v>
      </c>
    </row>
    <row r="187" spans="1:11" ht="42" customHeight="1">
      <c r="A187" s="2" t="s">
        <v>615</v>
      </c>
      <c r="B187" s="2" t="s">
        <v>615</v>
      </c>
      <c r="C187" s="2" t="s">
        <v>195</v>
      </c>
      <c r="D187" s="2" t="s">
        <v>50</v>
      </c>
      <c r="E187" s="5">
        <v>-30839</v>
      </c>
      <c r="F187" s="3" t="s">
        <v>616</v>
      </c>
      <c r="G187" s="3" t="s">
        <v>617</v>
      </c>
      <c r="H187" s="2" t="s">
        <v>72</v>
      </c>
      <c r="I187" s="2" t="s">
        <v>618</v>
      </c>
      <c r="J187" s="3" t="str">
        <f>HYPERLINK("https://www.boe.es/gazeta/dias/1815/07/25/pdfs/GMD-1815-91.pdf#page=8","Abrir facsímil")</f>
        <v>Abrir facsímil</v>
      </c>
      <c r="K187" s="3" t="s">
        <v>74</v>
      </c>
    </row>
    <row r="188" spans="1:11" ht="42" customHeight="1">
      <c r="A188" s="2" t="s">
        <v>615</v>
      </c>
      <c r="B188" s="2" t="s">
        <v>615</v>
      </c>
      <c r="C188" s="2" t="s">
        <v>17</v>
      </c>
      <c r="D188" s="2" t="s">
        <v>18</v>
      </c>
      <c r="E188" s="5">
        <v>-30776</v>
      </c>
      <c r="F188" s="3" t="s">
        <v>118</v>
      </c>
      <c r="G188" s="3" t="s">
        <v>20</v>
      </c>
      <c r="H188" s="2" t="s">
        <v>72</v>
      </c>
      <c r="I188" s="2" t="s">
        <v>619</v>
      </c>
      <c r="J188" s="3" t="str">
        <f>HYPERLINK("https://www.boe.es/gazeta/dias/1815/09/26/pdfs/GMD-1815-119.pdf#page=4","Abrir facsímil")</f>
        <v>Abrir facsímil</v>
      </c>
      <c r="K188" s="3" t="s">
        <v>74</v>
      </c>
    </row>
    <row r="189" spans="1:11" ht="42" customHeight="1">
      <c r="A189" s="2" t="s">
        <v>615</v>
      </c>
      <c r="B189" s="2" t="s">
        <v>615</v>
      </c>
      <c r="C189" s="2" t="s">
        <v>49</v>
      </c>
      <c r="D189" s="2" t="s">
        <v>50</v>
      </c>
      <c r="E189" s="5">
        <v>-30720</v>
      </c>
      <c r="F189" s="3" t="s">
        <v>373</v>
      </c>
      <c r="G189" s="3" t="s">
        <v>224</v>
      </c>
      <c r="H189" s="2" t="s">
        <v>72</v>
      </c>
      <c r="I189" s="2" t="s">
        <v>620</v>
      </c>
      <c r="J189" s="3" t="str">
        <f>HYPERLINK("https://www.boe.es/gazeta/dias/1815/11/21/pdfs/GMD-1815-145.pdf#page=9","Abrir facsímil")</f>
        <v>Abrir facsímil</v>
      </c>
      <c r="K189" s="3" t="s">
        <v>74</v>
      </c>
    </row>
    <row r="190" spans="1:11" ht="42" customHeight="1">
      <c r="A190" s="2" t="s">
        <v>621</v>
      </c>
      <c r="B190" s="2" t="s">
        <v>622</v>
      </c>
      <c r="C190" s="2" t="s">
        <v>17</v>
      </c>
      <c r="D190" s="2" t="s">
        <v>18</v>
      </c>
      <c r="E190" s="5">
        <v>-30874</v>
      </c>
      <c r="F190" s="3" t="s">
        <v>208</v>
      </c>
      <c r="G190" s="3" t="s">
        <v>38</v>
      </c>
      <c r="H190" s="2" t="s">
        <v>72</v>
      </c>
      <c r="I190" s="2" t="s">
        <v>623</v>
      </c>
      <c r="J190" s="3" t="str">
        <f>HYPERLINK("https://www.boe.es/gazeta/dias/1815/06/20/pdfs/GMD-1815-74.pdf#page=8","Abrir facsímil")</f>
        <v>Abrir facsímil</v>
      </c>
      <c r="K190" s="3" t="s">
        <v>74</v>
      </c>
    </row>
    <row r="191" spans="1:11" ht="42" customHeight="1">
      <c r="A191" s="2" t="s">
        <v>624</v>
      </c>
      <c r="B191" s="2" t="s">
        <v>625</v>
      </c>
      <c r="C191" s="2" t="s">
        <v>61</v>
      </c>
      <c r="D191" s="2" t="s">
        <v>50</v>
      </c>
      <c r="E191" s="5">
        <v>-31031</v>
      </c>
      <c r="F191" s="3" t="s">
        <v>105</v>
      </c>
      <c r="G191" s="3" t="s">
        <v>27</v>
      </c>
      <c r="H191" s="2" t="s">
        <v>72</v>
      </c>
      <c r="I191" s="2" t="s">
        <v>626</v>
      </c>
      <c r="J191" s="3" t="str">
        <f>HYPERLINK("https://www.boe.es/gazeta/dias/1815/01/14/pdfs/GMD-1815-6.pdf#page=6","Abrir facsímil")</f>
        <v>Abrir facsímil</v>
      </c>
      <c r="K191" s="3" t="s">
        <v>74</v>
      </c>
    </row>
    <row r="192" spans="1:11" ht="42" customHeight="1">
      <c r="A192" s="2" t="s">
        <v>627</v>
      </c>
      <c r="B192" s="2" t="s">
        <v>628</v>
      </c>
      <c r="C192" s="2" t="s">
        <v>61</v>
      </c>
      <c r="D192" s="2" t="s">
        <v>50</v>
      </c>
      <c r="E192" s="5">
        <v>-31038</v>
      </c>
      <c r="F192" s="3" t="s">
        <v>395</v>
      </c>
      <c r="G192" s="3" t="s">
        <v>38</v>
      </c>
      <c r="H192" s="2" t="s">
        <v>72</v>
      </c>
      <c r="I192" s="2" t="s">
        <v>629</v>
      </c>
      <c r="J192" s="3" t="str">
        <f>HYPERLINK("https://www.boe.es/gazeta/dias/1815/01/07/pdfs/GMD-1815-3.pdf#page=8","Abrir facsímil")</f>
        <v>Abrir facsímil</v>
      </c>
      <c r="K192" s="3" t="s">
        <v>74</v>
      </c>
    </row>
    <row r="193" spans="1:11" ht="42" customHeight="1">
      <c r="A193" s="2" t="s">
        <v>630</v>
      </c>
      <c r="B193" s="2" t="s">
        <v>631</v>
      </c>
      <c r="C193" s="2" t="s">
        <v>31</v>
      </c>
      <c r="D193" s="2" t="s">
        <v>32</v>
      </c>
      <c r="E193" s="5">
        <v>-30860</v>
      </c>
      <c r="F193" s="3" t="s">
        <v>184</v>
      </c>
      <c r="G193" s="3" t="s">
        <v>20</v>
      </c>
      <c r="H193" s="2" t="s">
        <v>72</v>
      </c>
      <c r="I193" s="2" t="s">
        <v>632</v>
      </c>
      <c r="J193" s="3" t="str">
        <f>HYPERLINK("https://www.boe.es/gazeta/dias/1815/07/04/pdfs/GMD-1815-81.pdf#page=4","Abrir facsímil")</f>
        <v>Abrir facsímil</v>
      </c>
      <c r="K193" s="3" t="s">
        <v>74</v>
      </c>
    </row>
    <row r="194" spans="1:11" ht="42" customHeight="1">
      <c r="A194" s="2" t="s">
        <v>633</v>
      </c>
      <c r="B194" s="2" t="s">
        <v>634</v>
      </c>
      <c r="C194" s="2" t="s">
        <v>31</v>
      </c>
      <c r="D194" s="2" t="s">
        <v>32</v>
      </c>
      <c r="E194" s="5">
        <v>-30928</v>
      </c>
      <c r="F194" s="3" t="s">
        <v>330</v>
      </c>
      <c r="G194" s="3" t="s">
        <v>71</v>
      </c>
      <c r="H194" s="2" t="s">
        <v>21</v>
      </c>
      <c r="I194" s="2" t="s">
        <v>635</v>
      </c>
      <c r="J194" s="3" t="str">
        <f>HYPERLINK("https://www.boe.es/gazeta/dias/1815/04/27/pdfs/GMD-1815-51.pdf#page=7","Abrir facsímil")</f>
        <v>Abrir facsímil</v>
      </c>
      <c r="K194" s="3" t="s">
        <v>23</v>
      </c>
    </row>
    <row r="195" spans="1:11" ht="42" customHeight="1">
      <c r="A195" s="2" t="s">
        <v>636</v>
      </c>
      <c r="B195" s="2" t="s">
        <v>637</v>
      </c>
      <c r="C195" s="2" t="s">
        <v>31</v>
      </c>
      <c r="D195" s="2" t="s">
        <v>32</v>
      </c>
      <c r="E195" s="5">
        <v>-31033</v>
      </c>
      <c r="F195" s="3" t="s">
        <v>493</v>
      </c>
      <c r="G195" s="3" t="s">
        <v>71</v>
      </c>
      <c r="H195" s="2" t="s">
        <v>72</v>
      </c>
      <c r="I195" s="2" t="s">
        <v>638</v>
      </c>
      <c r="J195" s="3" t="str">
        <f>HYPERLINK("https://www.boe.es/gazeta/dias/1815/01/12/pdfs/GMD-1815-5.pdf#page=7","Abrir facsímil")</f>
        <v>Abrir facsímil</v>
      </c>
      <c r="K195" s="3" t="s">
        <v>74</v>
      </c>
    </row>
    <row r="196" spans="1:11" ht="42" customHeight="1">
      <c r="A196" s="2" t="s">
        <v>639</v>
      </c>
      <c r="B196" s="2" t="s">
        <v>640</v>
      </c>
      <c r="C196" s="2" t="s">
        <v>195</v>
      </c>
      <c r="D196" s="2" t="s">
        <v>50</v>
      </c>
      <c r="E196" s="5">
        <v>-30872</v>
      </c>
      <c r="F196" s="3" t="s">
        <v>167</v>
      </c>
      <c r="G196" s="3" t="s">
        <v>224</v>
      </c>
      <c r="H196" s="2" t="s">
        <v>72</v>
      </c>
      <c r="I196" s="2" t="s">
        <v>641</v>
      </c>
      <c r="J196" s="3" t="str">
        <f>HYPERLINK("https://www.boe.es/gazeta/dias/1815/06/22/pdfs/GMD-1815-75.pdf#page=9","Abrir facsímil")</f>
        <v>Abrir facsímil</v>
      </c>
      <c r="K196" s="3" t="s">
        <v>74</v>
      </c>
    </row>
    <row r="197" spans="1:11" ht="42" customHeight="1">
      <c r="A197" s="2" t="s">
        <v>642</v>
      </c>
      <c r="B197" s="2" t="s">
        <v>643</v>
      </c>
      <c r="C197" s="2" t="s">
        <v>17</v>
      </c>
      <c r="D197" s="2" t="s">
        <v>18</v>
      </c>
      <c r="E197" s="5">
        <v>-30814</v>
      </c>
      <c r="F197" s="3" t="s">
        <v>644</v>
      </c>
      <c r="G197" s="3" t="s">
        <v>57</v>
      </c>
      <c r="H197" s="2" t="s">
        <v>72</v>
      </c>
      <c r="I197" s="2" t="s">
        <v>645</v>
      </c>
      <c r="J197" s="3" t="str">
        <f>HYPERLINK("https://www.boe.es/gazeta/dias/1815/08/19/pdfs/GMD-1815-102.pdf#page=5","Abrir facsímil")</f>
        <v>Abrir facsímil</v>
      </c>
      <c r="K197" s="3" t="s">
        <v>74</v>
      </c>
    </row>
    <row r="198" spans="1:11" ht="42" customHeight="1">
      <c r="A198" s="2" t="s">
        <v>646</v>
      </c>
      <c r="B198" s="2" t="s">
        <v>647</v>
      </c>
      <c r="C198" s="2" t="s">
        <v>61</v>
      </c>
      <c r="D198" s="2" t="s">
        <v>50</v>
      </c>
      <c r="E198" s="5">
        <v>-30902</v>
      </c>
      <c r="F198" s="3" t="s">
        <v>648</v>
      </c>
      <c r="G198" s="3" t="s">
        <v>38</v>
      </c>
      <c r="H198" s="2" t="s">
        <v>72</v>
      </c>
      <c r="I198" s="2" t="s">
        <v>649</v>
      </c>
      <c r="J198" s="3" t="str">
        <f>HYPERLINK("https://www.boe.es/gazeta/dias/1815/05/23/pdfs/GMD-1815-62.pdf#page=8","Abrir facsímil")</f>
        <v>Abrir facsímil</v>
      </c>
      <c r="K198" s="3" t="s">
        <v>74</v>
      </c>
    </row>
    <row r="199" spans="1:11" ht="42" customHeight="1">
      <c r="A199" s="2" t="s">
        <v>650</v>
      </c>
      <c r="B199" s="2" t="s">
        <v>651</v>
      </c>
      <c r="C199" s="2" t="s">
        <v>17</v>
      </c>
      <c r="D199" s="2" t="s">
        <v>18</v>
      </c>
      <c r="E199" s="5">
        <v>-30863</v>
      </c>
      <c r="F199" s="3" t="s">
        <v>110</v>
      </c>
      <c r="G199" s="3" t="s">
        <v>276</v>
      </c>
      <c r="H199" s="2" t="s">
        <v>72</v>
      </c>
      <c r="I199" s="2" t="s">
        <v>652</v>
      </c>
      <c r="J199" s="3" t="str">
        <f>HYPERLINK("https://www.boe.es/gazeta/dias/1815/07/01/pdfs/GMD-1815-79.pdf#page=12","Abrir facsímil")</f>
        <v>Abrir facsímil</v>
      </c>
      <c r="K199" s="3" t="s">
        <v>74</v>
      </c>
    </row>
    <row r="200" spans="1:11" ht="42" customHeight="1">
      <c r="A200" s="2" t="s">
        <v>653</v>
      </c>
      <c r="B200" s="2" t="s">
        <v>653</v>
      </c>
      <c r="C200" s="2" t="s">
        <v>31</v>
      </c>
      <c r="D200" s="2" t="s">
        <v>32</v>
      </c>
      <c r="E200" s="5">
        <v>-30907</v>
      </c>
      <c r="F200" s="3" t="s">
        <v>301</v>
      </c>
      <c r="G200" s="3" t="s">
        <v>57</v>
      </c>
      <c r="H200" s="2" t="s">
        <v>72</v>
      </c>
      <c r="I200" s="2" t="s">
        <v>654</v>
      </c>
      <c r="J200" s="3" t="str">
        <f>HYPERLINK("https://www.boe.es/gazeta/dias/1815/05/18/pdfs/GMD-1815-60.pdf#page=5","Abrir facsímil")</f>
        <v>Abrir facsímil</v>
      </c>
      <c r="K200" s="3" t="s">
        <v>74</v>
      </c>
    </row>
    <row r="201" spans="1:11" ht="42" customHeight="1">
      <c r="A201" s="2" t="s">
        <v>653</v>
      </c>
      <c r="B201" s="2" t="s">
        <v>653</v>
      </c>
      <c r="C201" s="2" t="s">
        <v>31</v>
      </c>
      <c r="D201" s="2" t="s">
        <v>179</v>
      </c>
      <c r="E201" s="5">
        <v>-30860</v>
      </c>
      <c r="F201" s="3" t="s">
        <v>180</v>
      </c>
      <c r="G201" s="3" t="s">
        <v>377</v>
      </c>
      <c r="H201" s="2" t="s">
        <v>72</v>
      </c>
      <c r="I201" s="2" t="s">
        <v>655</v>
      </c>
      <c r="J201" s="3" t="str">
        <f>HYPERLINK("https://www.boe.es/gazeta/dias/1815/07/04/pdfs/GMD-1815-82E.pdf#page=2","Abrir facsímil")</f>
        <v>Abrir facsímil</v>
      </c>
      <c r="K201" s="3" t="s">
        <v>74</v>
      </c>
    </row>
    <row r="202" spans="1:11" ht="42" customHeight="1">
      <c r="A202" s="2" t="s">
        <v>653</v>
      </c>
      <c r="B202" s="2" t="s">
        <v>653</v>
      </c>
      <c r="C202" s="2" t="s">
        <v>31</v>
      </c>
      <c r="D202" s="2" t="s">
        <v>179</v>
      </c>
      <c r="E202" s="5">
        <v>-30860</v>
      </c>
      <c r="F202" s="3" t="s">
        <v>180</v>
      </c>
      <c r="G202" s="3" t="s">
        <v>20</v>
      </c>
      <c r="H202" s="2" t="s">
        <v>72</v>
      </c>
      <c r="I202" s="2" t="s">
        <v>656</v>
      </c>
      <c r="J202" s="3" t="str">
        <f>HYPERLINK("https://www.boe.es/gazeta/dias/1815/07/04/pdfs/GMD-1815-82E.pdf#page=4","Abrir facsímil")</f>
        <v>Abrir facsímil</v>
      </c>
      <c r="K202" s="3" t="s">
        <v>74</v>
      </c>
    </row>
    <row r="203" spans="1:11" ht="42" customHeight="1">
      <c r="A203" s="2" t="s">
        <v>657</v>
      </c>
      <c r="B203" s="2" t="s">
        <v>658</v>
      </c>
      <c r="C203" s="2" t="s">
        <v>49</v>
      </c>
      <c r="D203" s="2" t="s">
        <v>50</v>
      </c>
      <c r="E203" s="5">
        <v>-30888</v>
      </c>
      <c r="F203" s="3" t="s">
        <v>368</v>
      </c>
      <c r="G203" s="3" t="s">
        <v>369</v>
      </c>
      <c r="H203" s="2" t="s">
        <v>72</v>
      </c>
      <c r="I203" s="2" t="s">
        <v>659</v>
      </c>
      <c r="J203" s="3" t="str">
        <f>HYPERLINK("https://www.boe.es/gazeta/dias/1815/06/06/pdfs/GMD-1815-68.pdf#page=7","Abrir facsímil")</f>
        <v>Abrir facsímil</v>
      </c>
      <c r="K203" s="3" t="s">
        <v>74</v>
      </c>
    </row>
    <row r="204" spans="1:11" ht="42" customHeight="1">
      <c r="A204" s="2" t="s">
        <v>660</v>
      </c>
      <c r="B204" s="2" t="s">
        <v>661</v>
      </c>
      <c r="C204" s="2" t="s">
        <v>131</v>
      </c>
      <c r="D204" s="2" t="s">
        <v>50</v>
      </c>
      <c r="E204" s="5">
        <v>-30807</v>
      </c>
      <c r="F204" s="3" t="s">
        <v>586</v>
      </c>
      <c r="G204" s="3" t="s">
        <v>662</v>
      </c>
      <c r="H204" s="2" t="s">
        <v>72</v>
      </c>
      <c r="I204" s="2" t="s">
        <v>663</v>
      </c>
      <c r="J204" s="3" t="str">
        <f>HYPERLINK("https://www.boe.es/gazeta/dias/1815/08/26/pdfs/GMD-1815-105.pdf#page=7","Abrir facsímil")</f>
        <v>Abrir facsímil</v>
      </c>
      <c r="K204" s="3" t="s">
        <v>74</v>
      </c>
    </row>
    <row r="205" spans="1:11" ht="42" customHeight="1">
      <c r="A205" s="2" t="s">
        <v>664</v>
      </c>
      <c r="B205" s="2" t="s">
        <v>665</v>
      </c>
      <c r="C205" s="2" t="s">
        <v>49</v>
      </c>
      <c r="D205" s="2" t="s">
        <v>50</v>
      </c>
      <c r="E205" s="5">
        <v>-30916</v>
      </c>
      <c r="F205" s="3" t="s">
        <v>147</v>
      </c>
      <c r="G205" s="3" t="s">
        <v>38</v>
      </c>
      <c r="H205" s="2" t="s">
        <v>72</v>
      </c>
      <c r="I205" s="2" t="s">
        <v>666</v>
      </c>
      <c r="J205" s="3" t="str">
        <f>HYPERLINK("https://www.boe.es/gazeta/dias/1815/05/09/pdfs/GMD-1815-56.pdf#page=8","Abrir facsímil")</f>
        <v>Abrir facsímil</v>
      </c>
      <c r="K205" s="3" t="s">
        <v>74</v>
      </c>
    </row>
    <row r="206" spans="1:11" ht="42" customHeight="1">
      <c r="A206" s="2" t="s">
        <v>667</v>
      </c>
      <c r="B206" s="2" t="s">
        <v>668</v>
      </c>
      <c r="C206" s="2" t="s">
        <v>49</v>
      </c>
      <c r="D206" s="2" t="s">
        <v>50</v>
      </c>
      <c r="E206" s="5">
        <v>-30825</v>
      </c>
      <c r="F206" s="3" t="s">
        <v>669</v>
      </c>
      <c r="G206" s="3" t="s">
        <v>88</v>
      </c>
      <c r="H206" s="2" t="s">
        <v>72</v>
      </c>
      <c r="I206" s="2" t="s">
        <v>670</v>
      </c>
      <c r="J206" s="3" t="str">
        <f>HYPERLINK("https://www.boe.es/gazeta/dias/1815/08/08/pdfs/GMD-1815-97.pdf#page=10","Abrir facsímil")</f>
        <v>Abrir facsímil</v>
      </c>
      <c r="K206" s="3" t="s">
        <v>74</v>
      </c>
    </row>
    <row r="207" spans="1:11" ht="42" customHeight="1">
      <c r="A207" s="2" t="s">
        <v>671</v>
      </c>
      <c r="B207" s="2" t="s">
        <v>672</v>
      </c>
      <c r="C207" s="2" t="s">
        <v>195</v>
      </c>
      <c r="D207" s="2" t="s">
        <v>50</v>
      </c>
      <c r="E207" s="5">
        <v>-30888</v>
      </c>
      <c r="F207" s="3" t="s">
        <v>368</v>
      </c>
      <c r="G207" s="3" t="s">
        <v>224</v>
      </c>
      <c r="H207" s="2" t="s">
        <v>21</v>
      </c>
      <c r="I207" s="2" t="s">
        <v>673</v>
      </c>
      <c r="J207" s="3" t="str">
        <f>HYPERLINK("https://www.boe.es/gazeta/dias/1815/06/06/pdfs/GMD-1815-68.pdf#page=9","Abrir facsímil")</f>
        <v>Abrir facsímil</v>
      </c>
      <c r="K207" s="3" t="s">
        <v>23</v>
      </c>
    </row>
    <row r="208" spans="1:11" ht="42" customHeight="1">
      <c r="A208" s="2" t="s">
        <v>674</v>
      </c>
      <c r="B208" s="2" t="s">
        <v>675</v>
      </c>
      <c r="C208" s="2" t="s">
        <v>49</v>
      </c>
      <c r="D208" s="2" t="s">
        <v>50</v>
      </c>
      <c r="E208" s="5">
        <v>-30982</v>
      </c>
      <c r="F208" s="3" t="s">
        <v>220</v>
      </c>
      <c r="G208" s="3" t="s">
        <v>57</v>
      </c>
      <c r="H208" s="2" t="s">
        <v>72</v>
      </c>
      <c r="I208" s="2" t="s">
        <v>676</v>
      </c>
      <c r="J208" s="3" t="str">
        <f>HYPERLINK("https://www.boe.es/gazeta/dias/1815/03/04/pdfs/GMD-1815-27.pdf#page=5","Abrir facsímil")</f>
        <v>Abrir facsímil</v>
      </c>
      <c r="K208" s="3" t="s">
        <v>74</v>
      </c>
    </row>
    <row r="209" spans="1:11" ht="42" customHeight="1">
      <c r="A209" s="2" t="s">
        <v>677</v>
      </c>
      <c r="B209" s="2" t="s">
        <v>678</v>
      </c>
      <c r="C209" s="2" t="s">
        <v>31</v>
      </c>
      <c r="D209" s="2" t="s">
        <v>32</v>
      </c>
      <c r="E209" s="5">
        <v>-30916</v>
      </c>
      <c r="F209" s="3" t="s">
        <v>147</v>
      </c>
      <c r="G209" s="3" t="s">
        <v>38</v>
      </c>
      <c r="H209" s="2" t="s">
        <v>72</v>
      </c>
      <c r="I209" s="2" t="s">
        <v>679</v>
      </c>
      <c r="J209" s="3" t="str">
        <f>HYPERLINK("https://www.boe.es/gazeta/dias/1815/05/09/pdfs/GMD-1815-56.pdf#page=8","Abrir facsímil")</f>
        <v>Abrir facsímil</v>
      </c>
      <c r="K209" s="3" t="s">
        <v>74</v>
      </c>
    </row>
    <row r="210" spans="1:11" ht="42" customHeight="1">
      <c r="A210" s="2" t="s">
        <v>680</v>
      </c>
      <c r="B210" s="2" t="s">
        <v>681</v>
      </c>
      <c r="C210" s="2" t="s">
        <v>49</v>
      </c>
      <c r="D210" s="2" t="s">
        <v>50</v>
      </c>
      <c r="E210" s="5">
        <v>-30949</v>
      </c>
      <c r="F210" s="3" t="s">
        <v>420</v>
      </c>
      <c r="G210" s="3" t="s">
        <v>20</v>
      </c>
      <c r="H210" s="2" t="s">
        <v>72</v>
      </c>
      <c r="I210" s="2" t="s">
        <v>682</v>
      </c>
      <c r="J210" s="3" t="str">
        <f>HYPERLINK("https://www.boe.es/gazeta/dias/1815/04/06/pdfs/GMD-1815-42.pdf#page=4","Abrir facsímil")</f>
        <v>Abrir facsímil</v>
      </c>
      <c r="K210" s="3" t="s">
        <v>74</v>
      </c>
    </row>
    <row r="211" spans="1:11" ht="42" customHeight="1">
      <c r="A211" s="2" t="s">
        <v>683</v>
      </c>
      <c r="B211" s="2" t="s">
        <v>684</v>
      </c>
      <c r="C211" s="2" t="s">
        <v>81</v>
      </c>
      <c r="D211" s="2" t="s">
        <v>50</v>
      </c>
      <c r="E211" s="5">
        <v>-30781</v>
      </c>
      <c r="F211" s="3" t="s">
        <v>685</v>
      </c>
      <c r="G211" s="3" t="s">
        <v>71</v>
      </c>
      <c r="H211" s="2" t="s">
        <v>72</v>
      </c>
      <c r="I211" s="2" t="s">
        <v>686</v>
      </c>
      <c r="J211" s="3" t="str">
        <f>HYPERLINK("https://www.boe.es/gazeta/dias/1815/09/21/pdfs/GMD-1815-117.pdf#page=7","Abrir facsímil")</f>
        <v>Abrir facsímil</v>
      </c>
      <c r="K211" s="3" t="s">
        <v>74</v>
      </c>
    </row>
    <row r="212" spans="1:11" ht="42" customHeight="1">
      <c r="A212" s="2" t="s">
        <v>687</v>
      </c>
      <c r="B212" s="2" t="s">
        <v>688</v>
      </c>
      <c r="C212" s="2" t="s">
        <v>17</v>
      </c>
      <c r="D212" s="2" t="s">
        <v>18</v>
      </c>
      <c r="E212" s="5">
        <v>-30844</v>
      </c>
      <c r="F212" s="3" t="s">
        <v>114</v>
      </c>
      <c r="G212" s="3" t="s">
        <v>71</v>
      </c>
      <c r="H212" s="2" t="s">
        <v>72</v>
      </c>
      <c r="I212" s="2" t="s">
        <v>689</v>
      </c>
      <c r="J212" s="3" t="str">
        <f>HYPERLINK("https://www.boe.es/gazeta/dias/1815/07/20/pdfs/GMD-1815-89.pdf#page=7","Abrir facsímil")</f>
        <v>Abrir facsímil</v>
      </c>
      <c r="K212" s="3" t="s">
        <v>74</v>
      </c>
    </row>
    <row r="213" spans="1:11" ht="42" customHeight="1">
      <c r="A213" s="2" t="s">
        <v>690</v>
      </c>
      <c r="B213" s="2" t="s">
        <v>691</v>
      </c>
      <c r="C213" s="2" t="s">
        <v>31</v>
      </c>
      <c r="D213" s="2" t="s">
        <v>32</v>
      </c>
      <c r="E213" s="5">
        <v>-30891</v>
      </c>
      <c r="F213" s="3" t="s">
        <v>498</v>
      </c>
      <c r="G213" s="3" t="s">
        <v>57</v>
      </c>
      <c r="H213" s="2" t="s">
        <v>72</v>
      </c>
      <c r="I213" s="2" t="s">
        <v>692</v>
      </c>
      <c r="J213" s="3" t="str">
        <f>HYPERLINK("https://www.boe.es/gazeta/dias/1815/06/03/pdfs/GMD-1815-67.pdf#page=5","Abrir facsímil")</f>
        <v>Abrir facsímil</v>
      </c>
      <c r="K213" s="3" t="s">
        <v>74</v>
      </c>
    </row>
    <row r="214" spans="1:11" ht="42" customHeight="1">
      <c r="A214" s="2" t="s">
        <v>693</v>
      </c>
      <c r="B214" s="2" t="s">
        <v>694</v>
      </c>
      <c r="C214" s="2" t="s">
        <v>17</v>
      </c>
      <c r="D214" s="2" t="s">
        <v>18</v>
      </c>
      <c r="E214" s="5">
        <v>-30872</v>
      </c>
      <c r="F214" s="3" t="s">
        <v>167</v>
      </c>
      <c r="G214" s="3" t="s">
        <v>342</v>
      </c>
      <c r="H214" s="2" t="s">
        <v>72</v>
      </c>
      <c r="I214" s="2" t="s">
        <v>695</v>
      </c>
      <c r="J214" s="3" t="str">
        <f>HYPERLINK("https://www.boe.es/gazeta/dias/1815/06/22/pdfs/GMD-1815-75.pdf#page=8","Abrir facsímil")</f>
        <v>Abrir facsímil</v>
      </c>
      <c r="K214" s="3" t="s">
        <v>74</v>
      </c>
    </row>
    <row r="215" spans="1:11" ht="42" customHeight="1">
      <c r="A215" s="2" t="s">
        <v>696</v>
      </c>
      <c r="B215" s="2" t="s">
        <v>697</v>
      </c>
      <c r="C215" s="2" t="s">
        <v>31</v>
      </c>
      <c r="D215" s="2" t="s">
        <v>32</v>
      </c>
      <c r="E215" s="5">
        <v>-30860</v>
      </c>
      <c r="F215" s="3" t="s">
        <v>184</v>
      </c>
      <c r="G215" s="3" t="s">
        <v>20</v>
      </c>
      <c r="H215" s="2" t="s">
        <v>72</v>
      </c>
      <c r="I215" s="2" t="s">
        <v>698</v>
      </c>
      <c r="J215" s="3" t="str">
        <f>HYPERLINK("https://www.boe.es/gazeta/dias/1815/07/04/pdfs/GMD-1815-81.pdf#page=4","Abrir facsímil")</f>
        <v>Abrir facsímil</v>
      </c>
      <c r="K215" s="3" t="s">
        <v>74</v>
      </c>
    </row>
    <row r="216" spans="1:11" ht="42" customHeight="1">
      <c r="A216" s="2" t="s">
        <v>699</v>
      </c>
      <c r="B216" s="2" t="s">
        <v>700</v>
      </c>
      <c r="C216" s="2" t="s">
        <v>31</v>
      </c>
      <c r="D216" s="2" t="s">
        <v>32</v>
      </c>
      <c r="E216" s="5">
        <v>-30844</v>
      </c>
      <c r="F216" s="3" t="s">
        <v>114</v>
      </c>
      <c r="G216" s="3" t="s">
        <v>38</v>
      </c>
      <c r="H216" s="2" t="s">
        <v>72</v>
      </c>
      <c r="I216" s="2" t="s">
        <v>701</v>
      </c>
      <c r="J216" s="3" t="str">
        <f>HYPERLINK("https://www.boe.es/gazeta/dias/1815/07/20/pdfs/GMD-1815-89.pdf#page=8","Abrir facsímil")</f>
        <v>Abrir facsímil</v>
      </c>
      <c r="K216" s="3" t="s">
        <v>74</v>
      </c>
    </row>
    <row r="217" spans="1:11" ht="42" customHeight="1">
      <c r="A217" s="2" t="s">
        <v>702</v>
      </c>
      <c r="B217" s="2" t="s">
        <v>703</v>
      </c>
      <c r="C217" s="2" t="s">
        <v>49</v>
      </c>
      <c r="D217" s="2" t="s">
        <v>50</v>
      </c>
      <c r="E217" s="5">
        <v>-30893</v>
      </c>
      <c r="F217" s="3" t="s">
        <v>132</v>
      </c>
      <c r="G217" s="3" t="s">
        <v>155</v>
      </c>
      <c r="H217" s="2" t="s">
        <v>72</v>
      </c>
      <c r="I217" s="2" t="s">
        <v>704</v>
      </c>
      <c r="J217" s="3" t="str">
        <f>HYPERLINK("https://www.boe.es/gazeta/dias/1815/06/01/pdfs/GMD-1815-66.pdf#page=6","Abrir facsímil")</f>
        <v>Abrir facsímil</v>
      </c>
      <c r="K217" s="3" t="s">
        <v>74</v>
      </c>
    </row>
    <row r="218" spans="1:11" ht="42" customHeight="1">
      <c r="A218" s="2" t="s">
        <v>705</v>
      </c>
      <c r="B218" s="2" t="s">
        <v>706</v>
      </c>
      <c r="C218" s="2" t="s">
        <v>31</v>
      </c>
      <c r="D218" s="2" t="s">
        <v>32</v>
      </c>
      <c r="E218" s="5">
        <v>-30860</v>
      </c>
      <c r="F218" s="3" t="s">
        <v>184</v>
      </c>
      <c r="G218" s="3" t="s">
        <v>472</v>
      </c>
      <c r="H218" s="2" t="s">
        <v>72</v>
      </c>
      <c r="I218" s="2" t="s">
        <v>707</v>
      </c>
      <c r="J218" s="3" t="str">
        <f>HYPERLINK("https://www.boe.es/gazeta/dias/1815/07/04/pdfs/GMD-1815-81.pdf#page=8","Abrir facsímil")</f>
        <v>Abrir facsímil</v>
      </c>
      <c r="K218" s="3" t="s">
        <v>74</v>
      </c>
    </row>
    <row r="219" spans="1:11" ht="42" customHeight="1">
      <c r="A219" s="2" t="s">
        <v>708</v>
      </c>
      <c r="B219" s="2" t="s">
        <v>709</v>
      </c>
      <c r="C219" s="2" t="s">
        <v>195</v>
      </c>
      <c r="D219" s="2" t="s">
        <v>50</v>
      </c>
      <c r="E219" s="5">
        <v>-30872</v>
      </c>
      <c r="F219" s="3" t="s">
        <v>167</v>
      </c>
      <c r="G219" s="3" t="s">
        <v>224</v>
      </c>
      <c r="H219" s="2" t="s">
        <v>72</v>
      </c>
      <c r="I219" s="2" t="s">
        <v>710</v>
      </c>
      <c r="J219" s="3" t="str">
        <f>HYPERLINK("https://www.boe.es/gazeta/dias/1815/06/22/pdfs/GMD-1815-75.pdf#page=9","Abrir facsímil")</f>
        <v>Abrir facsímil</v>
      </c>
      <c r="K219" s="3" t="s">
        <v>74</v>
      </c>
    </row>
    <row r="220" spans="1:11" ht="42" customHeight="1">
      <c r="A220" s="2" t="s">
        <v>711</v>
      </c>
      <c r="B220" s="2" t="s">
        <v>712</v>
      </c>
      <c r="C220" s="2" t="s">
        <v>195</v>
      </c>
      <c r="D220" s="2" t="s">
        <v>50</v>
      </c>
      <c r="E220" s="5">
        <v>-30888</v>
      </c>
      <c r="F220" s="3" t="s">
        <v>368</v>
      </c>
      <c r="G220" s="3" t="s">
        <v>369</v>
      </c>
      <c r="H220" s="2" t="s">
        <v>72</v>
      </c>
      <c r="I220" s="2" t="s">
        <v>713</v>
      </c>
      <c r="J220" s="3" t="str">
        <f>HYPERLINK("https://www.boe.es/gazeta/dias/1815/06/06/pdfs/GMD-1815-68.pdf#page=7","Abrir facsímil")</f>
        <v>Abrir facsímil</v>
      </c>
      <c r="K220" s="3" t="s">
        <v>74</v>
      </c>
    </row>
    <row r="221" spans="1:11" ht="42" customHeight="1">
      <c r="A221" s="2" t="s">
        <v>714</v>
      </c>
      <c r="B221" s="2" t="s">
        <v>715</v>
      </c>
      <c r="C221" s="2" t="s">
        <v>49</v>
      </c>
      <c r="D221" s="2" t="s">
        <v>50</v>
      </c>
      <c r="E221" s="5">
        <v>-31040</v>
      </c>
      <c r="F221" s="3" t="s">
        <v>326</v>
      </c>
      <c r="G221" s="3" t="s">
        <v>27</v>
      </c>
      <c r="H221" s="2" t="s">
        <v>72</v>
      </c>
      <c r="I221" s="2" t="s">
        <v>716</v>
      </c>
      <c r="J221" s="3" t="str">
        <f>HYPERLINK("https://www.boe.es/gazeta/dias/1815/01/05/pdfs/GMD-1815-2.pdf#page=6","Abrir facsímil")</f>
        <v>Abrir facsímil</v>
      </c>
      <c r="K221" s="3" t="s">
        <v>74</v>
      </c>
    </row>
    <row r="222" spans="1:11" ht="42" customHeight="1">
      <c r="A222" s="2" t="s">
        <v>717</v>
      </c>
      <c r="B222" s="2" t="s">
        <v>718</v>
      </c>
      <c r="C222" s="2" t="s">
        <v>195</v>
      </c>
      <c r="D222" s="2" t="s">
        <v>50</v>
      </c>
      <c r="E222" s="5">
        <v>-30874</v>
      </c>
      <c r="F222" s="3" t="s">
        <v>208</v>
      </c>
      <c r="G222" s="3" t="s">
        <v>71</v>
      </c>
      <c r="H222" s="2" t="s">
        <v>72</v>
      </c>
      <c r="I222" s="2" t="s">
        <v>719</v>
      </c>
      <c r="J222" s="3" t="str">
        <f>HYPERLINK("https://www.boe.es/gazeta/dias/1815/06/20/pdfs/GMD-1815-74.pdf#page=7","Abrir facsímil")</f>
        <v>Abrir facsímil</v>
      </c>
      <c r="K222" s="3" t="s">
        <v>74</v>
      </c>
    </row>
    <row r="223" spans="1:11" ht="42" customHeight="1">
      <c r="A223" s="2" t="s">
        <v>720</v>
      </c>
      <c r="B223" s="2" t="s">
        <v>721</v>
      </c>
      <c r="C223" s="2" t="s">
        <v>31</v>
      </c>
      <c r="D223" s="2" t="s">
        <v>32</v>
      </c>
      <c r="E223" s="5">
        <v>-30825</v>
      </c>
      <c r="F223" s="3" t="s">
        <v>669</v>
      </c>
      <c r="G223" s="3" t="s">
        <v>224</v>
      </c>
      <c r="H223" s="2" t="s">
        <v>21</v>
      </c>
      <c r="I223" s="2" t="s">
        <v>722</v>
      </c>
      <c r="J223" s="3" t="str">
        <f>HYPERLINK("https://www.boe.es/gazeta/dias/1815/08/08/pdfs/GMD-1815-97.pdf#page=9","Abrir facsímil")</f>
        <v>Abrir facsímil</v>
      </c>
      <c r="K223" s="3" t="s">
        <v>23</v>
      </c>
    </row>
    <row r="224" spans="1:11" ht="42" customHeight="1">
      <c r="A224" s="2" t="s">
        <v>723</v>
      </c>
      <c r="B224" s="2" t="s">
        <v>724</v>
      </c>
      <c r="C224" s="2" t="s">
        <v>49</v>
      </c>
      <c r="D224" s="2" t="s">
        <v>50</v>
      </c>
      <c r="E224" s="5">
        <v>-30933</v>
      </c>
      <c r="F224" s="3" t="s">
        <v>725</v>
      </c>
      <c r="G224" s="3" t="s">
        <v>726</v>
      </c>
      <c r="H224" s="2" t="s">
        <v>72</v>
      </c>
      <c r="I224" s="2" t="s">
        <v>727</v>
      </c>
      <c r="J224" s="3" t="str">
        <f>HYPERLINK("https://www.boe.es/gazeta/dias/1815/04/22/pdfs/GMD-1815-49.pdf#page=4","Abrir facsímil")</f>
        <v>Abrir facsímil</v>
      </c>
      <c r="K224" s="3" t="s">
        <v>74</v>
      </c>
    </row>
    <row r="225" spans="1:11" ht="42" customHeight="1">
      <c r="A225" s="2" t="s">
        <v>728</v>
      </c>
      <c r="B225" s="2" t="s">
        <v>729</v>
      </c>
      <c r="C225" s="2" t="s">
        <v>17</v>
      </c>
      <c r="D225" s="2" t="s">
        <v>18</v>
      </c>
      <c r="E225" s="5">
        <v>-30942</v>
      </c>
      <c r="F225" s="3" t="s">
        <v>730</v>
      </c>
      <c r="G225" s="3" t="s">
        <v>71</v>
      </c>
      <c r="H225" s="2" t="s">
        <v>72</v>
      </c>
      <c r="I225" s="2" t="s">
        <v>731</v>
      </c>
      <c r="J225" s="3" t="str">
        <f>HYPERLINK("https://www.boe.es/gazeta/dias/1815/04/13/pdfs/GMD-1815-45.pdf#page=7","Abrir facsímil")</f>
        <v>Abrir facsímil</v>
      </c>
      <c r="K225" s="3" t="s">
        <v>74</v>
      </c>
    </row>
    <row r="226" spans="1:11" ht="42" customHeight="1">
      <c r="A226" s="2" t="s">
        <v>732</v>
      </c>
      <c r="B226" s="2" t="s">
        <v>732</v>
      </c>
      <c r="C226" s="2" t="s">
        <v>31</v>
      </c>
      <c r="D226" s="2" t="s">
        <v>32</v>
      </c>
      <c r="E226" s="5">
        <v>-30888</v>
      </c>
      <c r="F226" s="3" t="s">
        <v>368</v>
      </c>
      <c r="G226" s="3" t="s">
        <v>377</v>
      </c>
      <c r="H226" s="2" t="s">
        <v>72</v>
      </c>
      <c r="I226" s="2" t="s">
        <v>733</v>
      </c>
      <c r="J226" s="3" t="str">
        <f>HYPERLINK("https://www.boe.es/gazeta/dias/1815/06/06/pdfs/GMD-1815-68.pdf#page=2","Abrir facsímil")</f>
        <v>Abrir facsímil</v>
      </c>
      <c r="K226" s="3" t="s">
        <v>74</v>
      </c>
    </row>
    <row r="227" spans="1:11" ht="42" customHeight="1">
      <c r="A227" s="2" t="s">
        <v>734</v>
      </c>
      <c r="B227" s="2" t="s">
        <v>735</v>
      </c>
      <c r="C227" s="2" t="s">
        <v>17</v>
      </c>
      <c r="D227" s="2" t="s">
        <v>18</v>
      </c>
      <c r="E227" s="5">
        <v>-30944</v>
      </c>
      <c r="F227" s="3" t="s">
        <v>412</v>
      </c>
      <c r="G227" s="3" t="s">
        <v>38</v>
      </c>
      <c r="H227" s="2" t="s">
        <v>72</v>
      </c>
      <c r="I227" s="2" t="s">
        <v>736</v>
      </c>
      <c r="J227" s="3" t="str">
        <f>HYPERLINK("https://www.boe.es/gazeta/dias/1815/04/11/pdfs/GMD-1815-44.pdf#page=8","Abrir facsímil")</f>
        <v>Abrir facsímil</v>
      </c>
      <c r="K227" s="3" t="s">
        <v>74</v>
      </c>
    </row>
    <row r="228" spans="1:11" ht="42" customHeight="1">
      <c r="A228" s="2" t="s">
        <v>737</v>
      </c>
      <c r="B228" s="2" t="s">
        <v>738</v>
      </c>
      <c r="C228" s="2" t="s">
        <v>49</v>
      </c>
      <c r="D228" s="2" t="s">
        <v>50</v>
      </c>
      <c r="E228" s="5">
        <v>-30893</v>
      </c>
      <c r="F228" s="3" t="s">
        <v>132</v>
      </c>
      <c r="G228" s="3" t="s">
        <v>71</v>
      </c>
      <c r="H228" s="2" t="s">
        <v>21</v>
      </c>
      <c r="I228" s="2" t="s">
        <v>739</v>
      </c>
      <c r="J228" s="3" t="str">
        <f>HYPERLINK("https://www.boe.es/gazeta/dias/1815/06/01/pdfs/GMD-1815-66.pdf#page=7","Abrir facsímil")</f>
        <v>Abrir facsímil</v>
      </c>
      <c r="K228" s="3" t="s">
        <v>23</v>
      </c>
    </row>
    <row r="229" spans="1:11" ht="42" customHeight="1">
      <c r="A229" s="2" t="s">
        <v>740</v>
      </c>
      <c r="B229" s="2" t="s">
        <v>741</v>
      </c>
      <c r="C229" s="2" t="s">
        <v>17</v>
      </c>
      <c r="D229" s="2" t="s">
        <v>18</v>
      </c>
      <c r="E229" s="5">
        <v>-30825</v>
      </c>
      <c r="F229" s="3" t="s">
        <v>669</v>
      </c>
      <c r="G229" s="3" t="s">
        <v>88</v>
      </c>
      <c r="H229" s="2" t="s">
        <v>72</v>
      </c>
      <c r="I229" s="2" t="s">
        <v>742</v>
      </c>
      <c r="J229" s="3" t="str">
        <f>HYPERLINK("https://www.boe.es/gazeta/dias/1815/08/08/pdfs/GMD-1815-97.pdf#page=10","Abrir facsímil")</f>
        <v>Abrir facsímil</v>
      </c>
      <c r="K229" s="3" t="s">
        <v>74</v>
      </c>
    </row>
    <row r="230" spans="1:11" ht="42" customHeight="1">
      <c r="A230" s="2" t="s">
        <v>743</v>
      </c>
      <c r="B230" s="2" t="s">
        <v>744</v>
      </c>
      <c r="C230" s="2" t="s">
        <v>31</v>
      </c>
      <c r="D230" s="2" t="s">
        <v>32</v>
      </c>
      <c r="E230" s="5">
        <v>-30982</v>
      </c>
      <c r="F230" s="3" t="s">
        <v>220</v>
      </c>
      <c r="G230" s="3" t="s">
        <v>38</v>
      </c>
      <c r="H230" s="2" t="s">
        <v>72</v>
      </c>
      <c r="I230" s="2" t="s">
        <v>745</v>
      </c>
      <c r="J230" s="3" t="str">
        <f>HYPERLINK("https://www.boe.es/gazeta/dias/1815/03/04/pdfs/GMD-1815-27.pdf#page=8","Abrir facsímil")</f>
        <v>Abrir facsímil</v>
      </c>
      <c r="K230" s="3" t="s">
        <v>74</v>
      </c>
    </row>
    <row r="231" spans="1:11" ht="42" customHeight="1">
      <c r="A231" s="2" t="s">
        <v>746</v>
      </c>
      <c r="B231" s="2" t="s">
        <v>747</v>
      </c>
      <c r="C231" s="2" t="s">
        <v>81</v>
      </c>
      <c r="D231" s="2" t="s">
        <v>50</v>
      </c>
      <c r="E231" s="5">
        <v>-30984</v>
      </c>
      <c r="F231" s="3" t="s">
        <v>748</v>
      </c>
      <c r="G231" s="3" t="s">
        <v>38</v>
      </c>
      <c r="H231" s="2" t="s">
        <v>72</v>
      </c>
      <c r="I231" s="2" t="s">
        <v>749</v>
      </c>
      <c r="J231" s="3" t="str">
        <f>HYPERLINK("https://www.boe.es/gazeta/dias/1815/03/02/pdfs/GMD-1815-26.pdf#page=8","Abrir facsímil")</f>
        <v>Abrir facsímil</v>
      </c>
      <c r="K231" s="3" t="s">
        <v>74</v>
      </c>
    </row>
    <row r="232" spans="1:11" ht="42" customHeight="1">
      <c r="A232" s="2" t="s">
        <v>750</v>
      </c>
      <c r="B232" s="2" t="s">
        <v>751</v>
      </c>
      <c r="C232" s="2" t="s">
        <v>31</v>
      </c>
      <c r="D232" s="2" t="s">
        <v>32</v>
      </c>
      <c r="E232" s="5">
        <v>-30776</v>
      </c>
      <c r="F232" s="3" t="s">
        <v>118</v>
      </c>
      <c r="G232" s="3" t="s">
        <v>71</v>
      </c>
      <c r="H232" s="2" t="s">
        <v>72</v>
      </c>
      <c r="I232" s="2" t="s">
        <v>752</v>
      </c>
      <c r="J232" s="3" t="str">
        <f>HYPERLINK("https://www.boe.es/gazeta/dias/1815/09/26/pdfs/GMD-1815-119.pdf#page=7","Abrir facsímil")</f>
        <v>Abrir facsímil</v>
      </c>
      <c r="K232" s="3" t="s">
        <v>74</v>
      </c>
    </row>
    <row r="233" spans="1:11" ht="42" customHeight="1">
      <c r="A233" s="2" t="s">
        <v>753</v>
      </c>
      <c r="B233" s="2" t="s">
        <v>753</v>
      </c>
      <c r="C233" s="2" t="s">
        <v>31</v>
      </c>
      <c r="D233" s="2" t="s">
        <v>32</v>
      </c>
      <c r="E233" s="5">
        <v>-30879</v>
      </c>
      <c r="F233" s="3" t="s">
        <v>754</v>
      </c>
      <c r="G233" s="3" t="s">
        <v>52</v>
      </c>
      <c r="H233" s="2" t="s">
        <v>72</v>
      </c>
      <c r="I233" s="2" t="s">
        <v>755</v>
      </c>
      <c r="J233" s="3" t="str">
        <f>HYPERLINK("https://www.boe.es/gazeta/dias/1815/06/15/pdfs/GMD-1815-72.pdf#page=11","Abrir facsímil")</f>
        <v>Abrir facsímil</v>
      </c>
      <c r="K233" s="3" t="s">
        <v>74</v>
      </c>
    </row>
    <row r="234" spans="1:11" ht="42" customHeight="1">
      <c r="A234" s="2" t="s">
        <v>756</v>
      </c>
      <c r="B234" s="2" t="s">
        <v>757</v>
      </c>
      <c r="C234" s="2" t="s">
        <v>49</v>
      </c>
      <c r="D234" s="2" t="s">
        <v>50</v>
      </c>
      <c r="E234" s="5">
        <v>-30790</v>
      </c>
      <c r="F234" s="3" t="s">
        <v>285</v>
      </c>
      <c r="G234" s="3" t="s">
        <v>20</v>
      </c>
      <c r="H234" s="2" t="s">
        <v>72</v>
      </c>
      <c r="I234" s="2" t="s">
        <v>758</v>
      </c>
      <c r="J234" s="3" t="str">
        <f>HYPERLINK("https://www.boe.es/gazeta/dias/1815/09/12/pdfs/GMD-1815-113.pdf#page=4","Abrir facsímil")</f>
        <v>Abrir facsímil</v>
      </c>
      <c r="K234" s="3" t="s">
        <v>74</v>
      </c>
    </row>
    <row r="235" spans="1:11" ht="42" customHeight="1">
      <c r="A235" s="2" t="s">
        <v>759</v>
      </c>
      <c r="B235" s="2" t="s">
        <v>760</v>
      </c>
      <c r="C235" s="2" t="s">
        <v>61</v>
      </c>
      <c r="D235" s="2" t="s">
        <v>50</v>
      </c>
      <c r="E235" s="5">
        <v>-30912</v>
      </c>
      <c r="F235" s="3" t="s">
        <v>579</v>
      </c>
      <c r="G235" s="3" t="s">
        <v>38</v>
      </c>
      <c r="H235" s="2" t="s">
        <v>72</v>
      </c>
      <c r="I235" s="2" t="s">
        <v>761</v>
      </c>
      <c r="J235" s="3" t="str">
        <f>HYPERLINK("https://www.boe.es/gazeta/dias/1815/05/13/pdfs/GMD-1815-58.pdf#page=8","Abrir facsímil")</f>
        <v>Abrir facsímil</v>
      </c>
      <c r="K235" s="3" t="s">
        <v>74</v>
      </c>
    </row>
    <row r="236" spans="1:11" ht="42" customHeight="1">
      <c r="A236" s="2" t="s">
        <v>759</v>
      </c>
      <c r="B236" s="2" t="s">
        <v>760</v>
      </c>
      <c r="C236" s="2" t="s">
        <v>61</v>
      </c>
      <c r="D236" s="2" t="s">
        <v>50</v>
      </c>
      <c r="E236" s="5">
        <v>-30877</v>
      </c>
      <c r="F236" s="3" t="s">
        <v>548</v>
      </c>
      <c r="G236" s="3" t="s">
        <v>276</v>
      </c>
      <c r="H236" s="2" t="s">
        <v>72</v>
      </c>
      <c r="I236" s="2" t="s">
        <v>762</v>
      </c>
      <c r="J236" s="3" t="str">
        <f>HYPERLINK("https://www.boe.es/gazeta/dias/1815/06/17/pdfs/GMD-1815-73.pdf#page=12","Abrir facsímil")</f>
        <v>Abrir facsímil</v>
      </c>
      <c r="K236" s="3" t="s">
        <v>74</v>
      </c>
    </row>
    <row r="237" spans="1:11" ht="42" customHeight="1">
      <c r="A237" s="2" t="s">
        <v>763</v>
      </c>
      <c r="B237" s="2" t="s">
        <v>763</v>
      </c>
      <c r="C237" s="2" t="s">
        <v>49</v>
      </c>
      <c r="D237" s="2" t="s">
        <v>50</v>
      </c>
      <c r="E237" s="5">
        <v>-31028</v>
      </c>
      <c r="F237" s="3" t="s">
        <v>517</v>
      </c>
      <c r="G237" s="3" t="s">
        <v>52</v>
      </c>
      <c r="H237" s="2" t="s">
        <v>72</v>
      </c>
      <c r="I237" s="2" t="s">
        <v>764</v>
      </c>
      <c r="J237" s="3" t="str">
        <f>HYPERLINK("https://www.boe.es/gazeta/dias/1815/01/17/pdfs/GMD-1815-7.pdf#page=11","Abrir facsímil")</f>
        <v>Abrir facsímil</v>
      </c>
      <c r="K237" s="3" t="s">
        <v>74</v>
      </c>
    </row>
    <row r="238" spans="1:11" ht="42" customHeight="1">
      <c r="A238" s="2" t="s">
        <v>763</v>
      </c>
      <c r="B238" s="2" t="s">
        <v>763</v>
      </c>
      <c r="C238" s="2" t="s">
        <v>31</v>
      </c>
      <c r="D238" s="2" t="s">
        <v>32</v>
      </c>
      <c r="E238" s="5">
        <v>-30956</v>
      </c>
      <c r="F238" s="3" t="s">
        <v>495</v>
      </c>
      <c r="G238" s="3" t="s">
        <v>38</v>
      </c>
      <c r="H238" s="2" t="s">
        <v>72</v>
      </c>
      <c r="I238" s="2" t="s">
        <v>765</v>
      </c>
      <c r="J238" s="3" t="str">
        <f>HYPERLINK("https://www.boe.es/gazeta/dias/1815/03/30/pdfs/GMD-1815-38.pdf#page=8","Abrir facsímil")</f>
        <v>Abrir facsímil</v>
      </c>
      <c r="K238" s="3" t="s">
        <v>74</v>
      </c>
    </row>
    <row r="239" spans="1:11" ht="42" customHeight="1">
      <c r="A239" s="2" t="s">
        <v>763</v>
      </c>
      <c r="B239" s="2" t="s">
        <v>763</v>
      </c>
      <c r="C239" s="2" t="s">
        <v>131</v>
      </c>
      <c r="D239" s="2" t="s">
        <v>50</v>
      </c>
      <c r="E239" s="5">
        <v>-30954</v>
      </c>
      <c r="F239" s="3" t="s">
        <v>409</v>
      </c>
      <c r="G239" s="3" t="s">
        <v>38</v>
      </c>
      <c r="H239" s="2" t="s">
        <v>72</v>
      </c>
      <c r="I239" s="2" t="s">
        <v>766</v>
      </c>
      <c r="J239" s="3" t="str">
        <f>HYPERLINK("https://www.boe.es/gazeta/dias/1815/04/01/pdfs/GMD-1815-39.pdf#page=8","Abrir facsímil")</f>
        <v>Abrir facsímil</v>
      </c>
      <c r="K239" s="3" t="s">
        <v>74</v>
      </c>
    </row>
    <row r="240" spans="1:11" ht="42" customHeight="1">
      <c r="A240" s="2" t="s">
        <v>763</v>
      </c>
      <c r="B240" s="2" t="s">
        <v>763</v>
      </c>
      <c r="C240" s="2" t="s">
        <v>195</v>
      </c>
      <c r="D240" s="2" t="s">
        <v>50</v>
      </c>
      <c r="E240" s="5">
        <v>-30949</v>
      </c>
      <c r="F240" s="3" t="s">
        <v>420</v>
      </c>
      <c r="G240" s="3" t="s">
        <v>27</v>
      </c>
      <c r="H240" s="2" t="s">
        <v>72</v>
      </c>
      <c r="I240" s="2" t="s">
        <v>767</v>
      </c>
      <c r="J240" s="3" t="str">
        <f>HYPERLINK("https://www.boe.es/gazeta/dias/1815/04/06/pdfs/GMD-1815-42.pdf#page=6","Abrir facsímil")</f>
        <v>Abrir facsímil</v>
      </c>
      <c r="K240" s="3" t="s">
        <v>74</v>
      </c>
    </row>
    <row r="241" spans="1:11" ht="42" customHeight="1">
      <c r="A241" s="2" t="s">
        <v>763</v>
      </c>
      <c r="B241" s="2" t="s">
        <v>763</v>
      </c>
      <c r="C241" s="2" t="s">
        <v>49</v>
      </c>
      <c r="D241" s="2" t="s">
        <v>50</v>
      </c>
      <c r="E241" s="5">
        <v>-30893</v>
      </c>
      <c r="F241" s="3" t="s">
        <v>132</v>
      </c>
      <c r="G241" s="3" t="s">
        <v>71</v>
      </c>
      <c r="H241" s="2" t="s">
        <v>72</v>
      </c>
      <c r="I241" s="2" t="s">
        <v>768</v>
      </c>
      <c r="J241" s="3" t="str">
        <f>HYPERLINK("https://www.boe.es/gazeta/dias/1815/06/01/pdfs/GMD-1815-66.pdf#page=7","Abrir facsímil")</f>
        <v>Abrir facsímil</v>
      </c>
      <c r="K241" s="3" t="s">
        <v>74</v>
      </c>
    </row>
    <row r="242" spans="1:11" ht="42" customHeight="1">
      <c r="A242" s="2" t="s">
        <v>763</v>
      </c>
      <c r="B242" s="2" t="s">
        <v>763</v>
      </c>
      <c r="C242" s="2" t="s">
        <v>49</v>
      </c>
      <c r="D242" s="2" t="s">
        <v>50</v>
      </c>
      <c r="E242" s="5">
        <v>-30886</v>
      </c>
      <c r="F242" s="3" t="s">
        <v>140</v>
      </c>
      <c r="G242" s="3" t="s">
        <v>224</v>
      </c>
      <c r="H242" s="2" t="s">
        <v>72</v>
      </c>
      <c r="I242" s="2" t="s">
        <v>769</v>
      </c>
      <c r="J242" s="3" t="str">
        <f>HYPERLINK("https://www.boe.es/gazeta/dias/1815/06/08/pdfs/GMD-1815-69.pdf#page=9","Abrir facsímil")</f>
        <v>Abrir facsímil</v>
      </c>
      <c r="K242" s="3" t="s">
        <v>74</v>
      </c>
    </row>
    <row r="243" spans="1:11" ht="42" customHeight="1">
      <c r="A243" s="2" t="s">
        <v>763</v>
      </c>
      <c r="B243" s="2" t="s">
        <v>763</v>
      </c>
      <c r="C243" s="2" t="s">
        <v>195</v>
      </c>
      <c r="D243" s="2" t="s">
        <v>50</v>
      </c>
      <c r="E243" s="5">
        <v>-30874</v>
      </c>
      <c r="F243" s="3" t="s">
        <v>208</v>
      </c>
      <c r="G243" s="3" t="s">
        <v>38</v>
      </c>
      <c r="H243" s="2" t="s">
        <v>72</v>
      </c>
      <c r="I243" s="2" t="s">
        <v>770</v>
      </c>
      <c r="J243" s="3" t="str">
        <f>HYPERLINK("https://www.boe.es/gazeta/dias/1815/06/20/pdfs/GMD-1815-74.pdf#page=8","Abrir facsímil")</f>
        <v>Abrir facsímil</v>
      </c>
      <c r="K243" s="3" t="s">
        <v>74</v>
      </c>
    </row>
    <row r="244" spans="1:11" ht="42" customHeight="1">
      <c r="A244" s="2" t="s">
        <v>763</v>
      </c>
      <c r="B244" s="2" t="s">
        <v>763</v>
      </c>
      <c r="C244" s="2" t="s">
        <v>17</v>
      </c>
      <c r="D244" s="2" t="s">
        <v>18</v>
      </c>
      <c r="E244" s="5">
        <v>-30872</v>
      </c>
      <c r="F244" s="3" t="s">
        <v>167</v>
      </c>
      <c r="G244" s="3" t="s">
        <v>342</v>
      </c>
      <c r="H244" s="2" t="s">
        <v>72</v>
      </c>
      <c r="I244" s="2" t="s">
        <v>771</v>
      </c>
      <c r="J244" s="3" t="str">
        <f>HYPERLINK("https://www.boe.es/gazeta/dias/1815/06/22/pdfs/GMD-1815-75.pdf#page=8","Abrir facsímil")</f>
        <v>Abrir facsímil</v>
      </c>
      <c r="K244" s="3" t="s">
        <v>74</v>
      </c>
    </row>
    <row r="245" spans="1:11" ht="42" customHeight="1">
      <c r="A245" s="2" t="s">
        <v>763</v>
      </c>
      <c r="B245" s="2" t="s">
        <v>763</v>
      </c>
      <c r="C245" s="2" t="s">
        <v>49</v>
      </c>
      <c r="D245" s="2" t="s">
        <v>50</v>
      </c>
      <c r="E245" s="5">
        <v>-30865</v>
      </c>
      <c r="F245" s="3" t="s">
        <v>163</v>
      </c>
      <c r="G245" s="3" t="s">
        <v>71</v>
      </c>
      <c r="H245" s="2" t="s">
        <v>72</v>
      </c>
      <c r="I245" s="2" t="s">
        <v>772</v>
      </c>
      <c r="J245" s="3" t="str">
        <f>HYPERLINK("https://www.boe.es/gazeta/dias/1815/06/29/pdfs/GMD-1815-78.pdf#page=7","Abrir facsímil")</f>
        <v>Abrir facsímil</v>
      </c>
      <c r="K245" s="3" t="s">
        <v>74</v>
      </c>
    </row>
    <row r="246" spans="1:11" ht="42" customHeight="1">
      <c r="A246" s="2" t="s">
        <v>763</v>
      </c>
      <c r="B246" s="2" t="s">
        <v>763</v>
      </c>
      <c r="C246" s="2" t="s">
        <v>49</v>
      </c>
      <c r="D246" s="2" t="s">
        <v>50</v>
      </c>
      <c r="E246" s="5">
        <v>-30851</v>
      </c>
      <c r="F246" s="3" t="s">
        <v>442</v>
      </c>
      <c r="G246" s="3" t="s">
        <v>38</v>
      </c>
      <c r="H246" s="2" t="s">
        <v>72</v>
      </c>
      <c r="I246" s="2" t="s">
        <v>773</v>
      </c>
      <c r="J246" s="3" t="str">
        <f>HYPERLINK("https://www.boe.es/gazeta/dias/1815/07/13/pdfs/GMD-1815-86.pdf#page=8","Abrir facsímil")</f>
        <v>Abrir facsímil</v>
      </c>
      <c r="K246" s="3" t="s">
        <v>74</v>
      </c>
    </row>
    <row r="247" spans="1:11" ht="42" customHeight="1">
      <c r="A247" s="2" t="s">
        <v>763</v>
      </c>
      <c r="B247" s="2" t="s">
        <v>763</v>
      </c>
      <c r="C247" s="2" t="s">
        <v>31</v>
      </c>
      <c r="D247" s="2" t="s">
        <v>32</v>
      </c>
      <c r="E247" s="5">
        <v>-30825</v>
      </c>
      <c r="F247" s="3" t="s">
        <v>669</v>
      </c>
      <c r="G247" s="3" t="s">
        <v>224</v>
      </c>
      <c r="H247" s="2" t="s">
        <v>72</v>
      </c>
      <c r="I247" s="2" t="s">
        <v>774</v>
      </c>
      <c r="J247" s="3" t="str">
        <f>HYPERLINK("https://www.boe.es/gazeta/dias/1815/08/08/pdfs/GMD-1815-97.pdf#page=9","Abrir facsímil")</f>
        <v>Abrir facsímil</v>
      </c>
      <c r="K247" s="3" t="s">
        <v>74</v>
      </c>
    </row>
    <row r="248" spans="1:11" ht="42" customHeight="1">
      <c r="A248" s="2" t="s">
        <v>763</v>
      </c>
      <c r="B248" s="2" t="s">
        <v>763</v>
      </c>
      <c r="C248" s="2" t="s">
        <v>31</v>
      </c>
      <c r="D248" s="2" t="s">
        <v>32</v>
      </c>
      <c r="E248" s="5">
        <v>-30818</v>
      </c>
      <c r="F248" s="3" t="s">
        <v>334</v>
      </c>
      <c r="G248" s="3" t="s">
        <v>52</v>
      </c>
      <c r="H248" s="2" t="s">
        <v>72</v>
      </c>
      <c r="I248" s="2" t="s">
        <v>775</v>
      </c>
      <c r="J248" s="3" t="str">
        <f>HYPERLINK("https://www.boe.es/gazeta/dias/1815/08/15/pdfs/GMD-1815-100.pdf#page=11","Abrir facsímil")</f>
        <v>Abrir facsímil</v>
      </c>
      <c r="K248" s="3" t="s">
        <v>74</v>
      </c>
    </row>
    <row r="249" spans="1:11" ht="42" customHeight="1">
      <c r="A249" s="2" t="s">
        <v>776</v>
      </c>
      <c r="B249" s="2" t="s">
        <v>777</v>
      </c>
      <c r="C249" s="2" t="s">
        <v>31</v>
      </c>
      <c r="D249" s="2" t="s">
        <v>32</v>
      </c>
      <c r="E249" s="5">
        <v>-30844</v>
      </c>
      <c r="F249" s="3" t="s">
        <v>114</v>
      </c>
      <c r="G249" s="3" t="s">
        <v>71</v>
      </c>
      <c r="H249" s="2" t="s">
        <v>72</v>
      </c>
      <c r="I249" s="2" t="s">
        <v>778</v>
      </c>
      <c r="J249" s="3" t="str">
        <f>HYPERLINK("https://www.boe.es/gazeta/dias/1815/07/20/pdfs/GMD-1815-89.pdf#page=7","Abrir facsímil")</f>
        <v>Abrir facsímil</v>
      </c>
      <c r="K249" s="3" t="s">
        <v>74</v>
      </c>
    </row>
    <row r="250" spans="1:11" ht="42" customHeight="1">
      <c r="A250" s="2" t="s">
        <v>779</v>
      </c>
      <c r="B250" s="2" t="s">
        <v>780</v>
      </c>
      <c r="C250" s="2" t="s">
        <v>31</v>
      </c>
      <c r="D250" s="2" t="s">
        <v>32</v>
      </c>
      <c r="E250" s="5">
        <v>-30839</v>
      </c>
      <c r="F250" s="3" t="s">
        <v>616</v>
      </c>
      <c r="G250" s="3" t="s">
        <v>27</v>
      </c>
      <c r="H250" s="2" t="s">
        <v>72</v>
      </c>
      <c r="I250" s="2" t="s">
        <v>781</v>
      </c>
      <c r="J250" s="3" t="str">
        <f>HYPERLINK("https://www.boe.es/gazeta/dias/1815/07/25/pdfs/GMD-1815-91.pdf#page=6","Abrir facsímil")</f>
        <v>Abrir facsímil</v>
      </c>
      <c r="K250" s="3" t="s">
        <v>74</v>
      </c>
    </row>
    <row r="251" spans="1:11" ht="42" customHeight="1">
      <c r="A251" s="2" t="s">
        <v>782</v>
      </c>
      <c r="B251" s="2" t="s">
        <v>783</v>
      </c>
      <c r="C251" s="2" t="s">
        <v>49</v>
      </c>
      <c r="D251" s="2" t="s">
        <v>50</v>
      </c>
      <c r="E251" s="5">
        <v>-30893</v>
      </c>
      <c r="F251" s="3" t="s">
        <v>132</v>
      </c>
      <c r="G251" s="3" t="s">
        <v>71</v>
      </c>
      <c r="H251" s="2" t="s">
        <v>72</v>
      </c>
      <c r="I251" s="2" t="s">
        <v>784</v>
      </c>
      <c r="J251" s="3" t="str">
        <f>HYPERLINK("https://www.boe.es/gazeta/dias/1815/06/01/pdfs/GMD-1815-66.pdf#page=7","Abrir facsímil")</f>
        <v>Abrir facsímil</v>
      </c>
      <c r="K251" s="3" t="s">
        <v>74</v>
      </c>
    </row>
    <row r="252" spans="1:11" ht="42" customHeight="1">
      <c r="A252" s="2" t="s">
        <v>785</v>
      </c>
      <c r="B252" s="2" t="s">
        <v>786</v>
      </c>
      <c r="C252" s="2" t="s">
        <v>31</v>
      </c>
      <c r="D252" s="2" t="s">
        <v>32</v>
      </c>
      <c r="E252" s="5">
        <v>-31038</v>
      </c>
      <c r="F252" s="3" t="s">
        <v>395</v>
      </c>
      <c r="G252" s="3" t="s">
        <v>38</v>
      </c>
      <c r="H252" s="2" t="s">
        <v>72</v>
      </c>
      <c r="I252" s="2" t="s">
        <v>787</v>
      </c>
      <c r="J252" s="3" t="str">
        <f>HYPERLINK("https://www.boe.es/gazeta/dias/1815/01/07/pdfs/GMD-1815-3.pdf#page=8","Abrir facsímil")</f>
        <v>Abrir facsímil</v>
      </c>
      <c r="K252" s="3" t="s">
        <v>74</v>
      </c>
    </row>
    <row r="253" spans="1:11" ht="42" customHeight="1">
      <c r="A253" s="2" t="s">
        <v>788</v>
      </c>
      <c r="B253" s="2" t="s">
        <v>789</v>
      </c>
      <c r="C253" s="2" t="s">
        <v>49</v>
      </c>
      <c r="D253" s="2" t="s">
        <v>50</v>
      </c>
      <c r="E253" s="5">
        <v>-30767</v>
      </c>
      <c r="F253" s="3" t="s">
        <v>228</v>
      </c>
      <c r="G253" s="3" t="s">
        <v>224</v>
      </c>
      <c r="H253" s="2" t="s">
        <v>21</v>
      </c>
      <c r="I253" s="2" t="s">
        <v>790</v>
      </c>
      <c r="J253" s="3" t="str">
        <f>HYPERLINK("https://www.boe.es/gazeta/dias/1815/10/05/pdfs/GMD-1815-125.pdf#page=9","Abrir facsímil")</f>
        <v>Abrir facsímil</v>
      </c>
      <c r="K253" s="3" t="s">
        <v>23</v>
      </c>
    </row>
    <row r="254" spans="1:11" ht="42" customHeight="1">
      <c r="A254" s="2" t="s">
        <v>791</v>
      </c>
      <c r="B254" s="2" t="s">
        <v>791</v>
      </c>
      <c r="C254" s="2" t="s">
        <v>17</v>
      </c>
      <c r="D254" s="2" t="s">
        <v>18</v>
      </c>
      <c r="E254" s="5">
        <v>-30919</v>
      </c>
      <c r="F254" s="3" t="s">
        <v>792</v>
      </c>
      <c r="G254" s="3" t="s">
        <v>793</v>
      </c>
      <c r="H254" s="2" t="s">
        <v>72</v>
      </c>
      <c r="I254" s="2" t="s">
        <v>794</v>
      </c>
      <c r="J254" s="3" t="str">
        <f>HYPERLINK("https://www.boe.es/gazeta/dias/1815/05/06/pdfs/GMD-1815-55.pdf#page=6","Abrir facsímil")</f>
        <v>Abrir facsímil</v>
      </c>
      <c r="K254" s="3" t="s">
        <v>74</v>
      </c>
    </row>
    <row r="255" spans="1:11" ht="42" customHeight="1">
      <c r="A255" s="2" t="s">
        <v>795</v>
      </c>
      <c r="B255" s="2" t="s">
        <v>796</v>
      </c>
      <c r="C255" s="2" t="s">
        <v>49</v>
      </c>
      <c r="D255" s="2" t="s">
        <v>50</v>
      </c>
      <c r="E255" s="5">
        <v>-30870</v>
      </c>
      <c r="F255" s="3" t="s">
        <v>122</v>
      </c>
      <c r="G255" s="3" t="s">
        <v>88</v>
      </c>
      <c r="H255" s="2" t="s">
        <v>72</v>
      </c>
      <c r="I255" s="2" t="s">
        <v>797</v>
      </c>
      <c r="J255" s="3" t="str">
        <f>HYPERLINK("https://www.boe.es/gazeta/dias/1815/06/24/pdfs/GMD-1815-76.pdf#page=10","Abrir facsímil")</f>
        <v>Abrir facsímil</v>
      </c>
      <c r="K255" s="3" t="s">
        <v>74</v>
      </c>
    </row>
    <row r="256" spans="1:11" ht="42" customHeight="1">
      <c r="A256" s="2" t="s">
        <v>798</v>
      </c>
      <c r="B256" s="2" t="s">
        <v>799</v>
      </c>
      <c r="C256" s="2" t="s">
        <v>31</v>
      </c>
      <c r="D256" s="2" t="s">
        <v>32</v>
      </c>
      <c r="E256" s="5">
        <v>-30844</v>
      </c>
      <c r="F256" s="3" t="s">
        <v>114</v>
      </c>
      <c r="G256" s="3" t="s">
        <v>38</v>
      </c>
      <c r="H256" s="2" t="s">
        <v>72</v>
      </c>
      <c r="I256" s="2" t="s">
        <v>800</v>
      </c>
      <c r="J256" s="3" t="str">
        <f>HYPERLINK("https://www.boe.es/gazeta/dias/1815/07/20/pdfs/GMD-1815-89.pdf#page=8","Abrir facsímil")</f>
        <v>Abrir facsímil</v>
      </c>
      <c r="K256" s="3" t="s">
        <v>74</v>
      </c>
    </row>
    <row r="257" spans="1:11" ht="42" customHeight="1">
      <c r="A257" s="2" t="s">
        <v>801</v>
      </c>
      <c r="B257" s="2" t="s">
        <v>801</v>
      </c>
      <c r="C257" s="2" t="s">
        <v>31</v>
      </c>
      <c r="D257" s="2" t="s">
        <v>32</v>
      </c>
      <c r="E257" s="5">
        <v>-30914</v>
      </c>
      <c r="F257" s="3" t="s">
        <v>338</v>
      </c>
      <c r="G257" s="3" t="s">
        <v>802</v>
      </c>
      <c r="H257" s="2" t="s">
        <v>72</v>
      </c>
      <c r="I257" s="2" t="s">
        <v>803</v>
      </c>
      <c r="J257" s="3" t="str">
        <f>HYPERLINK("https://www.boe.es/gazeta/dias/1815/05/11/pdfs/GMD-1815-57.pdf#page=7","Abrir facsímil")</f>
        <v>Abrir facsímil</v>
      </c>
      <c r="K257" s="3" t="s">
        <v>74</v>
      </c>
    </row>
    <row r="258" spans="1:11" ht="42" customHeight="1">
      <c r="A258" s="2" t="s">
        <v>804</v>
      </c>
      <c r="B258" s="2" t="s">
        <v>804</v>
      </c>
      <c r="C258" s="2" t="s">
        <v>17</v>
      </c>
      <c r="D258" s="2" t="s">
        <v>18</v>
      </c>
      <c r="E258" s="5">
        <v>-30979</v>
      </c>
      <c r="F258" s="3" t="s">
        <v>56</v>
      </c>
      <c r="G258" s="3" t="s">
        <v>27</v>
      </c>
      <c r="H258" s="2" t="s">
        <v>72</v>
      </c>
      <c r="I258" s="2" t="s">
        <v>805</v>
      </c>
      <c r="J258" s="3" t="str">
        <f>HYPERLINK("https://www.boe.es/gazeta/dias/1815/03/07/pdfs/GMD-1815-28.pdf#page=6","Abrir facsímil")</f>
        <v>Abrir facsímil</v>
      </c>
      <c r="K258" s="3" t="s">
        <v>74</v>
      </c>
    </row>
    <row r="259" spans="1:11" ht="42" customHeight="1">
      <c r="A259" s="2" t="s">
        <v>806</v>
      </c>
      <c r="B259" s="2" t="s">
        <v>806</v>
      </c>
      <c r="C259" s="2" t="s">
        <v>195</v>
      </c>
      <c r="D259" s="2" t="s">
        <v>50</v>
      </c>
      <c r="E259" s="5">
        <v>-30888</v>
      </c>
      <c r="F259" s="3" t="s">
        <v>368</v>
      </c>
      <c r="G259" s="3" t="s">
        <v>224</v>
      </c>
      <c r="H259" s="2" t="s">
        <v>72</v>
      </c>
      <c r="I259" s="2" t="s">
        <v>807</v>
      </c>
      <c r="J259" s="3" t="str">
        <f>HYPERLINK("https://www.boe.es/gazeta/dias/1815/06/06/pdfs/GMD-1815-68.pdf#page=9","Abrir facsímil")</f>
        <v>Abrir facsímil</v>
      </c>
      <c r="K259" s="3" t="s">
        <v>74</v>
      </c>
    </row>
    <row r="260" spans="1:11" ht="42" customHeight="1">
      <c r="A260" s="2" t="s">
        <v>808</v>
      </c>
      <c r="B260" s="2" t="s">
        <v>809</v>
      </c>
      <c r="C260" s="2" t="s">
        <v>195</v>
      </c>
      <c r="D260" s="2" t="s">
        <v>50</v>
      </c>
      <c r="E260" s="5">
        <v>-30699</v>
      </c>
      <c r="F260" s="3" t="s">
        <v>810</v>
      </c>
      <c r="G260" s="3" t="s">
        <v>38</v>
      </c>
      <c r="H260" s="2" t="s">
        <v>72</v>
      </c>
      <c r="I260" s="2" t="s">
        <v>811</v>
      </c>
      <c r="J260" s="3" t="str">
        <f>HYPERLINK("https://www.boe.es/gazeta/dias/1815/12/12/pdfs/GMD-1815-154.pdf#page=8","Abrir facsímil")</f>
        <v>Abrir facsímil</v>
      </c>
      <c r="K260" s="3" t="s">
        <v>74</v>
      </c>
    </row>
    <row r="261" spans="1:11" ht="42" customHeight="1">
      <c r="A261" s="2" t="s">
        <v>812</v>
      </c>
      <c r="B261" s="2" t="s">
        <v>813</v>
      </c>
      <c r="C261" s="2" t="s">
        <v>49</v>
      </c>
      <c r="D261" s="2" t="s">
        <v>50</v>
      </c>
      <c r="E261" s="5">
        <v>-30818</v>
      </c>
      <c r="F261" s="3" t="s">
        <v>334</v>
      </c>
      <c r="G261" s="3" t="s">
        <v>38</v>
      </c>
      <c r="H261" s="2" t="s">
        <v>72</v>
      </c>
      <c r="I261" s="2" t="s">
        <v>814</v>
      </c>
      <c r="J261" s="3" t="str">
        <f>HYPERLINK("https://www.boe.es/gazeta/dias/1815/08/15/pdfs/GMD-1815-100.pdf#page=8","Abrir facsímil")</f>
        <v>Abrir facsímil</v>
      </c>
      <c r="K261" s="3" t="s">
        <v>74</v>
      </c>
    </row>
    <row r="262" spans="1:11" ht="42" customHeight="1">
      <c r="A262" s="2" t="s">
        <v>815</v>
      </c>
      <c r="B262" s="2" t="s">
        <v>816</v>
      </c>
      <c r="C262" s="2" t="s">
        <v>31</v>
      </c>
      <c r="D262" s="2" t="s">
        <v>32</v>
      </c>
      <c r="E262" s="5">
        <v>-30739</v>
      </c>
      <c r="F262" s="3" t="s">
        <v>254</v>
      </c>
      <c r="G262" s="3" t="s">
        <v>88</v>
      </c>
      <c r="H262" s="2" t="s">
        <v>72</v>
      </c>
      <c r="I262" s="2" t="s">
        <v>817</v>
      </c>
      <c r="J262" s="3" t="str">
        <f>HYPERLINK("https://www.boe.es/gazeta/dias/1815/11/02/pdfs/GMD-1815-137.pdf#page=10","Abrir facsímil")</f>
        <v>Abrir facsímil</v>
      </c>
      <c r="K262" s="3" t="s">
        <v>74</v>
      </c>
    </row>
    <row r="263" spans="1:11" ht="42" customHeight="1">
      <c r="A263" s="2" t="s">
        <v>818</v>
      </c>
      <c r="B263" s="2" t="s">
        <v>818</v>
      </c>
      <c r="C263" s="2" t="s">
        <v>17</v>
      </c>
      <c r="D263" s="2" t="s">
        <v>18</v>
      </c>
      <c r="E263" s="5">
        <v>-30751</v>
      </c>
      <c r="F263" s="3" t="s">
        <v>819</v>
      </c>
      <c r="G263" s="3" t="s">
        <v>820</v>
      </c>
      <c r="H263" s="2" t="s">
        <v>72</v>
      </c>
      <c r="I263" s="2" t="s">
        <v>821</v>
      </c>
      <c r="J263" s="3" t="str">
        <f>HYPERLINK("https://www.boe.es/gazeta/dias/1815/10/21/pdfs/GMD-1815-132.pdf#page=4","Abrir facsímil")</f>
        <v>Abrir facsímil</v>
      </c>
      <c r="K263" s="3" t="s">
        <v>74</v>
      </c>
    </row>
    <row r="264" spans="1:11" ht="42" customHeight="1">
      <c r="A264" s="2" t="s">
        <v>822</v>
      </c>
      <c r="B264" s="2" t="s">
        <v>823</v>
      </c>
      <c r="C264" s="2" t="s">
        <v>31</v>
      </c>
      <c r="D264" s="2" t="s">
        <v>32</v>
      </c>
      <c r="E264" s="5">
        <v>-30695</v>
      </c>
      <c r="F264" s="3" t="s">
        <v>824</v>
      </c>
      <c r="G264" s="3" t="s">
        <v>38</v>
      </c>
      <c r="H264" s="2" t="s">
        <v>21</v>
      </c>
      <c r="I264" s="2" t="s">
        <v>825</v>
      </c>
      <c r="J264" s="3" t="str">
        <f>HYPERLINK("https://www.boe.es/gazeta/dias/1815/12/16/pdfs/GMD-1815-156.pdf#page=8","Abrir facsímil")</f>
        <v>Abrir facsímil</v>
      </c>
      <c r="K264" s="3" t="s">
        <v>23</v>
      </c>
    </row>
    <row r="265" spans="1:11" ht="42" customHeight="1">
      <c r="A265" s="2" t="s">
        <v>826</v>
      </c>
      <c r="B265" s="2" t="s">
        <v>827</v>
      </c>
      <c r="C265" s="2" t="s">
        <v>31</v>
      </c>
      <c r="D265" s="2" t="s">
        <v>32</v>
      </c>
      <c r="E265" s="5">
        <v>-30788</v>
      </c>
      <c r="F265" s="3" t="s">
        <v>96</v>
      </c>
      <c r="G265" s="3" t="s">
        <v>57</v>
      </c>
      <c r="H265" s="2" t="s">
        <v>72</v>
      </c>
      <c r="I265" s="2" t="s">
        <v>828</v>
      </c>
      <c r="J265" s="3" t="str">
        <f>HYPERLINK("https://www.boe.es/gazeta/dias/1815/09/14/pdfs/GMD-1815-114.pdf#page=5","Abrir facsímil")</f>
        <v>Abrir facsímil</v>
      </c>
      <c r="K265" s="3" t="s">
        <v>74</v>
      </c>
    </row>
    <row r="266" spans="1:11" ht="42" customHeight="1">
      <c r="A266" s="2" t="s">
        <v>829</v>
      </c>
      <c r="B266" s="2" t="s">
        <v>830</v>
      </c>
      <c r="C266" s="2" t="s">
        <v>49</v>
      </c>
      <c r="D266" s="2" t="s">
        <v>50</v>
      </c>
      <c r="E266" s="5">
        <v>-31040</v>
      </c>
      <c r="F266" s="3" t="s">
        <v>326</v>
      </c>
      <c r="G266" s="3" t="s">
        <v>27</v>
      </c>
      <c r="H266" s="2" t="s">
        <v>72</v>
      </c>
      <c r="I266" s="2" t="s">
        <v>831</v>
      </c>
      <c r="J266" s="3" t="str">
        <f>HYPERLINK("https://www.boe.es/gazeta/dias/1815/01/05/pdfs/GMD-1815-2.pdf#page=6","Abrir facsímil")</f>
        <v>Abrir facsímil</v>
      </c>
      <c r="K266" s="3" t="s">
        <v>74</v>
      </c>
    </row>
    <row r="267" spans="1:11" ht="42" customHeight="1">
      <c r="A267" s="2" t="s">
        <v>832</v>
      </c>
      <c r="B267" s="2" t="s">
        <v>833</v>
      </c>
      <c r="C267" s="2" t="s">
        <v>49</v>
      </c>
      <c r="D267" s="2" t="s">
        <v>50</v>
      </c>
      <c r="E267" s="5">
        <v>-30767</v>
      </c>
      <c r="F267" s="3" t="s">
        <v>228</v>
      </c>
      <c r="G267" s="3" t="s">
        <v>88</v>
      </c>
      <c r="H267" s="2" t="s">
        <v>72</v>
      </c>
      <c r="I267" s="2" t="s">
        <v>834</v>
      </c>
      <c r="J267" s="3" t="str">
        <f>HYPERLINK("https://www.boe.es/gazeta/dias/1815/10/05/pdfs/GMD-1815-125.pdf#page=10","Abrir facsímil")</f>
        <v>Abrir facsímil</v>
      </c>
      <c r="K267" s="3" t="s">
        <v>74</v>
      </c>
    </row>
    <row r="268" spans="1:11" ht="42" customHeight="1">
      <c r="A268" s="2" t="s">
        <v>835</v>
      </c>
      <c r="B268" s="2" t="s">
        <v>836</v>
      </c>
      <c r="C268" s="2" t="s">
        <v>31</v>
      </c>
      <c r="D268" s="2" t="s">
        <v>32</v>
      </c>
      <c r="E268" s="5">
        <v>-30958</v>
      </c>
      <c r="F268" s="3" t="s">
        <v>297</v>
      </c>
      <c r="G268" s="3" t="s">
        <v>71</v>
      </c>
      <c r="H268" s="2" t="s">
        <v>72</v>
      </c>
      <c r="I268" s="2" t="s">
        <v>837</v>
      </c>
      <c r="J268" s="3" t="str">
        <f>HYPERLINK("https://www.boe.es/gazeta/dias/1815/03/28/pdfs/GMD-1815-37.pdf#page=7","Abrir facsímil")</f>
        <v>Abrir facsímil</v>
      </c>
      <c r="K268" s="3" t="s">
        <v>74</v>
      </c>
    </row>
    <row r="269" spans="1:11" ht="42" customHeight="1">
      <c r="A269" s="2" t="s">
        <v>838</v>
      </c>
      <c r="B269" s="2" t="s">
        <v>839</v>
      </c>
      <c r="C269" s="2" t="s">
        <v>31</v>
      </c>
      <c r="D269" s="2" t="s">
        <v>32</v>
      </c>
      <c r="E269" s="5">
        <v>-31031</v>
      </c>
      <c r="F269" s="3" t="s">
        <v>105</v>
      </c>
      <c r="G269" s="3" t="s">
        <v>97</v>
      </c>
      <c r="H269" s="2" t="s">
        <v>72</v>
      </c>
      <c r="I269" s="2" t="s">
        <v>840</v>
      </c>
      <c r="J269" s="3" t="str">
        <f>HYPERLINK("https://www.boe.es/gazeta/dias/1815/01/14/pdfs/GMD-1815-6.pdf#page=3","Abrir facsímil")</f>
        <v>Abrir facsímil</v>
      </c>
      <c r="K269" s="3" t="s">
        <v>74</v>
      </c>
    </row>
    <row r="270" spans="1:11" ht="42" customHeight="1">
      <c r="A270" s="2" t="s">
        <v>841</v>
      </c>
      <c r="B270" s="2" t="s">
        <v>842</v>
      </c>
      <c r="C270" s="2" t="s">
        <v>49</v>
      </c>
      <c r="D270" s="2" t="s">
        <v>50</v>
      </c>
      <c r="E270" s="5">
        <v>-30886</v>
      </c>
      <c r="F270" s="3" t="s">
        <v>140</v>
      </c>
      <c r="G270" s="3" t="s">
        <v>224</v>
      </c>
      <c r="H270" s="2" t="s">
        <v>72</v>
      </c>
      <c r="I270" s="2" t="s">
        <v>843</v>
      </c>
      <c r="J270" s="3" t="str">
        <f>HYPERLINK("https://www.boe.es/gazeta/dias/1815/06/08/pdfs/GMD-1815-69.pdf#page=9","Abrir facsímil")</f>
        <v>Abrir facsímil</v>
      </c>
      <c r="K270" s="3" t="s">
        <v>74</v>
      </c>
    </row>
    <row r="271" spans="1:11" ht="42" customHeight="1">
      <c r="A271" s="2" t="s">
        <v>844</v>
      </c>
      <c r="B271" s="2" t="s">
        <v>844</v>
      </c>
      <c r="C271" s="2" t="s">
        <v>49</v>
      </c>
      <c r="D271" s="2" t="s">
        <v>50</v>
      </c>
      <c r="E271" s="5">
        <v>-30879</v>
      </c>
      <c r="F271" s="3" t="s">
        <v>754</v>
      </c>
      <c r="G271" s="3" t="s">
        <v>52</v>
      </c>
      <c r="H271" s="2" t="s">
        <v>72</v>
      </c>
      <c r="I271" s="2" t="s">
        <v>845</v>
      </c>
      <c r="J271" s="3" t="str">
        <f>HYPERLINK("https://www.boe.es/gazeta/dias/1815/06/15/pdfs/GMD-1815-72.pdf#page=11","Abrir facsímil")</f>
        <v>Abrir facsímil</v>
      </c>
      <c r="K271" s="3" t="s">
        <v>74</v>
      </c>
    </row>
    <row r="272" spans="1:11" ht="42" customHeight="1">
      <c r="A272" s="2" t="s">
        <v>846</v>
      </c>
      <c r="B272" s="2" t="s">
        <v>846</v>
      </c>
      <c r="C272" s="2" t="s">
        <v>195</v>
      </c>
      <c r="D272" s="2" t="s">
        <v>50</v>
      </c>
      <c r="E272" s="5">
        <v>-31000</v>
      </c>
      <c r="F272" s="3" t="s">
        <v>70</v>
      </c>
      <c r="G272" s="3" t="s">
        <v>847</v>
      </c>
      <c r="H272" s="2" t="s">
        <v>72</v>
      </c>
      <c r="I272" s="2" t="s">
        <v>848</v>
      </c>
      <c r="J272" s="3" t="str">
        <f>HYPERLINK("https://www.boe.es/gazeta/dias/1815/02/14/pdfs/GMD-1815-19.pdf#page=6","Abrir facsímil")</f>
        <v>Abrir facsímil</v>
      </c>
      <c r="K272" s="3" t="s">
        <v>74</v>
      </c>
    </row>
    <row r="273" spans="1:11" ht="42" customHeight="1">
      <c r="A273" s="2" t="s">
        <v>846</v>
      </c>
      <c r="B273" s="2" t="s">
        <v>846</v>
      </c>
      <c r="C273" s="2" t="s">
        <v>49</v>
      </c>
      <c r="D273" s="2" t="s">
        <v>50</v>
      </c>
      <c r="E273" s="5">
        <v>-30893</v>
      </c>
      <c r="F273" s="3" t="s">
        <v>132</v>
      </c>
      <c r="G273" s="3" t="s">
        <v>155</v>
      </c>
      <c r="H273" s="2" t="s">
        <v>72</v>
      </c>
      <c r="I273" s="2" t="s">
        <v>849</v>
      </c>
      <c r="J273" s="3" t="str">
        <f>HYPERLINK("https://www.boe.es/gazeta/dias/1815/06/01/pdfs/GMD-1815-66.pdf#page=6","Abrir facsímil")</f>
        <v>Abrir facsímil</v>
      </c>
      <c r="K273" s="3" t="s">
        <v>74</v>
      </c>
    </row>
    <row r="274" spans="1:11" ht="42" customHeight="1">
      <c r="A274" s="2" t="s">
        <v>846</v>
      </c>
      <c r="B274" s="2" t="s">
        <v>846</v>
      </c>
      <c r="C274" s="2" t="s">
        <v>49</v>
      </c>
      <c r="D274" s="2" t="s">
        <v>50</v>
      </c>
      <c r="E274" s="5">
        <v>-30886</v>
      </c>
      <c r="F274" s="3" t="s">
        <v>140</v>
      </c>
      <c r="G274" s="3" t="s">
        <v>38</v>
      </c>
      <c r="H274" s="2" t="s">
        <v>72</v>
      </c>
      <c r="I274" s="2" t="s">
        <v>850</v>
      </c>
      <c r="J274" s="3" t="str">
        <f>HYPERLINK("https://www.boe.es/gazeta/dias/1815/06/08/pdfs/GMD-1815-69.pdf#page=8","Abrir facsímil")</f>
        <v>Abrir facsímil</v>
      </c>
      <c r="K274" s="3" t="s">
        <v>74</v>
      </c>
    </row>
    <row r="275" spans="1:11" ht="42" customHeight="1">
      <c r="A275" s="2" t="s">
        <v>846</v>
      </c>
      <c r="B275" s="2" t="s">
        <v>846</v>
      </c>
      <c r="C275" s="2" t="s">
        <v>49</v>
      </c>
      <c r="D275" s="2" t="s">
        <v>50</v>
      </c>
      <c r="E275" s="5">
        <v>-30863</v>
      </c>
      <c r="F275" s="3" t="s">
        <v>110</v>
      </c>
      <c r="G275" s="3" t="s">
        <v>224</v>
      </c>
      <c r="H275" s="2" t="s">
        <v>72</v>
      </c>
      <c r="I275" s="2" t="s">
        <v>851</v>
      </c>
      <c r="J275" s="3" t="str">
        <f>HYPERLINK("https://www.boe.es/gazeta/dias/1815/07/01/pdfs/GMD-1815-79.pdf#page=9","Abrir facsímil")</f>
        <v>Abrir facsímil</v>
      </c>
      <c r="K275" s="3" t="s">
        <v>74</v>
      </c>
    </row>
    <row r="276" spans="1:11" ht="42" customHeight="1">
      <c r="A276" s="2" t="s">
        <v>846</v>
      </c>
      <c r="B276" s="2" t="s">
        <v>846</v>
      </c>
      <c r="C276" s="2" t="s">
        <v>31</v>
      </c>
      <c r="D276" s="2" t="s">
        <v>32</v>
      </c>
      <c r="E276" s="5">
        <v>-30818</v>
      </c>
      <c r="F276" s="3" t="s">
        <v>334</v>
      </c>
      <c r="G276" s="3" t="s">
        <v>38</v>
      </c>
      <c r="H276" s="2" t="s">
        <v>72</v>
      </c>
      <c r="I276" s="2" t="s">
        <v>852</v>
      </c>
      <c r="J276" s="3" t="str">
        <f>HYPERLINK("https://www.boe.es/gazeta/dias/1815/08/15/pdfs/GMD-1815-100.pdf#page=8","Abrir facsímil")</f>
        <v>Abrir facsímil</v>
      </c>
      <c r="K276" s="3" t="s">
        <v>74</v>
      </c>
    </row>
    <row r="277" spans="1:11" ht="42" customHeight="1">
      <c r="A277" s="2" t="s">
        <v>853</v>
      </c>
      <c r="B277" s="2" t="s">
        <v>854</v>
      </c>
      <c r="C277" s="2" t="s">
        <v>17</v>
      </c>
      <c r="D277" s="2" t="s">
        <v>18</v>
      </c>
      <c r="E277" s="5">
        <v>-30986</v>
      </c>
      <c r="F277" s="3" t="s">
        <v>46</v>
      </c>
      <c r="G277" s="3" t="s">
        <v>88</v>
      </c>
      <c r="H277" s="2" t="s">
        <v>72</v>
      </c>
      <c r="I277" s="2" t="s">
        <v>855</v>
      </c>
      <c r="J277" s="3" t="str">
        <f>HYPERLINK("https://www.boe.es/gazeta/dias/1815/02/28/pdfs/GMD-1815-25.pdf#page=10","Abrir facsímil")</f>
        <v>Abrir facsímil</v>
      </c>
      <c r="K277" s="3" t="s">
        <v>74</v>
      </c>
    </row>
    <row r="278" spans="1:11" ht="42" customHeight="1">
      <c r="A278" s="2" t="s">
        <v>856</v>
      </c>
      <c r="B278" s="2" t="s">
        <v>857</v>
      </c>
      <c r="C278" s="2" t="s">
        <v>195</v>
      </c>
      <c r="D278" s="2" t="s">
        <v>50</v>
      </c>
      <c r="E278" s="5">
        <v>-30846</v>
      </c>
      <c r="F278" s="3" t="s">
        <v>858</v>
      </c>
      <c r="G278" s="3" t="s">
        <v>38</v>
      </c>
      <c r="H278" s="2" t="s">
        <v>72</v>
      </c>
      <c r="I278" s="2" t="s">
        <v>859</v>
      </c>
      <c r="J278" s="3" t="str">
        <f>HYPERLINK("https://www.boe.es/gazeta/dias/1815/07/18/pdfs/GMD-1815-88.pdf#page=8","Abrir facsímil")</f>
        <v>Abrir facsímil</v>
      </c>
      <c r="K278" s="3" t="s">
        <v>74</v>
      </c>
    </row>
    <row r="279" spans="1:11" ht="42" customHeight="1">
      <c r="A279" s="2" t="s">
        <v>860</v>
      </c>
      <c r="B279" s="2" t="s">
        <v>861</v>
      </c>
      <c r="C279" s="2" t="s">
        <v>17</v>
      </c>
      <c r="D279" s="2" t="s">
        <v>18</v>
      </c>
      <c r="E279" s="5">
        <v>-30942</v>
      </c>
      <c r="F279" s="3" t="s">
        <v>730</v>
      </c>
      <c r="G279" s="3" t="s">
        <v>862</v>
      </c>
      <c r="H279" s="2" t="s">
        <v>72</v>
      </c>
      <c r="I279" s="2" t="s">
        <v>863</v>
      </c>
      <c r="J279" s="3" t="str">
        <f>HYPERLINK("https://www.boe.es/gazeta/dias/1815/04/13/pdfs/GMD-1815-45.pdf#page=6","Abrir facsímil")</f>
        <v>Abrir facsímil</v>
      </c>
      <c r="K279" s="3" t="s">
        <v>74</v>
      </c>
    </row>
    <row r="280" spans="1:11" ht="42" customHeight="1">
      <c r="A280" s="2" t="s">
        <v>864</v>
      </c>
      <c r="B280" s="2" t="s">
        <v>865</v>
      </c>
      <c r="C280" s="2" t="s">
        <v>49</v>
      </c>
      <c r="D280" s="2" t="s">
        <v>50</v>
      </c>
      <c r="E280" s="5">
        <v>-30998</v>
      </c>
      <c r="F280" s="3" t="s">
        <v>539</v>
      </c>
      <c r="G280" s="3" t="s">
        <v>38</v>
      </c>
      <c r="H280" s="2" t="s">
        <v>72</v>
      </c>
      <c r="I280" s="2" t="s">
        <v>866</v>
      </c>
      <c r="J280" s="3" t="str">
        <f>HYPERLINK("https://www.boe.es/gazeta/dias/1815/02/16/pdfs/GMD-1815-20.pdf#page=8","Abrir facsímil")</f>
        <v>Abrir facsímil</v>
      </c>
      <c r="K280" s="3" t="s">
        <v>74</v>
      </c>
    </row>
    <row r="281" spans="1:11" ht="42" customHeight="1">
      <c r="A281" s="2" t="s">
        <v>867</v>
      </c>
      <c r="B281" s="2" t="s">
        <v>868</v>
      </c>
      <c r="C281" s="2" t="s">
        <v>31</v>
      </c>
      <c r="D281" s="2" t="s">
        <v>32</v>
      </c>
      <c r="E281" s="5">
        <v>-30844</v>
      </c>
      <c r="F281" s="3" t="s">
        <v>114</v>
      </c>
      <c r="G281" s="3" t="s">
        <v>71</v>
      </c>
      <c r="H281" s="2" t="s">
        <v>72</v>
      </c>
      <c r="I281" s="2" t="s">
        <v>869</v>
      </c>
      <c r="J281" s="3" t="str">
        <f>HYPERLINK("https://www.boe.es/gazeta/dias/1815/07/20/pdfs/GMD-1815-89.pdf#page=7","Abrir facsímil")</f>
        <v>Abrir facsímil</v>
      </c>
      <c r="K281" s="3" t="s">
        <v>74</v>
      </c>
    </row>
    <row r="282" spans="1:11" ht="42" customHeight="1">
      <c r="A282" s="2" t="s">
        <v>870</v>
      </c>
      <c r="B282" s="2" t="s">
        <v>871</v>
      </c>
      <c r="C282" s="2" t="s">
        <v>31</v>
      </c>
      <c r="D282" s="2" t="s">
        <v>32</v>
      </c>
      <c r="E282" s="5">
        <v>-30860</v>
      </c>
      <c r="F282" s="3" t="s">
        <v>184</v>
      </c>
      <c r="G282" s="3" t="s">
        <v>71</v>
      </c>
      <c r="H282" s="2" t="s">
        <v>72</v>
      </c>
      <c r="I282" s="2" t="s">
        <v>872</v>
      </c>
      <c r="J282" s="3" t="str">
        <f>HYPERLINK("https://www.boe.es/gazeta/dias/1815/07/04/pdfs/GMD-1815-81.pdf#page=7","Abrir facsímil")</f>
        <v>Abrir facsímil</v>
      </c>
      <c r="K282" s="3" t="s">
        <v>74</v>
      </c>
    </row>
    <row r="283" spans="1:11" ht="42" customHeight="1">
      <c r="A283" s="2" t="s">
        <v>873</v>
      </c>
      <c r="B283" s="2" t="s">
        <v>873</v>
      </c>
      <c r="C283" s="2" t="s">
        <v>31</v>
      </c>
      <c r="D283" s="2" t="s">
        <v>32</v>
      </c>
      <c r="E283" s="5">
        <v>-31026</v>
      </c>
      <c r="F283" s="3" t="s">
        <v>874</v>
      </c>
      <c r="G283" s="3" t="s">
        <v>20</v>
      </c>
      <c r="H283" s="2" t="s">
        <v>72</v>
      </c>
      <c r="I283" s="2" t="s">
        <v>875</v>
      </c>
      <c r="J283" s="3" t="str">
        <f>HYPERLINK("https://www.boe.es/gazeta/dias/1815/01/19/pdfs/GMD-1815-8.pdf#page=4","Abrir facsímil")</f>
        <v>Abrir facsímil</v>
      </c>
      <c r="K283" s="3" t="s">
        <v>74</v>
      </c>
    </row>
    <row r="284" spans="1:11" ht="42" customHeight="1">
      <c r="A284" s="2" t="s">
        <v>873</v>
      </c>
      <c r="B284" s="2" t="s">
        <v>873</v>
      </c>
      <c r="C284" s="2" t="s">
        <v>49</v>
      </c>
      <c r="D284" s="2" t="s">
        <v>50</v>
      </c>
      <c r="E284" s="5">
        <v>-31005</v>
      </c>
      <c r="F284" s="3" t="s">
        <v>576</v>
      </c>
      <c r="G284" s="3" t="s">
        <v>520</v>
      </c>
      <c r="H284" s="2" t="s">
        <v>72</v>
      </c>
      <c r="I284" s="2" t="s">
        <v>876</v>
      </c>
      <c r="J284" s="3" t="str">
        <f>HYPERLINK("https://www.boe.es/gazeta/dias/1815/02/09/pdfs/GMD-1815-17.pdf#page=8","Abrir facsímil")</f>
        <v>Abrir facsímil</v>
      </c>
      <c r="K284" s="3" t="s">
        <v>74</v>
      </c>
    </row>
    <row r="285" spans="1:11" ht="42" customHeight="1">
      <c r="A285" s="2" t="s">
        <v>873</v>
      </c>
      <c r="B285" s="2" t="s">
        <v>873</v>
      </c>
      <c r="C285" s="2" t="s">
        <v>49</v>
      </c>
      <c r="D285" s="2" t="s">
        <v>50</v>
      </c>
      <c r="E285" s="5">
        <v>-31005</v>
      </c>
      <c r="F285" s="3" t="s">
        <v>576</v>
      </c>
      <c r="G285" s="3" t="s">
        <v>20</v>
      </c>
      <c r="H285" s="2" t="s">
        <v>72</v>
      </c>
      <c r="I285" s="2" t="s">
        <v>877</v>
      </c>
      <c r="J285" s="3" t="str">
        <f>HYPERLINK("https://www.boe.es/gazeta/dias/1815/02/09/pdfs/GMD-1815-17.pdf#page=4","Abrir facsímil")</f>
        <v>Abrir facsímil</v>
      </c>
      <c r="K285" s="3" t="s">
        <v>74</v>
      </c>
    </row>
    <row r="286" spans="1:11" ht="42" customHeight="1">
      <c r="A286" s="2" t="s">
        <v>873</v>
      </c>
      <c r="B286" s="2" t="s">
        <v>873</v>
      </c>
      <c r="C286" s="2" t="s">
        <v>17</v>
      </c>
      <c r="D286" s="2" t="s">
        <v>18</v>
      </c>
      <c r="E286" s="5">
        <v>-30979</v>
      </c>
      <c r="F286" s="3" t="s">
        <v>56</v>
      </c>
      <c r="G286" s="3" t="s">
        <v>27</v>
      </c>
      <c r="H286" s="2" t="s">
        <v>72</v>
      </c>
      <c r="I286" s="2" t="s">
        <v>878</v>
      </c>
      <c r="J286" s="3" t="str">
        <f>HYPERLINK("https://www.boe.es/gazeta/dias/1815/03/07/pdfs/GMD-1815-28.pdf#page=6","Abrir facsímil")</f>
        <v>Abrir facsímil</v>
      </c>
      <c r="K286" s="3" t="s">
        <v>74</v>
      </c>
    </row>
    <row r="287" spans="1:11" ht="42" customHeight="1">
      <c r="A287" s="2" t="s">
        <v>873</v>
      </c>
      <c r="B287" s="2" t="s">
        <v>873</v>
      </c>
      <c r="C287" s="2" t="s">
        <v>17</v>
      </c>
      <c r="D287" s="2" t="s">
        <v>18</v>
      </c>
      <c r="E287" s="5">
        <v>-30963</v>
      </c>
      <c r="F287" s="3" t="s">
        <v>879</v>
      </c>
      <c r="G287" s="3" t="s">
        <v>57</v>
      </c>
      <c r="H287" s="2" t="s">
        <v>72</v>
      </c>
      <c r="I287" s="2" t="s">
        <v>880</v>
      </c>
      <c r="J287" s="3" t="str">
        <f>HYPERLINK("https://www.boe.es/gazeta/dias/1815/03/23/pdfs/GMD-1815-35.pdf#page=5","Abrir facsímil")</f>
        <v>Abrir facsímil</v>
      </c>
      <c r="K287" s="3" t="s">
        <v>74</v>
      </c>
    </row>
    <row r="288" spans="1:11" ht="42" customHeight="1">
      <c r="A288" s="2" t="s">
        <v>873</v>
      </c>
      <c r="B288" s="2" t="s">
        <v>873</v>
      </c>
      <c r="C288" s="2" t="s">
        <v>31</v>
      </c>
      <c r="D288" s="2" t="s">
        <v>32</v>
      </c>
      <c r="E288" s="5">
        <v>-30963</v>
      </c>
      <c r="F288" s="3" t="s">
        <v>879</v>
      </c>
      <c r="G288" s="3" t="s">
        <v>71</v>
      </c>
      <c r="H288" s="2" t="s">
        <v>72</v>
      </c>
      <c r="I288" s="2" t="s">
        <v>881</v>
      </c>
      <c r="J288" s="3" t="str">
        <f>HYPERLINK("https://www.boe.es/gazeta/dias/1815/03/23/pdfs/GMD-1815-35.pdf#page=7","Abrir facsímil")</f>
        <v>Abrir facsímil</v>
      </c>
      <c r="K288" s="3" t="s">
        <v>74</v>
      </c>
    </row>
    <row r="289" spans="1:11" ht="42" customHeight="1">
      <c r="A289" s="2" t="s">
        <v>873</v>
      </c>
      <c r="B289" s="2" t="s">
        <v>873</v>
      </c>
      <c r="C289" s="2" t="s">
        <v>49</v>
      </c>
      <c r="D289" s="2" t="s">
        <v>50</v>
      </c>
      <c r="E289" s="5">
        <v>-30895</v>
      </c>
      <c r="F289" s="3" t="s">
        <v>176</v>
      </c>
      <c r="G289" s="3" t="s">
        <v>882</v>
      </c>
      <c r="H289" s="2" t="s">
        <v>72</v>
      </c>
      <c r="I289" s="2" t="s">
        <v>883</v>
      </c>
      <c r="J289" s="3" t="str">
        <f>HYPERLINK("https://www.boe.es/gazeta/dias/1815/05/30/pdfs/GMD-1815-65.pdf#page=8","Abrir facsímil")</f>
        <v>Abrir facsímil</v>
      </c>
      <c r="K289" s="3" t="s">
        <v>74</v>
      </c>
    </row>
    <row r="290" spans="1:11" ht="42" customHeight="1">
      <c r="A290" s="2" t="s">
        <v>873</v>
      </c>
      <c r="B290" s="2" t="s">
        <v>873</v>
      </c>
      <c r="C290" s="2" t="s">
        <v>49</v>
      </c>
      <c r="D290" s="2" t="s">
        <v>50</v>
      </c>
      <c r="E290" s="5">
        <v>-30893</v>
      </c>
      <c r="F290" s="3" t="s">
        <v>132</v>
      </c>
      <c r="G290" s="3" t="s">
        <v>155</v>
      </c>
      <c r="H290" s="2" t="s">
        <v>72</v>
      </c>
      <c r="I290" s="2" t="s">
        <v>884</v>
      </c>
      <c r="J290" s="3" t="str">
        <f>HYPERLINK("https://www.boe.es/gazeta/dias/1815/06/01/pdfs/GMD-1815-66.pdf#page=6","Abrir facsímil")</f>
        <v>Abrir facsímil</v>
      </c>
      <c r="K290" s="3" t="s">
        <v>74</v>
      </c>
    </row>
    <row r="291" spans="1:11" ht="42" customHeight="1">
      <c r="A291" s="2" t="s">
        <v>873</v>
      </c>
      <c r="B291" s="2" t="s">
        <v>873</v>
      </c>
      <c r="C291" s="2" t="s">
        <v>31</v>
      </c>
      <c r="D291" s="2" t="s">
        <v>32</v>
      </c>
      <c r="E291" s="5">
        <v>-30891</v>
      </c>
      <c r="F291" s="3" t="s">
        <v>498</v>
      </c>
      <c r="G291" s="3" t="s">
        <v>377</v>
      </c>
      <c r="H291" s="2" t="s">
        <v>72</v>
      </c>
      <c r="I291" s="2" t="s">
        <v>885</v>
      </c>
      <c r="J291" s="3" t="str">
        <f>HYPERLINK("https://www.boe.es/gazeta/dias/1815/06/03/pdfs/GMD-1815-67.pdf#page=2","Abrir facsímil")</f>
        <v>Abrir facsímil</v>
      </c>
      <c r="K291" s="3" t="s">
        <v>74</v>
      </c>
    </row>
    <row r="292" spans="1:11" ht="42" customHeight="1">
      <c r="A292" s="2" t="s">
        <v>873</v>
      </c>
      <c r="B292" s="2" t="s">
        <v>873</v>
      </c>
      <c r="C292" s="2" t="s">
        <v>49</v>
      </c>
      <c r="D292" s="2" t="s">
        <v>50</v>
      </c>
      <c r="E292" s="5">
        <v>-30886</v>
      </c>
      <c r="F292" s="3" t="s">
        <v>140</v>
      </c>
      <c r="G292" s="3" t="s">
        <v>224</v>
      </c>
      <c r="H292" s="2" t="s">
        <v>72</v>
      </c>
      <c r="I292" s="2" t="s">
        <v>886</v>
      </c>
      <c r="J292" s="3" t="str">
        <f>HYPERLINK("https://www.boe.es/gazeta/dias/1815/06/08/pdfs/GMD-1815-69.pdf#page=9","Abrir facsímil")</f>
        <v>Abrir facsímil</v>
      </c>
      <c r="K292" s="3" t="s">
        <v>74</v>
      </c>
    </row>
    <row r="293" spans="1:11" ht="42" customHeight="1">
      <c r="A293" s="2" t="s">
        <v>873</v>
      </c>
      <c r="B293" s="2" t="s">
        <v>873</v>
      </c>
      <c r="C293" s="2" t="s">
        <v>31</v>
      </c>
      <c r="D293" s="2" t="s">
        <v>32</v>
      </c>
      <c r="E293" s="5">
        <v>-30877</v>
      </c>
      <c r="F293" s="3" t="s">
        <v>548</v>
      </c>
      <c r="G293" s="3" t="s">
        <v>276</v>
      </c>
      <c r="H293" s="2" t="s">
        <v>72</v>
      </c>
      <c r="I293" s="2" t="s">
        <v>887</v>
      </c>
      <c r="J293" s="3" t="str">
        <f>HYPERLINK("https://www.boe.es/gazeta/dias/1815/06/17/pdfs/GMD-1815-73.pdf#page=12","Abrir facsímil")</f>
        <v>Abrir facsímil</v>
      </c>
      <c r="K293" s="3" t="s">
        <v>74</v>
      </c>
    </row>
    <row r="294" spans="1:11" ht="42" customHeight="1">
      <c r="A294" s="2" t="s">
        <v>873</v>
      </c>
      <c r="B294" s="2" t="s">
        <v>873</v>
      </c>
      <c r="C294" s="2" t="s">
        <v>195</v>
      </c>
      <c r="D294" s="2" t="s">
        <v>50</v>
      </c>
      <c r="E294" s="5">
        <v>-30874</v>
      </c>
      <c r="F294" s="3" t="s">
        <v>208</v>
      </c>
      <c r="G294" s="3" t="s">
        <v>71</v>
      </c>
      <c r="H294" s="2" t="s">
        <v>72</v>
      </c>
      <c r="I294" s="2" t="s">
        <v>888</v>
      </c>
      <c r="J294" s="3" t="str">
        <f>HYPERLINK("https://www.boe.es/gazeta/dias/1815/06/20/pdfs/GMD-1815-74.pdf#page=7","Abrir facsímil")</f>
        <v>Abrir facsímil</v>
      </c>
      <c r="K294" s="3" t="s">
        <v>74</v>
      </c>
    </row>
    <row r="295" spans="1:11" ht="42" customHeight="1">
      <c r="A295" s="2" t="s">
        <v>873</v>
      </c>
      <c r="B295" s="2" t="s">
        <v>873</v>
      </c>
      <c r="C295" s="2" t="s">
        <v>49</v>
      </c>
      <c r="D295" s="2" t="s">
        <v>50</v>
      </c>
      <c r="E295" s="5">
        <v>-30860</v>
      </c>
      <c r="F295" s="3" t="s">
        <v>184</v>
      </c>
      <c r="G295" s="3" t="s">
        <v>472</v>
      </c>
      <c r="H295" s="2" t="s">
        <v>72</v>
      </c>
      <c r="I295" s="2" t="s">
        <v>889</v>
      </c>
      <c r="J295" s="3" t="str">
        <f>HYPERLINK("https://www.boe.es/gazeta/dias/1815/07/04/pdfs/GMD-1815-81.pdf#page=8","Abrir facsímil")</f>
        <v>Abrir facsímil</v>
      </c>
      <c r="K295" s="3" t="s">
        <v>74</v>
      </c>
    </row>
    <row r="296" spans="1:11" ht="42" customHeight="1">
      <c r="A296" s="2" t="s">
        <v>873</v>
      </c>
      <c r="B296" s="2" t="s">
        <v>873</v>
      </c>
      <c r="C296" s="2" t="s">
        <v>17</v>
      </c>
      <c r="D296" s="2" t="s">
        <v>18</v>
      </c>
      <c r="E296" s="5">
        <v>-30823</v>
      </c>
      <c r="F296" s="3" t="s">
        <v>305</v>
      </c>
      <c r="G296" s="3" t="s">
        <v>38</v>
      </c>
      <c r="H296" s="2" t="s">
        <v>72</v>
      </c>
      <c r="I296" s="2" t="s">
        <v>890</v>
      </c>
      <c r="J296" s="3" t="str">
        <f>HYPERLINK("https://www.boe.es/gazeta/dias/1815/08/10/pdfs/GMD-1815-98.pdf#page=8","Abrir facsímil")</f>
        <v>Abrir facsímil</v>
      </c>
      <c r="K296" s="3" t="s">
        <v>74</v>
      </c>
    </row>
    <row r="297" spans="1:11" ht="42" customHeight="1">
      <c r="A297" s="2" t="s">
        <v>873</v>
      </c>
      <c r="B297" s="2" t="s">
        <v>873</v>
      </c>
      <c r="C297" s="2" t="s">
        <v>31</v>
      </c>
      <c r="D297" s="2" t="s">
        <v>32</v>
      </c>
      <c r="E297" s="5">
        <v>-30804</v>
      </c>
      <c r="F297" s="3" t="s">
        <v>891</v>
      </c>
      <c r="G297" s="3" t="s">
        <v>57</v>
      </c>
      <c r="H297" s="2" t="s">
        <v>72</v>
      </c>
      <c r="I297" s="2" t="s">
        <v>892</v>
      </c>
      <c r="J297" s="3" t="str">
        <f>HYPERLINK("https://www.boe.es/gazeta/dias/1815/08/29/pdfs/GMD-1815-106.pdf#page=5","Abrir facsímil")</f>
        <v>Abrir facsímil</v>
      </c>
      <c r="K297" s="3" t="s">
        <v>74</v>
      </c>
    </row>
    <row r="298" spans="1:11" ht="42" customHeight="1">
      <c r="A298" s="2" t="s">
        <v>873</v>
      </c>
      <c r="B298" s="2" t="s">
        <v>873</v>
      </c>
      <c r="C298" s="2" t="s">
        <v>17</v>
      </c>
      <c r="D298" s="2" t="s">
        <v>18</v>
      </c>
      <c r="E298" s="5">
        <v>-30727</v>
      </c>
      <c r="F298" s="3" t="s">
        <v>262</v>
      </c>
      <c r="G298" s="3" t="s">
        <v>38</v>
      </c>
      <c r="H298" s="2" t="s">
        <v>72</v>
      </c>
      <c r="I298" s="2" t="s">
        <v>893</v>
      </c>
      <c r="J298" s="3" t="str">
        <f>HYPERLINK("https://www.boe.es/gazeta/dias/1815/11/14/pdfs/GMD-1815-142.pdf#page=8","Abrir facsímil")</f>
        <v>Abrir facsímil</v>
      </c>
      <c r="K298" s="3" t="s">
        <v>74</v>
      </c>
    </row>
    <row r="299" spans="1:11" ht="42" customHeight="1">
      <c r="A299" s="2" t="s">
        <v>873</v>
      </c>
      <c r="B299" s="2" t="s">
        <v>873</v>
      </c>
      <c r="C299" s="2" t="s">
        <v>894</v>
      </c>
      <c r="D299" s="2" t="s">
        <v>18</v>
      </c>
      <c r="E299" s="5">
        <v>-30713</v>
      </c>
      <c r="F299" s="3" t="s">
        <v>895</v>
      </c>
      <c r="G299" s="3" t="s">
        <v>71</v>
      </c>
      <c r="H299" s="2" t="s">
        <v>72</v>
      </c>
      <c r="I299" s="2" t="s">
        <v>896</v>
      </c>
      <c r="J299" s="3" t="str">
        <f>HYPERLINK("https://www.boe.es/gazeta/dias/1815/11/28/pdfs/GMD-1815-148.pdf#page=7","Abrir facsímil")</f>
        <v>Abrir facsímil</v>
      </c>
      <c r="K299" s="3" t="s">
        <v>74</v>
      </c>
    </row>
    <row r="300" spans="1:11" ht="42" customHeight="1">
      <c r="A300" s="2" t="s">
        <v>873</v>
      </c>
      <c r="B300" s="2" t="s">
        <v>873</v>
      </c>
      <c r="C300" s="2" t="s">
        <v>897</v>
      </c>
      <c r="D300" s="2" t="s">
        <v>50</v>
      </c>
      <c r="E300" s="5">
        <v>-30709</v>
      </c>
      <c r="F300" s="3" t="s">
        <v>314</v>
      </c>
      <c r="G300" s="3" t="s">
        <v>38</v>
      </c>
      <c r="H300" s="2" t="s">
        <v>72</v>
      </c>
      <c r="I300" s="2" t="s">
        <v>898</v>
      </c>
      <c r="J300" s="3" t="str">
        <f>HYPERLINK("https://www.boe.es/gazeta/dias/1815/12/02/pdfs/GMD-1815-150.pdf#page=8","Abrir facsímil")</f>
        <v>Abrir facsímil</v>
      </c>
      <c r="K300" s="3" t="s">
        <v>74</v>
      </c>
    </row>
    <row r="301" spans="1:11" ht="42" customHeight="1">
      <c r="A301" s="2" t="s">
        <v>899</v>
      </c>
      <c r="B301" s="2" t="s">
        <v>900</v>
      </c>
      <c r="C301" s="2" t="s">
        <v>61</v>
      </c>
      <c r="D301" s="2" t="s">
        <v>50</v>
      </c>
      <c r="E301" s="5">
        <v>-30905</v>
      </c>
      <c r="F301" s="3" t="s">
        <v>901</v>
      </c>
      <c r="G301" s="3" t="s">
        <v>902</v>
      </c>
      <c r="H301" s="2" t="s">
        <v>21</v>
      </c>
      <c r="I301" s="2" t="s">
        <v>903</v>
      </c>
      <c r="J301" s="3" t="str">
        <f>HYPERLINK("https://www.boe.es/gazeta/dias/1815/05/20/pdfs/GMD-1815-61.pdf#page=8","Abrir facsímil")</f>
        <v>Abrir facsímil</v>
      </c>
      <c r="K301" s="3" t="s">
        <v>23</v>
      </c>
    </row>
    <row r="302" spans="1:11" ht="42" customHeight="1">
      <c r="A302" s="2" t="s">
        <v>904</v>
      </c>
      <c r="B302" s="2" t="s">
        <v>905</v>
      </c>
      <c r="C302" s="2" t="s">
        <v>17</v>
      </c>
      <c r="D302" s="2" t="s">
        <v>18</v>
      </c>
      <c r="E302" s="5">
        <v>-30797</v>
      </c>
      <c r="F302" s="3" t="s">
        <v>248</v>
      </c>
      <c r="G302" s="3" t="s">
        <v>38</v>
      </c>
      <c r="H302" s="2" t="s">
        <v>72</v>
      </c>
      <c r="I302" s="2" t="s">
        <v>906</v>
      </c>
      <c r="J302" s="3" t="str">
        <f>HYPERLINK("https://www.boe.es/gazeta/dias/1815/09/05/pdfs/GMD-1815-110.pdf#page=8","Abrir facsímil")</f>
        <v>Abrir facsímil</v>
      </c>
      <c r="K302" s="3" t="s">
        <v>74</v>
      </c>
    </row>
    <row r="303" spans="1:11" ht="42" customHeight="1">
      <c r="A303" s="2" t="s">
        <v>907</v>
      </c>
      <c r="B303" s="2" t="s">
        <v>908</v>
      </c>
      <c r="C303" s="2" t="s">
        <v>81</v>
      </c>
      <c r="D303" s="2" t="s">
        <v>50</v>
      </c>
      <c r="E303" s="5">
        <v>-31026</v>
      </c>
      <c r="F303" s="3" t="s">
        <v>874</v>
      </c>
      <c r="G303" s="3" t="s">
        <v>38</v>
      </c>
      <c r="H303" s="2" t="s">
        <v>72</v>
      </c>
      <c r="I303" s="2" t="s">
        <v>909</v>
      </c>
      <c r="J303" s="3" t="str">
        <f>HYPERLINK("https://www.boe.es/gazeta/dias/1815/01/19/pdfs/GMD-1815-8.pdf#page=8","Abrir facsímil")</f>
        <v>Abrir facsímil</v>
      </c>
      <c r="K303" s="3" t="s">
        <v>74</v>
      </c>
    </row>
    <row r="304" spans="1:11" ht="42" customHeight="1">
      <c r="A304" s="2" t="s">
        <v>907</v>
      </c>
      <c r="B304" s="2" t="s">
        <v>908</v>
      </c>
      <c r="C304" s="2" t="s">
        <v>195</v>
      </c>
      <c r="D304" s="2" t="s">
        <v>50</v>
      </c>
      <c r="E304" s="5">
        <v>-30874</v>
      </c>
      <c r="F304" s="3" t="s">
        <v>208</v>
      </c>
      <c r="G304" s="3" t="s">
        <v>71</v>
      </c>
      <c r="H304" s="2" t="s">
        <v>72</v>
      </c>
      <c r="I304" s="2" t="s">
        <v>910</v>
      </c>
      <c r="J304" s="3" t="str">
        <f>HYPERLINK("https://www.boe.es/gazeta/dias/1815/06/20/pdfs/GMD-1815-74.pdf#page=7","Abrir facsímil")</f>
        <v>Abrir facsímil</v>
      </c>
      <c r="K304" s="3" t="s">
        <v>74</v>
      </c>
    </row>
    <row r="305" spans="1:11" ht="42" customHeight="1">
      <c r="A305" s="2" t="s">
        <v>911</v>
      </c>
      <c r="B305" s="2" t="s">
        <v>912</v>
      </c>
      <c r="C305" s="2" t="s">
        <v>81</v>
      </c>
      <c r="D305" s="2" t="s">
        <v>50</v>
      </c>
      <c r="E305" s="5">
        <v>-30998</v>
      </c>
      <c r="F305" s="3" t="s">
        <v>539</v>
      </c>
      <c r="G305" s="3" t="s">
        <v>38</v>
      </c>
      <c r="H305" s="2" t="s">
        <v>72</v>
      </c>
      <c r="I305" s="2" t="s">
        <v>913</v>
      </c>
      <c r="J305" s="3" t="str">
        <f>HYPERLINK("https://www.boe.es/gazeta/dias/1815/02/16/pdfs/GMD-1815-20.pdf#page=8","Abrir facsímil")</f>
        <v>Abrir facsímil</v>
      </c>
      <c r="K305" s="3" t="s">
        <v>74</v>
      </c>
    </row>
    <row r="306" spans="1:11" ht="42" customHeight="1">
      <c r="A306" s="2" t="s">
        <v>911</v>
      </c>
      <c r="B306" s="2" t="s">
        <v>912</v>
      </c>
      <c r="C306" s="2" t="s">
        <v>31</v>
      </c>
      <c r="D306" s="2" t="s">
        <v>32</v>
      </c>
      <c r="E306" s="5">
        <v>-30886</v>
      </c>
      <c r="F306" s="3" t="s">
        <v>140</v>
      </c>
      <c r="G306" s="3" t="s">
        <v>88</v>
      </c>
      <c r="H306" s="2" t="s">
        <v>72</v>
      </c>
      <c r="I306" s="2" t="s">
        <v>914</v>
      </c>
      <c r="J306" s="3" t="str">
        <f>HYPERLINK("https://www.boe.es/gazeta/dias/1815/06/08/pdfs/GMD-1815-69.pdf#page=10","Abrir facsímil")</f>
        <v>Abrir facsímil</v>
      </c>
      <c r="K306" s="3" t="s">
        <v>74</v>
      </c>
    </row>
    <row r="307" spans="1:11" ht="42" customHeight="1">
      <c r="A307" s="2" t="s">
        <v>911</v>
      </c>
      <c r="B307" s="2" t="s">
        <v>912</v>
      </c>
      <c r="C307" s="2" t="s">
        <v>17</v>
      </c>
      <c r="D307" s="2" t="s">
        <v>18</v>
      </c>
      <c r="E307" s="5">
        <v>-30821</v>
      </c>
      <c r="F307" s="3" t="s">
        <v>915</v>
      </c>
      <c r="G307" s="3" t="s">
        <v>27</v>
      </c>
      <c r="H307" s="2" t="s">
        <v>72</v>
      </c>
      <c r="I307" s="2" t="s">
        <v>916</v>
      </c>
      <c r="J307" s="3" t="str">
        <f>HYPERLINK("https://www.boe.es/gazeta/dias/1815/08/12/pdfs/GMD-1815-99.pdf#page=6","Abrir facsímil")</f>
        <v>Abrir facsímil</v>
      </c>
      <c r="K307" s="3" t="s">
        <v>74</v>
      </c>
    </row>
    <row r="308" spans="1:11" ht="42" customHeight="1">
      <c r="A308" s="2" t="s">
        <v>917</v>
      </c>
      <c r="B308" s="2" t="s">
        <v>918</v>
      </c>
      <c r="C308" s="2" t="s">
        <v>31</v>
      </c>
      <c r="D308" s="2" t="s">
        <v>32</v>
      </c>
      <c r="E308" s="5">
        <v>-30958</v>
      </c>
      <c r="F308" s="3" t="s">
        <v>297</v>
      </c>
      <c r="G308" s="3" t="s">
        <v>57</v>
      </c>
      <c r="H308" s="2" t="s">
        <v>72</v>
      </c>
      <c r="I308" s="2" t="s">
        <v>919</v>
      </c>
      <c r="J308" s="3" t="str">
        <f>HYPERLINK("https://www.boe.es/gazeta/dias/1815/03/28/pdfs/GMD-1815-37.pdf#page=5","Abrir facsímil")</f>
        <v>Abrir facsímil</v>
      </c>
      <c r="K308" s="3" t="s">
        <v>74</v>
      </c>
    </row>
    <row r="309" spans="1:11" ht="42" customHeight="1">
      <c r="A309" s="2" t="s">
        <v>920</v>
      </c>
      <c r="B309" s="2" t="s">
        <v>920</v>
      </c>
      <c r="C309" s="2" t="s">
        <v>49</v>
      </c>
      <c r="D309" s="2" t="s">
        <v>50</v>
      </c>
      <c r="E309" s="5">
        <v>-30900</v>
      </c>
      <c r="F309" s="3" t="s">
        <v>921</v>
      </c>
      <c r="G309" s="3" t="s">
        <v>88</v>
      </c>
      <c r="H309" s="2" t="s">
        <v>72</v>
      </c>
      <c r="I309" s="2" t="s">
        <v>922</v>
      </c>
      <c r="J309" s="3" t="str">
        <f>HYPERLINK("https://www.boe.es/gazeta/dias/1815/05/25/pdfs/GMD-1815-63.pdf#page=10","Abrir facsímil")</f>
        <v>Abrir facsímil</v>
      </c>
      <c r="K309" s="3" t="s">
        <v>74</v>
      </c>
    </row>
    <row r="310" spans="1:11" ht="42" customHeight="1">
      <c r="A310" s="2" t="s">
        <v>923</v>
      </c>
      <c r="B310" s="2" t="s">
        <v>923</v>
      </c>
      <c r="C310" s="2" t="s">
        <v>49</v>
      </c>
      <c r="D310" s="2" t="s">
        <v>50</v>
      </c>
      <c r="E310" s="5">
        <v>-30865</v>
      </c>
      <c r="F310" s="3" t="s">
        <v>163</v>
      </c>
      <c r="G310" s="3" t="s">
        <v>71</v>
      </c>
      <c r="H310" s="2" t="s">
        <v>72</v>
      </c>
      <c r="I310" s="2" t="s">
        <v>924</v>
      </c>
      <c r="J310" s="3" t="str">
        <f>HYPERLINK("https://www.boe.es/gazeta/dias/1815/06/29/pdfs/GMD-1815-78.pdf#page=7","Abrir facsímil")</f>
        <v>Abrir facsímil</v>
      </c>
      <c r="K310" s="3" t="s">
        <v>74</v>
      </c>
    </row>
    <row r="311" spans="1:11" ht="42" customHeight="1">
      <c r="A311" s="2" t="s">
        <v>925</v>
      </c>
      <c r="B311" s="2" t="s">
        <v>925</v>
      </c>
      <c r="C311" s="2" t="s">
        <v>49</v>
      </c>
      <c r="D311" s="2" t="s">
        <v>50</v>
      </c>
      <c r="E311" s="5">
        <v>-30865</v>
      </c>
      <c r="F311" s="3" t="s">
        <v>163</v>
      </c>
      <c r="G311" s="3" t="s">
        <v>27</v>
      </c>
      <c r="H311" s="2" t="s">
        <v>72</v>
      </c>
      <c r="I311" s="2" t="s">
        <v>926</v>
      </c>
      <c r="J311" s="3" t="str">
        <f>HYPERLINK("https://www.boe.es/gazeta/dias/1815/06/29/pdfs/GMD-1815-78.pdf#page=6","Abrir facsímil")</f>
        <v>Abrir facsímil</v>
      </c>
      <c r="K311" s="3" t="s">
        <v>74</v>
      </c>
    </row>
    <row r="312" spans="1:11" ht="42" customHeight="1">
      <c r="A312" s="2" t="s">
        <v>927</v>
      </c>
      <c r="B312" s="2" t="s">
        <v>927</v>
      </c>
      <c r="C312" s="2" t="s">
        <v>17</v>
      </c>
      <c r="D312" s="2" t="s">
        <v>18</v>
      </c>
      <c r="E312" s="5">
        <v>-30884</v>
      </c>
      <c r="F312" s="3" t="s">
        <v>136</v>
      </c>
      <c r="G312" s="3" t="s">
        <v>71</v>
      </c>
      <c r="H312" s="2" t="s">
        <v>72</v>
      </c>
      <c r="I312" s="2" t="s">
        <v>928</v>
      </c>
      <c r="J312" s="3" t="str">
        <f>HYPERLINK("https://www.boe.es/gazeta/dias/1815/06/10/pdfs/GMD-1815-70.pdf#page=7","Abrir facsímil")</f>
        <v>Abrir facsímil</v>
      </c>
      <c r="K312" s="3" t="s">
        <v>74</v>
      </c>
    </row>
    <row r="313" spans="1:11" ht="42" customHeight="1">
      <c r="A313" s="2" t="s">
        <v>929</v>
      </c>
      <c r="B313" s="2" t="s">
        <v>930</v>
      </c>
      <c r="C313" s="2" t="s">
        <v>31</v>
      </c>
      <c r="D313" s="2" t="s">
        <v>32</v>
      </c>
      <c r="E313" s="5">
        <v>-30767</v>
      </c>
      <c r="F313" s="3" t="s">
        <v>228</v>
      </c>
      <c r="G313" s="3" t="s">
        <v>224</v>
      </c>
      <c r="H313" s="2" t="s">
        <v>72</v>
      </c>
      <c r="I313" s="2" t="s">
        <v>931</v>
      </c>
      <c r="J313" s="3" t="str">
        <f>HYPERLINK("https://www.boe.es/gazeta/dias/1815/10/05/pdfs/GMD-1815-125.pdf#page=9","Abrir facsímil")</f>
        <v>Abrir facsímil</v>
      </c>
      <c r="K313" s="3" t="s">
        <v>74</v>
      </c>
    </row>
    <row r="314" spans="1:11" ht="42" customHeight="1">
      <c r="A314" s="2" t="s">
        <v>932</v>
      </c>
      <c r="B314" s="2" t="s">
        <v>933</v>
      </c>
      <c r="C314" s="2" t="s">
        <v>31</v>
      </c>
      <c r="D314" s="2" t="s">
        <v>32</v>
      </c>
      <c r="E314" s="5">
        <v>-30851</v>
      </c>
      <c r="F314" s="3" t="s">
        <v>442</v>
      </c>
      <c r="G314" s="3" t="s">
        <v>27</v>
      </c>
      <c r="H314" s="2" t="s">
        <v>72</v>
      </c>
      <c r="I314" s="2" t="s">
        <v>934</v>
      </c>
      <c r="J314" s="3" t="str">
        <f>HYPERLINK("https://www.boe.es/gazeta/dias/1815/07/13/pdfs/GMD-1815-86.pdf#page=6","Abrir facsímil")</f>
        <v>Abrir facsímil</v>
      </c>
      <c r="K314" s="3" t="s">
        <v>74</v>
      </c>
    </row>
    <row r="315" spans="1:11" ht="42" customHeight="1">
      <c r="A315" s="2" t="s">
        <v>935</v>
      </c>
      <c r="B315" s="2" t="s">
        <v>936</v>
      </c>
      <c r="C315" s="2" t="s">
        <v>195</v>
      </c>
      <c r="D315" s="2" t="s">
        <v>50</v>
      </c>
      <c r="E315" s="5">
        <v>-31012</v>
      </c>
      <c r="F315" s="3" t="s">
        <v>529</v>
      </c>
      <c r="G315" s="3" t="s">
        <v>57</v>
      </c>
      <c r="H315" s="2" t="s">
        <v>72</v>
      </c>
      <c r="I315" s="2" t="s">
        <v>937</v>
      </c>
      <c r="J315" s="3" t="str">
        <f>HYPERLINK("https://www.boe.es/gazeta/dias/1815/02/02/pdfs/GMD-1815-14.pdf#page=5","Abrir facsímil")</f>
        <v>Abrir facsímil</v>
      </c>
      <c r="K315" s="3" t="s">
        <v>74</v>
      </c>
    </row>
    <row r="316" spans="1:11" ht="42" customHeight="1">
      <c r="A316" s="2" t="s">
        <v>938</v>
      </c>
      <c r="B316" s="2" t="s">
        <v>939</v>
      </c>
      <c r="C316" s="2" t="s">
        <v>49</v>
      </c>
      <c r="D316" s="2" t="s">
        <v>50</v>
      </c>
      <c r="E316" s="5">
        <v>-30865</v>
      </c>
      <c r="F316" s="3" t="s">
        <v>163</v>
      </c>
      <c r="G316" s="3" t="s">
        <v>27</v>
      </c>
      <c r="H316" s="2" t="s">
        <v>72</v>
      </c>
      <c r="I316" s="2" t="s">
        <v>940</v>
      </c>
      <c r="J316" s="3" t="str">
        <f>HYPERLINK("https://www.boe.es/gazeta/dias/1815/06/29/pdfs/GMD-1815-78.pdf#page=6","Abrir facsímil")</f>
        <v>Abrir facsímil</v>
      </c>
      <c r="K316" s="3" t="s">
        <v>74</v>
      </c>
    </row>
    <row r="317" spans="1:11" ht="42" customHeight="1">
      <c r="A317" s="2" t="s">
        <v>941</v>
      </c>
      <c r="B317" s="2" t="s">
        <v>942</v>
      </c>
      <c r="C317" s="2" t="s">
        <v>894</v>
      </c>
      <c r="D317" s="2" t="s">
        <v>18</v>
      </c>
      <c r="E317" s="5">
        <v>-30739</v>
      </c>
      <c r="F317" s="3" t="s">
        <v>254</v>
      </c>
      <c r="G317" s="3" t="s">
        <v>88</v>
      </c>
      <c r="H317" s="2" t="s">
        <v>72</v>
      </c>
      <c r="I317" s="2" t="s">
        <v>943</v>
      </c>
      <c r="J317" s="3" t="str">
        <f>HYPERLINK("https://www.boe.es/gazeta/dias/1815/11/02/pdfs/GMD-1815-137.pdf#page=10","Abrir facsímil")</f>
        <v>Abrir facsímil</v>
      </c>
      <c r="K317" s="3" t="s">
        <v>74</v>
      </c>
    </row>
    <row r="318" spans="1:11" ht="42" customHeight="1">
      <c r="A318" s="2" t="s">
        <v>941</v>
      </c>
      <c r="B318" s="2" t="s">
        <v>942</v>
      </c>
      <c r="C318" s="2" t="s">
        <v>17</v>
      </c>
      <c r="D318" s="2" t="s">
        <v>18</v>
      </c>
      <c r="E318" s="5">
        <v>-30713</v>
      </c>
      <c r="F318" s="3" t="s">
        <v>895</v>
      </c>
      <c r="G318" s="3" t="s">
        <v>71</v>
      </c>
      <c r="H318" s="2" t="s">
        <v>72</v>
      </c>
      <c r="I318" s="2" t="s">
        <v>944</v>
      </c>
      <c r="J318" s="3" t="str">
        <f>HYPERLINK("https://www.boe.es/gazeta/dias/1815/11/28/pdfs/GMD-1815-148.pdf#page=7","Abrir facsímil")</f>
        <v>Abrir facsímil</v>
      </c>
      <c r="K318" s="3" t="s">
        <v>74</v>
      </c>
    </row>
    <row r="319" spans="1:11" ht="42" customHeight="1">
      <c r="A319" s="2" t="s">
        <v>945</v>
      </c>
      <c r="B319" s="2" t="s">
        <v>946</v>
      </c>
      <c r="C319" s="2" t="s">
        <v>49</v>
      </c>
      <c r="D319" s="2" t="s">
        <v>50</v>
      </c>
      <c r="E319" s="5">
        <v>-31040</v>
      </c>
      <c r="F319" s="3" t="s">
        <v>326</v>
      </c>
      <c r="G319" s="3" t="s">
        <v>27</v>
      </c>
      <c r="H319" s="2" t="s">
        <v>72</v>
      </c>
      <c r="I319" s="2" t="s">
        <v>947</v>
      </c>
      <c r="J319" s="3" t="str">
        <f>HYPERLINK("https://www.boe.es/gazeta/dias/1815/01/05/pdfs/GMD-1815-2.pdf#page=6","Abrir facsímil")</f>
        <v>Abrir facsímil</v>
      </c>
      <c r="K319" s="3" t="s">
        <v>74</v>
      </c>
    </row>
    <row r="320" spans="1:11" ht="42" customHeight="1">
      <c r="A320" s="2" t="s">
        <v>948</v>
      </c>
      <c r="B320" s="2" t="s">
        <v>949</v>
      </c>
      <c r="C320" s="2" t="s">
        <v>49</v>
      </c>
      <c r="D320" s="2" t="s">
        <v>50</v>
      </c>
      <c r="E320" s="5">
        <v>-30870</v>
      </c>
      <c r="F320" s="3" t="s">
        <v>122</v>
      </c>
      <c r="G320" s="3" t="s">
        <v>52</v>
      </c>
      <c r="H320" s="2" t="s">
        <v>72</v>
      </c>
      <c r="I320" s="2" t="s">
        <v>950</v>
      </c>
      <c r="J320" s="3" t="str">
        <f>HYPERLINK("https://www.boe.es/gazeta/dias/1815/06/24/pdfs/GMD-1815-76.pdf#page=11","Abrir facsímil")</f>
        <v>Abrir facsímil</v>
      </c>
      <c r="K320" s="3" t="s">
        <v>74</v>
      </c>
    </row>
    <row r="321" spans="1:11" ht="42" customHeight="1">
      <c r="A321" s="2" t="s">
        <v>951</v>
      </c>
      <c r="B321" s="2" t="s">
        <v>952</v>
      </c>
      <c r="C321" s="2" t="s">
        <v>17</v>
      </c>
      <c r="D321" s="2" t="s">
        <v>18</v>
      </c>
      <c r="E321" s="5">
        <v>-30730</v>
      </c>
      <c r="F321" s="3" t="s">
        <v>953</v>
      </c>
      <c r="G321" s="3" t="s">
        <v>71</v>
      </c>
      <c r="H321" s="2" t="s">
        <v>72</v>
      </c>
      <c r="I321" s="2" t="s">
        <v>954</v>
      </c>
      <c r="J321" s="3" t="str">
        <f>HYPERLINK("https://www.boe.es/gazeta/dias/1815/11/11/pdfs/GMD-1815-141.pdf#page=7","Abrir facsímil")</f>
        <v>Abrir facsímil</v>
      </c>
      <c r="K321" s="3" t="s">
        <v>74</v>
      </c>
    </row>
    <row r="322" spans="1:11" ht="42" customHeight="1">
      <c r="A322" s="2" t="s">
        <v>955</v>
      </c>
      <c r="B322" s="2" t="s">
        <v>956</v>
      </c>
      <c r="C322" s="2" t="s">
        <v>49</v>
      </c>
      <c r="D322" s="2" t="s">
        <v>50</v>
      </c>
      <c r="E322" s="5">
        <v>-30865</v>
      </c>
      <c r="F322" s="3" t="s">
        <v>163</v>
      </c>
      <c r="G322" s="3" t="s">
        <v>71</v>
      </c>
      <c r="H322" s="2" t="s">
        <v>72</v>
      </c>
      <c r="I322" s="2" t="s">
        <v>957</v>
      </c>
      <c r="J322" s="3" t="str">
        <f>HYPERLINK("https://www.boe.es/gazeta/dias/1815/06/29/pdfs/GMD-1815-78.pdf#page=7","Abrir facsímil")</f>
        <v>Abrir facsímil</v>
      </c>
      <c r="K322" s="3" t="s">
        <v>74</v>
      </c>
    </row>
    <row r="323" spans="1:11" ht="42" customHeight="1">
      <c r="A323" s="2" t="s">
        <v>958</v>
      </c>
      <c r="B323" s="2" t="s">
        <v>959</v>
      </c>
      <c r="C323" s="2" t="s">
        <v>49</v>
      </c>
      <c r="D323" s="2" t="s">
        <v>50</v>
      </c>
      <c r="E323" s="5">
        <v>-30870</v>
      </c>
      <c r="F323" s="3" t="s">
        <v>122</v>
      </c>
      <c r="G323" s="3" t="s">
        <v>88</v>
      </c>
      <c r="H323" s="2" t="s">
        <v>72</v>
      </c>
      <c r="I323" s="2" t="s">
        <v>960</v>
      </c>
      <c r="J323" s="3" t="str">
        <f>HYPERLINK("https://www.boe.es/gazeta/dias/1815/06/24/pdfs/GMD-1815-76.pdf#page=10","Abrir facsímil")</f>
        <v>Abrir facsímil</v>
      </c>
      <c r="K323" s="3" t="s">
        <v>74</v>
      </c>
    </row>
    <row r="324" spans="1:11" ht="42" customHeight="1">
      <c r="A324" s="2" t="s">
        <v>961</v>
      </c>
      <c r="B324" s="2" t="s">
        <v>962</v>
      </c>
      <c r="C324" s="2" t="s">
        <v>49</v>
      </c>
      <c r="D324" s="2" t="s">
        <v>50</v>
      </c>
      <c r="E324" s="5">
        <v>-31003</v>
      </c>
      <c r="F324" s="3" t="s">
        <v>405</v>
      </c>
      <c r="G324" s="3" t="s">
        <v>27</v>
      </c>
      <c r="H324" s="2" t="s">
        <v>72</v>
      </c>
      <c r="I324" s="2" t="s">
        <v>963</v>
      </c>
      <c r="J324" s="3" t="str">
        <f>HYPERLINK("https://www.boe.es/gazeta/dias/1815/02/11/pdfs/GMD-1815-18.pdf#page=6","Abrir facsímil")</f>
        <v>Abrir facsímil</v>
      </c>
      <c r="K324" s="3" t="s">
        <v>74</v>
      </c>
    </row>
    <row r="325" spans="1:11" ht="42" customHeight="1">
      <c r="A325" s="2" t="s">
        <v>964</v>
      </c>
      <c r="B325" s="2" t="s">
        <v>965</v>
      </c>
      <c r="C325" s="2" t="s">
        <v>195</v>
      </c>
      <c r="D325" s="2" t="s">
        <v>50</v>
      </c>
      <c r="E325" s="5">
        <v>-30923</v>
      </c>
      <c r="F325" s="3" t="s">
        <v>524</v>
      </c>
      <c r="G325" s="3" t="s">
        <v>88</v>
      </c>
      <c r="H325" s="2" t="s">
        <v>72</v>
      </c>
      <c r="I325" s="2" t="s">
        <v>966</v>
      </c>
      <c r="J325" s="3" t="str">
        <f>HYPERLINK("https://www.boe.es/gazeta/dias/1815/05/02/pdfs/GMD-1815-53.pdf#page=10","Abrir facsímil")</f>
        <v>Abrir facsímil</v>
      </c>
      <c r="K325" s="3" t="s">
        <v>74</v>
      </c>
    </row>
    <row r="326" spans="1:11" ht="42" customHeight="1">
      <c r="A326" s="2" t="s">
        <v>967</v>
      </c>
      <c r="B326" s="2" t="s">
        <v>968</v>
      </c>
      <c r="C326" s="2" t="s">
        <v>31</v>
      </c>
      <c r="D326" s="2" t="s">
        <v>32</v>
      </c>
      <c r="E326" s="5">
        <v>-30872</v>
      </c>
      <c r="F326" s="3" t="s">
        <v>167</v>
      </c>
      <c r="G326" s="3" t="s">
        <v>224</v>
      </c>
      <c r="H326" s="2" t="s">
        <v>72</v>
      </c>
      <c r="I326" s="2" t="s">
        <v>969</v>
      </c>
      <c r="J326" s="3" t="str">
        <f>HYPERLINK("https://www.boe.es/gazeta/dias/1815/06/22/pdfs/GMD-1815-75.pdf#page=9","Abrir facsímil")</f>
        <v>Abrir facsímil</v>
      </c>
      <c r="K326" s="3" t="s">
        <v>74</v>
      </c>
    </row>
    <row r="327" spans="1:11" ht="42" customHeight="1">
      <c r="A327" s="2" t="s">
        <v>970</v>
      </c>
      <c r="B327" s="2" t="s">
        <v>971</v>
      </c>
      <c r="C327" s="2" t="s">
        <v>17</v>
      </c>
      <c r="D327" s="2" t="s">
        <v>18</v>
      </c>
      <c r="E327" s="5">
        <v>-30842</v>
      </c>
      <c r="F327" s="3" t="s">
        <v>126</v>
      </c>
      <c r="G327" s="3" t="s">
        <v>88</v>
      </c>
      <c r="H327" s="2" t="s">
        <v>72</v>
      </c>
      <c r="I327" s="2" t="s">
        <v>972</v>
      </c>
      <c r="J327" s="3" t="str">
        <f>HYPERLINK("https://www.boe.es/gazeta/dias/1815/07/22/pdfs/GMD-1815-90.pdf#page=10","Abrir facsímil")</f>
        <v>Abrir facsímil</v>
      </c>
      <c r="K327" s="3" t="s">
        <v>74</v>
      </c>
    </row>
    <row r="328" spans="1:11" ht="42" customHeight="1">
      <c r="A328" s="2" t="s">
        <v>973</v>
      </c>
      <c r="B328" s="2" t="s">
        <v>974</v>
      </c>
      <c r="C328" s="2" t="s">
        <v>31</v>
      </c>
      <c r="D328" s="2" t="s">
        <v>32</v>
      </c>
      <c r="E328" s="5">
        <v>-31038</v>
      </c>
      <c r="F328" s="3" t="s">
        <v>395</v>
      </c>
      <c r="G328" s="3" t="s">
        <v>396</v>
      </c>
      <c r="H328" s="2" t="s">
        <v>72</v>
      </c>
      <c r="I328" s="2" t="s">
        <v>975</v>
      </c>
      <c r="J328" s="3" t="str">
        <f>HYPERLINK("https://www.boe.es/gazeta/dias/1815/01/07/pdfs/GMD-1815-3.pdf#page=5","Abrir facsímil")</f>
        <v>Abrir facsímil</v>
      </c>
      <c r="K328" s="3" t="s">
        <v>74</v>
      </c>
    </row>
    <row r="329" spans="1:11" ht="42" customHeight="1">
      <c r="A329" s="2" t="s">
        <v>976</v>
      </c>
      <c r="B329" s="2" t="s">
        <v>977</v>
      </c>
      <c r="C329" s="2" t="s">
        <v>17</v>
      </c>
      <c r="D329" s="2" t="s">
        <v>18</v>
      </c>
      <c r="E329" s="5">
        <v>-30767</v>
      </c>
      <c r="F329" s="3" t="s">
        <v>228</v>
      </c>
      <c r="G329" s="3" t="s">
        <v>224</v>
      </c>
      <c r="H329" s="2" t="s">
        <v>72</v>
      </c>
      <c r="I329" s="2" t="s">
        <v>978</v>
      </c>
      <c r="J329" s="3" t="str">
        <f>HYPERLINK("https://www.boe.es/gazeta/dias/1815/10/05/pdfs/GMD-1815-125.pdf#page=9","Abrir facsímil")</f>
        <v>Abrir facsímil</v>
      </c>
      <c r="K329" s="3" t="s">
        <v>74</v>
      </c>
    </row>
    <row r="330" spans="1:11" ht="42" customHeight="1">
      <c r="A330" s="2" t="s">
        <v>979</v>
      </c>
      <c r="B330" s="2" t="s">
        <v>980</v>
      </c>
      <c r="C330" s="2" t="s">
        <v>49</v>
      </c>
      <c r="D330" s="2" t="s">
        <v>50</v>
      </c>
      <c r="E330" s="5">
        <v>-30870</v>
      </c>
      <c r="F330" s="3" t="s">
        <v>122</v>
      </c>
      <c r="G330" s="3" t="s">
        <v>52</v>
      </c>
      <c r="H330" s="2" t="s">
        <v>72</v>
      </c>
      <c r="I330" s="2" t="s">
        <v>981</v>
      </c>
      <c r="J330" s="3" t="str">
        <f>HYPERLINK("https://www.boe.es/gazeta/dias/1815/06/24/pdfs/GMD-1815-76.pdf#page=11","Abrir facsímil")</f>
        <v>Abrir facsímil</v>
      </c>
      <c r="K330" s="3" t="s">
        <v>74</v>
      </c>
    </row>
    <row r="331" spans="1:11" ht="42" customHeight="1">
      <c r="A331" s="2" t="s">
        <v>982</v>
      </c>
      <c r="B331" s="2" t="s">
        <v>983</v>
      </c>
      <c r="C331" s="2" t="s">
        <v>49</v>
      </c>
      <c r="D331" s="2" t="s">
        <v>50</v>
      </c>
      <c r="E331" s="5">
        <v>-30865</v>
      </c>
      <c r="F331" s="3" t="s">
        <v>163</v>
      </c>
      <c r="G331" s="3" t="s">
        <v>71</v>
      </c>
      <c r="H331" s="2" t="s">
        <v>72</v>
      </c>
      <c r="I331" s="2" t="s">
        <v>984</v>
      </c>
      <c r="J331" s="3" t="str">
        <f>HYPERLINK("https://www.boe.es/gazeta/dias/1815/06/29/pdfs/GMD-1815-78.pdf#page=7","Abrir facsímil")</f>
        <v>Abrir facsímil</v>
      </c>
      <c r="K331" s="3" t="s">
        <v>74</v>
      </c>
    </row>
    <row r="332" spans="1:11" ht="42" customHeight="1">
      <c r="A332" s="2" t="s">
        <v>985</v>
      </c>
      <c r="B332" s="2" t="s">
        <v>986</v>
      </c>
      <c r="C332" s="2" t="s">
        <v>31</v>
      </c>
      <c r="D332" s="2" t="s">
        <v>32</v>
      </c>
      <c r="E332" s="5">
        <v>-31028</v>
      </c>
      <c r="F332" s="3" t="s">
        <v>517</v>
      </c>
      <c r="G332" s="3" t="s">
        <v>88</v>
      </c>
      <c r="H332" s="2" t="s">
        <v>72</v>
      </c>
      <c r="I332" s="2" t="s">
        <v>987</v>
      </c>
      <c r="J332" s="3" t="str">
        <f>HYPERLINK("https://www.boe.es/gazeta/dias/1815/01/17/pdfs/GMD-1815-7.pdf#page=10","Abrir facsímil")</f>
        <v>Abrir facsímil</v>
      </c>
      <c r="K332" s="3" t="s">
        <v>74</v>
      </c>
    </row>
    <row r="333" spans="1:11" ht="42" customHeight="1">
      <c r="A333" s="2" t="s">
        <v>988</v>
      </c>
      <c r="B333" s="2" t="s">
        <v>989</v>
      </c>
      <c r="C333" s="2" t="s">
        <v>195</v>
      </c>
      <c r="D333" s="2" t="s">
        <v>50</v>
      </c>
      <c r="E333" s="5">
        <v>-30767</v>
      </c>
      <c r="F333" s="3" t="s">
        <v>228</v>
      </c>
      <c r="G333" s="3" t="s">
        <v>990</v>
      </c>
      <c r="H333" s="2" t="s">
        <v>72</v>
      </c>
      <c r="I333" s="2" t="s">
        <v>991</v>
      </c>
      <c r="J333" s="3" t="str">
        <f>HYPERLINK("https://www.boe.es/gazeta/dias/1815/10/05/pdfs/GMD-1815-125.pdf#page=12","Abrir facsímil")</f>
        <v>Abrir facsímil</v>
      </c>
      <c r="K333" s="3" t="s">
        <v>74</v>
      </c>
    </row>
    <row r="334" spans="1:11" ht="42" customHeight="1">
      <c r="A334" s="2" t="s">
        <v>992</v>
      </c>
      <c r="B334" s="2" t="s">
        <v>993</v>
      </c>
      <c r="C334" s="2" t="s">
        <v>49</v>
      </c>
      <c r="D334" s="2" t="s">
        <v>50</v>
      </c>
      <c r="E334" s="5">
        <v>-30863</v>
      </c>
      <c r="F334" s="3" t="s">
        <v>110</v>
      </c>
      <c r="G334" s="3" t="s">
        <v>224</v>
      </c>
      <c r="H334" s="2" t="s">
        <v>72</v>
      </c>
      <c r="I334" s="2" t="s">
        <v>994</v>
      </c>
      <c r="J334" s="3" t="str">
        <f>HYPERLINK("https://www.boe.es/gazeta/dias/1815/07/01/pdfs/GMD-1815-79.pdf#page=9","Abrir facsímil")</f>
        <v>Abrir facsímil</v>
      </c>
      <c r="K334" s="3" t="s">
        <v>74</v>
      </c>
    </row>
    <row r="335" spans="1:11" ht="42" customHeight="1">
      <c r="A335" s="2" t="s">
        <v>995</v>
      </c>
      <c r="B335" s="2" t="s">
        <v>996</v>
      </c>
      <c r="C335" s="2" t="s">
        <v>49</v>
      </c>
      <c r="D335" s="2" t="s">
        <v>50</v>
      </c>
      <c r="E335" s="5">
        <v>-30818</v>
      </c>
      <c r="F335" s="3" t="s">
        <v>334</v>
      </c>
      <c r="G335" s="3" t="s">
        <v>224</v>
      </c>
      <c r="H335" s="2" t="s">
        <v>72</v>
      </c>
      <c r="I335" s="2" t="s">
        <v>997</v>
      </c>
      <c r="J335" s="3" t="str">
        <f>HYPERLINK("https://www.boe.es/gazeta/dias/1815/08/15/pdfs/GMD-1815-100.pdf#page=9","Abrir facsímil")</f>
        <v>Abrir facsímil</v>
      </c>
      <c r="K335" s="3" t="s">
        <v>74</v>
      </c>
    </row>
    <row r="336" spans="1:11" ht="42" customHeight="1">
      <c r="A336" s="2" t="s">
        <v>998</v>
      </c>
      <c r="B336" s="2" t="s">
        <v>999</v>
      </c>
      <c r="C336" s="2" t="s">
        <v>31</v>
      </c>
      <c r="D336" s="2" t="s">
        <v>32</v>
      </c>
      <c r="E336" s="5">
        <v>-30741</v>
      </c>
      <c r="F336" s="3" t="s">
        <v>1000</v>
      </c>
      <c r="G336" s="3" t="s">
        <v>38</v>
      </c>
      <c r="H336" s="2" t="s">
        <v>72</v>
      </c>
      <c r="I336" s="2" t="s">
        <v>1001</v>
      </c>
      <c r="J336" s="3" t="str">
        <f>HYPERLINK("https://www.boe.es/gazeta/dias/1815/10/31/pdfs/GMD-1815-136.pdf#page=8","Abrir facsímil")</f>
        <v>Abrir facsímil</v>
      </c>
      <c r="K336" s="3" t="s">
        <v>74</v>
      </c>
    </row>
    <row r="337" spans="1:11" ht="42" customHeight="1">
      <c r="A337" s="2" t="s">
        <v>1002</v>
      </c>
      <c r="B337" s="2" t="s">
        <v>1003</v>
      </c>
      <c r="C337" s="2" t="s">
        <v>31</v>
      </c>
      <c r="D337" s="2" t="s">
        <v>32</v>
      </c>
      <c r="E337" s="5">
        <v>-30830</v>
      </c>
      <c r="F337" s="3" t="s">
        <v>33</v>
      </c>
      <c r="G337" s="3" t="s">
        <v>276</v>
      </c>
      <c r="H337" s="2" t="s">
        <v>72</v>
      </c>
      <c r="I337" s="2" t="s">
        <v>1004</v>
      </c>
      <c r="J337" s="3" t="str">
        <f>HYPERLINK("https://www.boe.es/gazeta/dias/1815/08/03/pdfs/GMD-1815-95.pdf#page=12","Abrir facsímil")</f>
        <v>Abrir facsímil</v>
      </c>
      <c r="K337" s="3" t="s">
        <v>74</v>
      </c>
    </row>
    <row r="338" spans="1:11" ht="42" customHeight="1">
      <c r="A338" s="2" t="s">
        <v>1005</v>
      </c>
      <c r="B338" s="2" t="s">
        <v>1006</v>
      </c>
      <c r="C338" s="2" t="s">
        <v>17</v>
      </c>
      <c r="D338" s="2" t="s">
        <v>18</v>
      </c>
      <c r="E338" s="5">
        <v>-30832</v>
      </c>
      <c r="F338" s="3" t="s">
        <v>266</v>
      </c>
      <c r="G338" s="3" t="s">
        <v>38</v>
      </c>
      <c r="H338" s="2" t="s">
        <v>72</v>
      </c>
      <c r="I338" s="2" t="s">
        <v>1007</v>
      </c>
      <c r="J338" s="3" t="str">
        <f>HYPERLINK("https://www.boe.es/gazeta/dias/1815/08/01/pdfs/GMD-1815-94.pdf#page=8","Abrir facsímil")</f>
        <v>Abrir facsímil</v>
      </c>
      <c r="K338" s="3" t="s">
        <v>74</v>
      </c>
    </row>
    <row r="339" spans="1:11" ht="42" customHeight="1">
      <c r="A339" s="2" t="s">
        <v>1008</v>
      </c>
      <c r="B339" s="2" t="s">
        <v>1009</v>
      </c>
      <c r="C339" s="2" t="s">
        <v>49</v>
      </c>
      <c r="D339" s="2" t="s">
        <v>50</v>
      </c>
      <c r="E339" s="5">
        <v>-30711</v>
      </c>
      <c r="F339" s="3" t="s">
        <v>438</v>
      </c>
      <c r="G339" s="3" t="s">
        <v>57</v>
      </c>
      <c r="H339" s="2" t="s">
        <v>72</v>
      </c>
      <c r="I339" s="2" t="s">
        <v>1010</v>
      </c>
      <c r="J339" s="3" t="str">
        <f>HYPERLINK("https://www.boe.es/gazeta/dias/1815/11/30/pdfs/GMD-1815-149.pdf#page=5","Abrir facsímil")</f>
        <v>Abrir facsímil</v>
      </c>
      <c r="K339" s="3" t="s">
        <v>74</v>
      </c>
    </row>
    <row r="340" spans="1:11" ht="42" customHeight="1">
      <c r="A340" s="2" t="s">
        <v>1011</v>
      </c>
      <c r="B340" s="2" t="s">
        <v>1012</v>
      </c>
      <c r="C340" s="2" t="s">
        <v>131</v>
      </c>
      <c r="D340" s="2" t="s">
        <v>50</v>
      </c>
      <c r="E340" s="5">
        <v>-30839</v>
      </c>
      <c r="F340" s="3" t="s">
        <v>616</v>
      </c>
      <c r="G340" s="3" t="s">
        <v>71</v>
      </c>
      <c r="H340" s="2" t="s">
        <v>72</v>
      </c>
      <c r="I340" s="2" t="s">
        <v>1013</v>
      </c>
      <c r="J340" s="3" t="str">
        <f>HYPERLINK("https://www.boe.es/gazeta/dias/1815/07/25/pdfs/GMD-1815-91.pdf#page=7","Abrir facsímil")</f>
        <v>Abrir facsímil</v>
      </c>
      <c r="K340" s="3" t="s">
        <v>74</v>
      </c>
    </row>
    <row r="341" spans="1:11" ht="42" customHeight="1">
      <c r="A341" s="2" t="s">
        <v>1014</v>
      </c>
      <c r="B341" s="2" t="s">
        <v>1015</v>
      </c>
      <c r="C341" s="2" t="s">
        <v>49</v>
      </c>
      <c r="D341" s="2" t="s">
        <v>50</v>
      </c>
      <c r="E341" s="5">
        <v>-30863</v>
      </c>
      <c r="F341" s="3" t="s">
        <v>110</v>
      </c>
      <c r="G341" s="3" t="s">
        <v>224</v>
      </c>
      <c r="H341" s="2" t="s">
        <v>72</v>
      </c>
      <c r="I341" s="2" t="s">
        <v>1016</v>
      </c>
      <c r="J341" s="3" t="str">
        <f>HYPERLINK("https://www.boe.es/gazeta/dias/1815/07/01/pdfs/GMD-1815-79.pdf#page=9","Abrir facsímil")</f>
        <v>Abrir facsímil</v>
      </c>
      <c r="K341" s="3" t="s">
        <v>74</v>
      </c>
    </row>
    <row r="342" spans="1:11" ht="42" customHeight="1">
      <c r="A342" s="2" t="s">
        <v>1017</v>
      </c>
      <c r="B342" s="2" t="s">
        <v>1017</v>
      </c>
      <c r="C342" s="2" t="s">
        <v>31</v>
      </c>
      <c r="D342" s="2" t="s">
        <v>32</v>
      </c>
      <c r="E342" s="5">
        <v>-31033</v>
      </c>
      <c r="F342" s="3" t="s">
        <v>493</v>
      </c>
      <c r="G342" s="3" t="s">
        <v>377</v>
      </c>
      <c r="H342" s="2" t="s">
        <v>72</v>
      </c>
      <c r="I342" s="2" t="s">
        <v>1018</v>
      </c>
      <c r="J342" s="3" t="str">
        <f>HYPERLINK("https://www.boe.es/gazeta/dias/1815/01/12/pdfs/GMD-1815-5.pdf#page=2","Abrir facsímil")</f>
        <v>Abrir facsímil</v>
      </c>
      <c r="K342" s="3" t="s">
        <v>74</v>
      </c>
    </row>
    <row r="343" spans="1:11" ht="42" customHeight="1">
      <c r="A343" s="2" t="s">
        <v>1019</v>
      </c>
      <c r="B343" s="2" t="s">
        <v>1020</v>
      </c>
      <c r="C343" s="2" t="s">
        <v>31</v>
      </c>
      <c r="D343" s="2" t="s">
        <v>32</v>
      </c>
      <c r="E343" s="5">
        <v>-30870</v>
      </c>
      <c r="F343" s="3" t="s">
        <v>122</v>
      </c>
      <c r="G343" s="3" t="s">
        <v>52</v>
      </c>
      <c r="H343" s="2" t="s">
        <v>72</v>
      </c>
      <c r="I343" s="2" t="s">
        <v>1021</v>
      </c>
      <c r="J343" s="3" t="str">
        <f>HYPERLINK("https://www.boe.es/gazeta/dias/1815/06/24/pdfs/GMD-1815-76.pdf#page=11","Abrir facsímil")</f>
        <v>Abrir facsímil</v>
      </c>
      <c r="K343" s="3" t="s">
        <v>74</v>
      </c>
    </row>
    <row r="344" spans="1:11" ht="42" customHeight="1">
      <c r="A344" s="2" t="s">
        <v>1022</v>
      </c>
      <c r="B344" s="2" t="s">
        <v>1023</v>
      </c>
      <c r="C344" s="2" t="s">
        <v>17</v>
      </c>
      <c r="D344" s="2" t="s">
        <v>18</v>
      </c>
      <c r="E344" s="5">
        <v>-30940</v>
      </c>
      <c r="F344" s="3" t="s">
        <v>610</v>
      </c>
      <c r="G344" s="3" t="s">
        <v>71</v>
      </c>
      <c r="H344" s="2" t="s">
        <v>72</v>
      </c>
      <c r="I344" s="2" t="s">
        <v>1024</v>
      </c>
      <c r="J344" s="3" t="str">
        <f>HYPERLINK("https://www.boe.es/gazeta/dias/1815/04/15/pdfs/GMD-1815-46.pdf#page=7","Abrir facsímil")</f>
        <v>Abrir facsímil</v>
      </c>
      <c r="K344" s="3" t="s">
        <v>74</v>
      </c>
    </row>
    <row r="345" spans="1:11" ht="42" customHeight="1">
      <c r="A345" s="2" t="s">
        <v>1025</v>
      </c>
      <c r="B345" s="2" t="s">
        <v>1026</v>
      </c>
      <c r="C345" s="2" t="s">
        <v>17</v>
      </c>
      <c r="D345" s="2" t="s">
        <v>18</v>
      </c>
      <c r="E345" s="5">
        <v>-30979</v>
      </c>
      <c r="F345" s="3" t="s">
        <v>56</v>
      </c>
      <c r="G345" s="3" t="s">
        <v>27</v>
      </c>
      <c r="H345" s="2" t="s">
        <v>21</v>
      </c>
      <c r="I345" s="2" t="s">
        <v>1027</v>
      </c>
      <c r="J345" s="3" t="str">
        <f>HYPERLINK("https://www.boe.es/gazeta/dias/1815/03/07/pdfs/GMD-1815-28.pdf#page=6","Abrir facsímil")</f>
        <v>Abrir facsímil</v>
      </c>
      <c r="K345" s="3" t="s">
        <v>23</v>
      </c>
    </row>
    <row r="346" spans="1:11" ht="42" customHeight="1">
      <c r="A346" s="2" t="s">
        <v>1028</v>
      </c>
      <c r="B346" s="2" t="s">
        <v>1029</v>
      </c>
      <c r="C346" s="2" t="s">
        <v>17</v>
      </c>
      <c r="D346" s="2" t="s">
        <v>18</v>
      </c>
      <c r="E346" s="5">
        <v>-31035</v>
      </c>
      <c r="F346" s="3" t="s">
        <v>42</v>
      </c>
      <c r="G346" s="3" t="s">
        <v>20</v>
      </c>
      <c r="H346" s="2" t="s">
        <v>72</v>
      </c>
      <c r="I346" s="2" t="s">
        <v>1030</v>
      </c>
      <c r="J346" s="3" t="str">
        <f>HYPERLINK("https://www.boe.es/gazeta/dias/1815/01/10/pdfs/GMD-1815-4.pdf#page=4","Abrir facsímil")</f>
        <v>Abrir facsímil</v>
      </c>
      <c r="K346" s="3" t="s">
        <v>74</v>
      </c>
    </row>
    <row r="347" spans="1:11" ht="42" customHeight="1">
      <c r="A347" s="2" t="s">
        <v>1031</v>
      </c>
      <c r="B347" s="2" t="s">
        <v>1032</v>
      </c>
      <c r="C347" s="2" t="s">
        <v>49</v>
      </c>
      <c r="D347" s="2" t="s">
        <v>50</v>
      </c>
      <c r="E347" s="5">
        <v>-30916</v>
      </c>
      <c r="F347" s="3" t="s">
        <v>147</v>
      </c>
      <c r="G347" s="3" t="s">
        <v>38</v>
      </c>
      <c r="H347" s="2" t="s">
        <v>72</v>
      </c>
      <c r="I347" s="2" t="s">
        <v>1033</v>
      </c>
      <c r="J347" s="3" t="str">
        <f>HYPERLINK("https://www.boe.es/gazeta/dias/1815/05/09/pdfs/GMD-1815-56.pdf#page=8","Abrir facsímil")</f>
        <v>Abrir facsímil</v>
      </c>
      <c r="K347" s="3" t="s">
        <v>74</v>
      </c>
    </row>
    <row r="348" spans="1:11" ht="42" customHeight="1">
      <c r="A348" s="2" t="s">
        <v>1034</v>
      </c>
      <c r="B348" s="2" t="s">
        <v>1035</v>
      </c>
      <c r="C348" s="2" t="s">
        <v>31</v>
      </c>
      <c r="D348" s="2" t="s">
        <v>32</v>
      </c>
      <c r="E348" s="5">
        <v>-30739</v>
      </c>
      <c r="F348" s="3" t="s">
        <v>254</v>
      </c>
      <c r="G348" s="3" t="s">
        <v>52</v>
      </c>
      <c r="H348" s="2" t="s">
        <v>72</v>
      </c>
      <c r="I348" s="2" t="s">
        <v>1036</v>
      </c>
      <c r="J348" s="3" t="str">
        <f>HYPERLINK("https://www.boe.es/gazeta/dias/1815/11/02/pdfs/GMD-1815-137.pdf#page=11","Abrir facsímil")</f>
        <v>Abrir facsímil</v>
      </c>
      <c r="K348" s="3" t="s">
        <v>74</v>
      </c>
    </row>
    <row r="349" spans="1:11" ht="42" customHeight="1">
      <c r="A349" s="2" t="s">
        <v>1037</v>
      </c>
      <c r="B349" s="2" t="s">
        <v>1038</v>
      </c>
      <c r="C349" s="2" t="s">
        <v>49</v>
      </c>
      <c r="D349" s="2" t="s">
        <v>50</v>
      </c>
      <c r="E349" s="5">
        <v>-30865</v>
      </c>
      <c r="F349" s="3" t="s">
        <v>163</v>
      </c>
      <c r="G349" s="3" t="s">
        <v>27</v>
      </c>
      <c r="H349" s="2" t="s">
        <v>72</v>
      </c>
      <c r="I349" s="2" t="s">
        <v>1039</v>
      </c>
      <c r="J349" s="3" t="str">
        <f>HYPERLINK("https://www.boe.es/gazeta/dias/1815/06/29/pdfs/GMD-1815-78.pdf#page=6","Abrir facsímil")</f>
        <v>Abrir facsímil</v>
      </c>
      <c r="K349" s="3" t="s">
        <v>74</v>
      </c>
    </row>
    <row r="350" spans="1:11" ht="42" customHeight="1">
      <c r="A350" s="2" t="s">
        <v>1040</v>
      </c>
      <c r="B350" s="2" t="s">
        <v>1041</v>
      </c>
      <c r="C350" s="2" t="s">
        <v>49</v>
      </c>
      <c r="D350" s="2" t="s">
        <v>50</v>
      </c>
      <c r="E350" s="5">
        <v>-31040</v>
      </c>
      <c r="F350" s="3" t="s">
        <v>326</v>
      </c>
      <c r="G350" s="3" t="s">
        <v>38</v>
      </c>
      <c r="H350" s="2" t="s">
        <v>72</v>
      </c>
      <c r="I350" s="2" t="s">
        <v>1042</v>
      </c>
      <c r="J350" s="3" t="str">
        <f>HYPERLINK("https://www.boe.es/gazeta/dias/1815/01/05/pdfs/GMD-1815-2.pdf#page=8","Abrir facsímil")</f>
        <v>Abrir facsímil</v>
      </c>
      <c r="K350" s="3" t="s">
        <v>74</v>
      </c>
    </row>
    <row r="351" spans="1:11" ht="42" customHeight="1">
      <c r="A351" s="2" t="s">
        <v>1043</v>
      </c>
      <c r="B351" s="2" t="s">
        <v>1044</v>
      </c>
      <c r="C351" s="2" t="s">
        <v>31</v>
      </c>
      <c r="D351" s="2" t="s">
        <v>32</v>
      </c>
      <c r="E351" s="5">
        <v>-30739</v>
      </c>
      <c r="F351" s="3" t="s">
        <v>254</v>
      </c>
      <c r="G351" s="3" t="s">
        <v>224</v>
      </c>
      <c r="H351" s="2" t="s">
        <v>72</v>
      </c>
      <c r="I351" s="2" t="s">
        <v>1045</v>
      </c>
      <c r="J351" s="3" t="str">
        <f>HYPERLINK("https://www.boe.es/gazeta/dias/1815/11/02/pdfs/GMD-1815-137.pdf#page=9","Abrir facsímil")</f>
        <v>Abrir facsímil</v>
      </c>
      <c r="K351" s="3" t="s">
        <v>74</v>
      </c>
    </row>
    <row r="352" spans="1:11" ht="42" customHeight="1">
      <c r="A352" s="2" t="s">
        <v>1046</v>
      </c>
      <c r="B352" s="2" t="s">
        <v>1047</v>
      </c>
      <c r="C352" s="2" t="s">
        <v>49</v>
      </c>
      <c r="D352" s="2" t="s">
        <v>50</v>
      </c>
      <c r="E352" s="5">
        <v>-30839</v>
      </c>
      <c r="F352" s="3" t="s">
        <v>616</v>
      </c>
      <c r="G352" s="3" t="s">
        <v>27</v>
      </c>
      <c r="H352" s="2" t="s">
        <v>72</v>
      </c>
      <c r="I352" s="2" t="s">
        <v>1048</v>
      </c>
      <c r="J352" s="3" t="str">
        <f>HYPERLINK("https://www.boe.es/gazeta/dias/1815/07/25/pdfs/GMD-1815-91.pdf#page=6","Abrir facsímil")</f>
        <v>Abrir facsímil</v>
      </c>
      <c r="K352" s="3" t="s">
        <v>74</v>
      </c>
    </row>
    <row r="353" spans="1:11" ht="42" customHeight="1">
      <c r="A353" s="2" t="s">
        <v>1049</v>
      </c>
      <c r="B353" s="2" t="s">
        <v>1050</v>
      </c>
      <c r="C353" s="2" t="s">
        <v>17</v>
      </c>
      <c r="D353" s="2" t="s">
        <v>18</v>
      </c>
      <c r="E353" s="5">
        <v>-30790</v>
      </c>
      <c r="F353" s="3" t="s">
        <v>285</v>
      </c>
      <c r="G353" s="3" t="s">
        <v>71</v>
      </c>
      <c r="H353" s="2" t="s">
        <v>72</v>
      </c>
      <c r="I353" s="2" t="s">
        <v>1051</v>
      </c>
      <c r="J353" s="3" t="str">
        <f>HYPERLINK("https://www.boe.es/gazeta/dias/1815/09/12/pdfs/GMD-1815-113.pdf#page=7","Abrir facsímil")</f>
        <v>Abrir facsímil</v>
      </c>
      <c r="K353" s="3" t="s">
        <v>74</v>
      </c>
    </row>
    <row r="354" spans="1:11" ht="42" customHeight="1">
      <c r="A354" s="2" t="s">
        <v>1052</v>
      </c>
      <c r="B354" s="2" t="s">
        <v>1053</v>
      </c>
      <c r="C354" s="2" t="s">
        <v>49</v>
      </c>
      <c r="D354" s="2" t="s">
        <v>50</v>
      </c>
      <c r="E354" s="5">
        <v>-30886</v>
      </c>
      <c r="F354" s="3" t="s">
        <v>140</v>
      </c>
      <c r="G354" s="3" t="s">
        <v>224</v>
      </c>
      <c r="H354" s="2" t="s">
        <v>72</v>
      </c>
      <c r="I354" s="2" t="s">
        <v>1054</v>
      </c>
      <c r="J354" s="3" t="str">
        <f>HYPERLINK("https://www.boe.es/gazeta/dias/1815/06/08/pdfs/GMD-1815-69.pdf#page=9","Abrir facsímil")</f>
        <v>Abrir facsímil</v>
      </c>
      <c r="K354" s="3" t="s">
        <v>74</v>
      </c>
    </row>
    <row r="355" spans="1:11" ht="42" customHeight="1">
      <c r="A355" s="2" t="s">
        <v>1055</v>
      </c>
      <c r="B355" s="2" t="s">
        <v>1056</v>
      </c>
      <c r="C355" s="2" t="s">
        <v>17</v>
      </c>
      <c r="D355" s="2" t="s">
        <v>18</v>
      </c>
      <c r="E355" s="5">
        <v>-30711</v>
      </c>
      <c r="F355" s="3" t="s">
        <v>438</v>
      </c>
      <c r="G355" s="3" t="s">
        <v>71</v>
      </c>
      <c r="H355" s="2" t="s">
        <v>72</v>
      </c>
      <c r="I355" s="2" t="s">
        <v>1057</v>
      </c>
      <c r="J355" s="3" t="str">
        <f>HYPERLINK("https://www.boe.es/gazeta/dias/1815/11/30/pdfs/GMD-1815-149.pdf#page=7","Abrir facsímil")</f>
        <v>Abrir facsímil</v>
      </c>
      <c r="K355" s="3" t="s">
        <v>74</v>
      </c>
    </row>
    <row r="356" spans="1:11" ht="42" customHeight="1">
      <c r="A356" s="2" t="s">
        <v>1058</v>
      </c>
      <c r="B356" s="2" t="s">
        <v>1059</v>
      </c>
      <c r="C356" s="2" t="s">
        <v>49</v>
      </c>
      <c r="D356" s="2" t="s">
        <v>50</v>
      </c>
      <c r="E356" s="5">
        <v>-30942</v>
      </c>
      <c r="F356" s="3" t="s">
        <v>730</v>
      </c>
      <c r="G356" s="3" t="s">
        <v>862</v>
      </c>
      <c r="H356" s="2" t="s">
        <v>72</v>
      </c>
      <c r="I356" s="2" t="s">
        <v>1060</v>
      </c>
      <c r="J356" s="3" t="str">
        <f>HYPERLINK("https://www.boe.es/gazeta/dias/1815/04/13/pdfs/GMD-1815-45.pdf#page=6","Abrir facsímil")</f>
        <v>Abrir facsímil</v>
      </c>
      <c r="K356" s="3" t="s">
        <v>74</v>
      </c>
    </row>
    <row r="357" spans="1:11" ht="42" customHeight="1">
      <c r="A357" s="2" t="s">
        <v>1061</v>
      </c>
      <c r="B357" s="2" t="s">
        <v>1062</v>
      </c>
      <c r="C357" s="2" t="s">
        <v>49</v>
      </c>
      <c r="D357" s="2" t="s">
        <v>50</v>
      </c>
      <c r="E357" s="5">
        <v>-30893</v>
      </c>
      <c r="F357" s="3" t="s">
        <v>132</v>
      </c>
      <c r="G357" s="3" t="s">
        <v>155</v>
      </c>
      <c r="H357" s="2" t="s">
        <v>72</v>
      </c>
      <c r="I357" s="2" t="s">
        <v>1063</v>
      </c>
      <c r="J357" s="3" t="str">
        <f>HYPERLINK("https://www.boe.es/gazeta/dias/1815/06/01/pdfs/GMD-1815-66.pdf#page=6","Abrir facsímil")</f>
        <v>Abrir facsímil</v>
      </c>
      <c r="K357" s="3" t="s">
        <v>74</v>
      </c>
    </row>
    <row r="358" spans="1:11" ht="42" customHeight="1">
      <c r="A358" s="2" t="s">
        <v>1064</v>
      </c>
      <c r="B358" s="2" t="s">
        <v>1065</v>
      </c>
      <c r="C358" s="2" t="s">
        <v>31</v>
      </c>
      <c r="D358" s="2" t="s">
        <v>32</v>
      </c>
      <c r="E358" s="5">
        <v>-30914</v>
      </c>
      <c r="F358" s="3" t="s">
        <v>338</v>
      </c>
      <c r="G358" s="3" t="s">
        <v>88</v>
      </c>
      <c r="H358" s="2" t="s">
        <v>21</v>
      </c>
      <c r="I358" s="2" t="s">
        <v>1066</v>
      </c>
      <c r="J358" s="3" t="str">
        <f>HYPERLINK("https://www.boe.es/gazeta/dias/1815/05/11/pdfs/GMD-1815-57.pdf#page=10","Abrir facsímil")</f>
        <v>Abrir facsímil</v>
      </c>
      <c r="K358" s="3" t="s">
        <v>23</v>
      </c>
    </row>
    <row r="359" spans="1:11" ht="42" customHeight="1">
      <c r="A359" s="2" t="s">
        <v>1067</v>
      </c>
      <c r="B359" s="2" t="s">
        <v>1068</v>
      </c>
      <c r="C359" s="2" t="s">
        <v>49</v>
      </c>
      <c r="D359" s="2" t="s">
        <v>50</v>
      </c>
      <c r="E359" s="5">
        <v>-30842</v>
      </c>
      <c r="F359" s="3" t="s">
        <v>126</v>
      </c>
      <c r="G359" s="3" t="s">
        <v>276</v>
      </c>
      <c r="H359" s="2" t="s">
        <v>72</v>
      </c>
      <c r="I359" s="2" t="s">
        <v>1069</v>
      </c>
      <c r="J359" s="3" t="str">
        <f>HYPERLINK("https://www.boe.es/gazeta/dias/1815/07/22/pdfs/GMD-1815-90.pdf#page=12","Abrir facsímil")</f>
        <v>Abrir facsímil</v>
      </c>
      <c r="K359" s="3" t="s">
        <v>74</v>
      </c>
    </row>
    <row r="360" spans="1:11" ht="42" customHeight="1">
      <c r="A360" s="2" t="s">
        <v>1067</v>
      </c>
      <c r="B360" s="2" t="s">
        <v>1068</v>
      </c>
      <c r="C360" s="2" t="s">
        <v>61</v>
      </c>
      <c r="D360" s="2" t="s">
        <v>50</v>
      </c>
      <c r="E360" s="5">
        <v>-30711</v>
      </c>
      <c r="F360" s="3" t="s">
        <v>438</v>
      </c>
      <c r="G360" s="3" t="s">
        <v>38</v>
      </c>
      <c r="H360" s="2" t="s">
        <v>72</v>
      </c>
      <c r="I360" s="2" t="s">
        <v>1070</v>
      </c>
      <c r="J360" s="3" t="str">
        <f>HYPERLINK("https://www.boe.es/gazeta/dias/1815/11/30/pdfs/GMD-1815-149.pdf#page=8","Abrir facsímil")</f>
        <v>Abrir facsímil</v>
      </c>
      <c r="K360" s="3" t="s">
        <v>74</v>
      </c>
    </row>
    <row r="361" spans="1:11" ht="42" customHeight="1">
      <c r="A361" s="2" t="s">
        <v>1071</v>
      </c>
      <c r="B361" s="2" t="s">
        <v>1072</v>
      </c>
      <c r="C361" s="2" t="s">
        <v>17</v>
      </c>
      <c r="D361" s="2" t="s">
        <v>18</v>
      </c>
      <c r="E361" s="5">
        <v>-30905</v>
      </c>
      <c r="F361" s="3" t="s">
        <v>901</v>
      </c>
      <c r="G361" s="3" t="s">
        <v>71</v>
      </c>
      <c r="H361" s="2" t="s">
        <v>72</v>
      </c>
      <c r="I361" s="2" t="s">
        <v>1073</v>
      </c>
      <c r="J361" s="3" t="str">
        <f>HYPERLINK("https://www.boe.es/gazeta/dias/1815/05/20/pdfs/GMD-1815-61.pdf#page=7","Abrir facsímil")</f>
        <v>Abrir facsímil</v>
      </c>
      <c r="K361" s="3" t="s">
        <v>74</v>
      </c>
    </row>
    <row r="362" spans="1:11" ht="42" customHeight="1">
      <c r="A362" s="2" t="s">
        <v>1074</v>
      </c>
      <c r="B362" s="2" t="s">
        <v>1075</v>
      </c>
      <c r="C362" s="2" t="s">
        <v>49</v>
      </c>
      <c r="D362" s="2" t="s">
        <v>50</v>
      </c>
      <c r="E362" s="5">
        <v>-30832</v>
      </c>
      <c r="F362" s="3" t="s">
        <v>266</v>
      </c>
      <c r="G362" s="3" t="s">
        <v>224</v>
      </c>
      <c r="H362" s="2" t="s">
        <v>72</v>
      </c>
      <c r="I362" s="2" t="s">
        <v>1076</v>
      </c>
      <c r="J362" s="3" t="str">
        <f>HYPERLINK("https://www.boe.es/gazeta/dias/1815/08/01/pdfs/GMD-1815-94.pdf#page=9","Abrir facsímil")</f>
        <v>Abrir facsímil</v>
      </c>
      <c r="K362" s="3" t="s">
        <v>74</v>
      </c>
    </row>
    <row r="363" spans="1:11" ht="42" customHeight="1">
      <c r="A363" s="2" t="s">
        <v>1077</v>
      </c>
      <c r="B363" s="2" t="s">
        <v>1078</v>
      </c>
      <c r="C363" s="2" t="s">
        <v>49</v>
      </c>
      <c r="D363" s="2" t="s">
        <v>50</v>
      </c>
      <c r="E363" s="5">
        <v>-30830</v>
      </c>
      <c r="F363" s="3" t="s">
        <v>33</v>
      </c>
      <c r="G363" s="3" t="s">
        <v>52</v>
      </c>
      <c r="H363" s="2" t="s">
        <v>72</v>
      </c>
      <c r="I363" s="2" t="s">
        <v>1079</v>
      </c>
      <c r="J363" s="3" t="str">
        <f>HYPERLINK("https://www.boe.es/gazeta/dias/1815/08/03/pdfs/GMD-1815-95.pdf#page=11","Abrir facsímil")</f>
        <v>Abrir facsímil</v>
      </c>
      <c r="K363" s="3" t="s">
        <v>74</v>
      </c>
    </row>
    <row r="364" spans="1:11" ht="42" customHeight="1">
      <c r="A364" s="2" t="s">
        <v>1080</v>
      </c>
      <c r="B364" s="2" t="s">
        <v>1081</v>
      </c>
      <c r="C364" s="2" t="s">
        <v>49</v>
      </c>
      <c r="D364" s="2" t="s">
        <v>50</v>
      </c>
      <c r="E364" s="5">
        <v>-30835</v>
      </c>
      <c r="F364" s="3" t="s">
        <v>544</v>
      </c>
      <c r="G364" s="3" t="s">
        <v>224</v>
      </c>
      <c r="H364" s="2" t="s">
        <v>72</v>
      </c>
      <c r="I364" s="2" t="s">
        <v>1082</v>
      </c>
      <c r="J364" s="3" t="str">
        <f>HYPERLINK("https://www.boe.es/gazeta/dias/1815/07/29/pdfs/GMD-1815-93.pdf#page=9","Abrir facsímil")</f>
        <v>Abrir facsímil</v>
      </c>
      <c r="K364" s="3" t="s">
        <v>74</v>
      </c>
    </row>
    <row r="365" spans="1:11" ht="42" customHeight="1">
      <c r="A365" s="2" t="s">
        <v>1083</v>
      </c>
      <c r="B365" s="2" t="s">
        <v>1084</v>
      </c>
      <c r="C365" s="2" t="s">
        <v>17</v>
      </c>
      <c r="D365" s="2" t="s">
        <v>18</v>
      </c>
      <c r="E365" s="5">
        <v>-30767</v>
      </c>
      <c r="F365" s="3" t="s">
        <v>228</v>
      </c>
      <c r="G365" s="3" t="s">
        <v>224</v>
      </c>
      <c r="H365" s="2" t="s">
        <v>72</v>
      </c>
      <c r="I365" s="2" t="s">
        <v>1085</v>
      </c>
      <c r="J365" s="3" t="str">
        <f>HYPERLINK("https://www.boe.es/gazeta/dias/1815/10/05/pdfs/GMD-1815-125.pdf#page=9","Abrir facsímil")</f>
        <v>Abrir facsímil</v>
      </c>
      <c r="K365" s="3" t="s">
        <v>74</v>
      </c>
    </row>
    <row r="366" spans="1:11" ht="42" customHeight="1">
      <c r="A366" s="2" t="s">
        <v>1086</v>
      </c>
      <c r="B366" s="2" t="s">
        <v>1087</v>
      </c>
      <c r="C366" s="2" t="s">
        <v>31</v>
      </c>
      <c r="D366" s="2" t="s">
        <v>32</v>
      </c>
      <c r="E366" s="5">
        <v>-30723</v>
      </c>
      <c r="F366" s="3" t="s">
        <v>77</v>
      </c>
      <c r="G366" s="3" t="s">
        <v>38</v>
      </c>
      <c r="H366" s="2" t="s">
        <v>72</v>
      </c>
      <c r="I366" s="2" t="s">
        <v>1088</v>
      </c>
      <c r="J366" s="3" t="str">
        <f>HYPERLINK("https://www.boe.es/gazeta/dias/1815/11/18/pdfs/GMD-1815-144.pdf#page=8","Abrir facsímil")</f>
        <v>Abrir facsímil</v>
      </c>
      <c r="K366" s="3" t="s">
        <v>74</v>
      </c>
    </row>
    <row r="367" spans="1:11" ht="42" customHeight="1">
      <c r="A367" s="2" t="s">
        <v>1089</v>
      </c>
      <c r="B367" s="2" t="s">
        <v>1090</v>
      </c>
      <c r="C367" s="2" t="s">
        <v>17</v>
      </c>
      <c r="D367" s="2" t="s">
        <v>18</v>
      </c>
      <c r="E367" s="5">
        <v>-31028</v>
      </c>
      <c r="F367" s="3" t="s">
        <v>517</v>
      </c>
      <c r="G367" s="3" t="s">
        <v>27</v>
      </c>
      <c r="H367" s="2" t="s">
        <v>72</v>
      </c>
      <c r="I367" s="2" t="s">
        <v>1091</v>
      </c>
      <c r="J367" s="3" t="str">
        <f>HYPERLINK("https://www.boe.es/gazeta/dias/1815/01/17/pdfs/GMD-1815-7.pdf#page=6","Abrir facsímil")</f>
        <v>Abrir facsímil</v>
      </c>
      <c r="K367" s="3" t="s">
        <v>74</v>
      </c>
    </row>
    <row r="368" spans="1:11" ht="42" customHeight="1">
      <c r="A368" s="2" t="s">
        <v>1092</v>
      </c>
      <c r="B368" s="2" t="s">
        <v>1093</v>
      </c>
      <c r="C368" s="2" t="s">
        <v>31</v>
      </c>
      <c r="D368" s="2" t="s">
        <v>32</v>
      </c>
      <c r="E368" s="5">
        <v>-31019</v>
      </c>
      <c r="F368" s="3" t="s">
        <v>1094</v>
      </c>
      <c r="G368" s="3" t="s">
        <v>276</v>
      </c>
      <c r="H368" s="2" t="s">
        <v>72</v>
      </c>
      <c r="I368" s="2" t="s">
        <v>1095</v>
      </c>
      <c r="J368" s="3" t="str">
        <f>HYPERLINK("https://www.boe.es/gazeta/dias/1815/01/26/pdfs/GMD-1815-11.pdf#page=12","Abrir facsímil")</f>
        <v>Abrir facsímil</v>
      </c>
      <c r="K368" s="3" t="s">
        <v>74</v>
      </c>
    </row>
    <row r="369" spans="1:11" ht="42" customHeight="1">
      <c r="A369" s="2" t="s">
        <v>1096</v>
      </c>
      <c r="B369" s="2" t="s">
        <v>1097</v>
      </c>
      <c r="C369" s="2" t="s">
        <v>17</v>
      </c>
      <c r="D369" s="2" t="s">
        <v>18</v>
      </c>
      <c r="E369" s="5">
        <v>-31010</v>
      </c>
      <c r="F369" s="3" t="s">
        <v>1098</v>
      </c>
      <c r="G369" s="3" t="s">
        <v>1099</v>
      </c>
      <c r="H369" s="2" t="s">
        <v>72</v>
      </c>
      <c r="I369" s="2" t="s">
        <v>1100</v>
      </c>
      <c r="J369" s="3" t="str">
        <f>HYPERLINK("https://www.boe.es/gazeta/dias/1815/02/04/pdfs/GMD-1815-15.pdf#page=6","Abrir facsímil")</f>
        <v>Abrir facsímil</v>
      </c>
      <c r="K369" s="3" t="s">
        <v>74</v>
      </c>
    </row>
    <row r="370" spans="1:11" ht="42" customHeight="1">
      <c r="A370" s="2" t="s">
        <v>1101</v>
      </c>
      <c r="B370" s="2" t="s">
        <v>1102</v>
      </c>
      <c r="C370" s="2" t="s">
        <v>49</v>
      </c>
      <c r="D370" s="2" t="s">
        <v>50</v>
      </c>
      <c r="E370" s="5">
        <v>-30916</v>
      </c>
      <c r="F370" s="3" t="s">
        <v>147</v>
      </c>
      <c r="G370" s="3" t="s">
        <v>148</v>
      </c>
      <c r="H370" s="2" t="s">
        <v>72</v>
      </c>
      <c r="I370" s="2" t="s">
        <v>1103</v>
      </c>
      <c r="J370" s="3" t="str">
        <f>HYPERLINK("https://www.boe.es/gazeta/dias/1815/05/09/pdfs/GMD-1815-56.pdf#page=7","Abrir facsímil")</f>
        <v>Abrir facsímil</v>
      </c>
      <c r="K370" s="3" t="s">
        <v>74</v>
      </c>
    </row>
    <row r="371" spans="1:11" ht="42" customHeight="1">
      <c r="A371" s="2" t="s">
        <v>1104</v>
      </c>
      <c r="B371" s="2" t="s">
        <v>1105</v>
      </c>
      <c r="C371" s="2" t="s">
        <v>49</v>
      </c>
      <c r="D371" s="2" t="s">
        <v>50</v>
      </c>
      <c r="E371" s="5">
        <v>-30923</v>
      </c>
      <c r="F371" s="3" t="s">
        <v>524</v>
      </c>
      <c r="G371" s="3" t="s">
        <v>71</v>
      </c>
      <c r="H371" s="2" t="s">
        <v>72</v>
      </c>
      <c r="I371" s="2" t="s">
        <v>1106</v>
      </c>
      <c r="J371" s="3" t="str">
        <f>HYPERLINK("https://www.boe.es/gazeta/dias/1815/05/02/pdfs/GMD-1815-53.pdf#page=7","Abrir facsímil")</f>
        <v>Abrir facsímil</v>
      </c>
      <c r="K371" s="3" t="s">
        <v>74</v>
      </c>
    </row>
    <row r="372" spans="1:11" ht="42" customHeight="1">
      <c r="A372" s="2" t="s">
        <v>1107</v>
      </c>
      <c r="B372" s="2" t="s">
        <v>1108</v>
      </c>
      <c r="C372" s="2" t="s">
        <v>81</v>
      </c>
      <c r="D372" s="2" t="s">
        <v>50</v>
      </c>
      <c r="E372" s="5">
        <v>-30919</v>
      </c>
      <c r="F372" s="3" t="s">
        <v>792</v>
      </c>
      <c r="G372" s="3" t="s">
        <v>1109</v>
      </c>
      <c r="H372" s="2" t="s">
        <v>72</v>
      </c>
      <c r="I372" s="2" t="s">
        <v>1110</v>
      </c>
      <c r="J372" s="3" t="str">
        <f>HYPERLINK("https://www.boe.es/gazeta/dias/1815/05/06/pdfs/GMD-1815-55.pdf#page=8","Abrir facsímil")</f>
        <v>Abrir facsímil</v>
      </c>
      <c r="K372" s="3" t="s">
        <v>74</v>
      </c>
    </row>
    <row r="373" spans="1:11" ht="42" customHeight="1">
      <c r="A373" s="2" t="s">
        <v>1111</v>
      </c>
      <c r="B373" s="2" t="s">
        <v>1112</v>
      </c>
      <c r="C373" s="2" t="s">
        <v>31</v>
      </c>
      <c r="D373" s="2" t="s">
        <v>32</v>
      </c>
      <c r="E373" s="5">
        <v>-31038</v>
      </c>
      <c r="F373" s="3" t="s">
        <v>395</v>
      </c>
      <c r="G373" s="3" t="s">
        <v>396</v>
      </c>
      <c r="H373" s="2" t="s">
        <v>72</v>
      </c>
      <c r="I373" s="2" t="s">
        <v>1113</v>
      </c>
      <c r="J373" s="3" t="str">
        <f>HYPERLINK("https://www.boe.es/gazeta/dias/1815/01/07/pdfs/GMD-1815-3.pdf#page=5","Abrir facsímil")</f>
        <v>Abrir facsímil</v>
      </c>
      <c r="K373" s="3" t="s">
        <v>74</v>
      </c>
    </row>
    <row r="374" spans="1:11" ht="42" customHeight="1">
      <c r="A374" s="2" t="s">
        <v>1114</v>
      </c>
      <c r="B374" s="2" t="s">
        <v>1115</v>
      </c>
      <c r="C374" s="2" t="s">
        <v>31</v>
      </c>
      <c r="D374" s="2" t="s">
        <v>32</v>
      </c>
      <c r="E374" s="5">
        <v>-31028</v>
      </c>
      <c r="F374" s="3" t="s">
        <v>517</v>
      </c>
      <c r="G374" s="3" t="s">
        <v>88</v>
      </c>
      <c r="H374" s="2" t="s">
        <v>72</v>
      </c>
      <c r="I374" s="2" t="s">
        <v>1116</v>
      </c>
      <c r="J374" s="3" t="str">
        <f>HYPERLINK("https://www.boe.es/gazeta/dias/1815/01/17/pdfs/GMD-1815-7.pdf#page=10","Abrir facsímil")</f>
        <v>Abrir facsímil</v>
      </c>
      <c r="K374" s="3" t="s">
        <v>74</v>
      </c>
    </row>
    <row r="375" spans="1:11" ht="42" customHeight="1">
      <c r="A375" s="2" t="s">
        <v>1117</v>
      </c>
      <c r="B375" s="2" t="s">
        <v>1118</v>
      </c>
      <c r="C375" s="2" t="s">
        <v>17</v>
      </c>
      <c r="D375" s="2" t="s">
        <v>18</v>
      </c>
      <c r="E375" s="5">
        <v>-30818</v>
      </c>
      <c r="F375" s="3" t="s">
        <v>334</v>
      </c>
      <c r="G375" s="3" t="s">
        <v>224</v>
      </c>
      <c r="H375" s="2" t="s">
        <v>21</v>
      </c>
      <c r="I375" s="2" t="s">
        <v>1119</v>
      </c>
      <c r="J375" s="3" t="str">
        <f>HYPERLINK("https://www.boe.es/gazeta/dias/1815/08/15/pdfs/GMD-1815-100.pdf#page=9","Abrir facsímil")</f>
        <v>Abrir facsímil</v>
      </c>
      <c r="K375" s="3" t="s">
        <v>23</v>
      </c>
    </row>
    <row r="376" spans="1:11" ht="42" customHeight="1">
      <c r="A376" s="2" t="s">
        <v>1120</v>
      </c>
      <c r="B376" s="2" t="s">
        <v>1121</v>
      </c>
      <c r="C376" s="2" t="s">
        <v>49</v>
      </c>
      <c r="D376" s="2" t="s">
        <v>50</v>
      </c>
      <c r="E376" s="5">
        <v>-30893</v>
      </c>
      <c r="F376" s="3" t="s">
        <v>132</v>
      </c>
      <c r="G376" s="3" t="s">
        <v>71</v>
      </c>
      <c r="H376" s="2" t="s">
        <v>72</v>
      </c>
      <c r="I376" s="2" t="s">
        <v>1122</v>
      </c>
      <c r="J376" s="3" t="str">
        <f>HYPERLINK("https://www.boe.es/gazeta/dias/1815/06/01/pdfs/GMD-1815-66.pdf#page=7","Abrir facsímil")</f>
        <v>Abrir facsímil</v>
      </c>
      <c r="K376" s="3" t="s">
        <v>74</v>
      </c>
    </row>
    <row r="377" spans="1:11" ht="42" customHeight="1">
      <c r="A377" s="2" t="s">
        <v>1123</v>
      </c>
      <c r="B377" s="2" t="s">
        <v>1124</v>
      </c>
      <c r="C377" s="2" t="s">
        <v>49</v>
      </c>
      <c r="D377" s="2" t="s">
        <v>50</v>
      </c>
      <c r="E377" s="5">
        <v>-30893</v>
      </c>
      <c r="F377" s="3" t="s">
        <v>132</v>
      </c>
      <c r="G377" s="3" t="s">
        <v>71</v>
      </c>
      <c r="H377" s="2" t="s">
        <v>72</v>
      </c>
      <c r="I377" s="2" t="s">
        <v>1125</v>
      </c>
      <c r="J377" s="3" t="str">
        <f>HYPERLINK("https://www.boe.es/gazeta/dias/1815/06/01/pdfs/GMD-1815-66.pdf#page=7","Abrir facsímil")</f>
        <v>Abrir facsímil</v>
      </c>
      <c r="K377" s="3" t="s">
        <v>74</v>
      </c>
    </row>
    <row r="378" spans="1:11" ht="42" customHeight="1">
      <c r="A378" s="2" t="s">
        <v>1126</v>
      </c>
      <c r="B378" s="2" t="s">
        <v>1127</v>
      </c>
      <c r="C378" s="2" t="s">
        <v>49</v>
      </c>
      <c r="D378" s="2" t="s">
        <v>50</v>
      </c>
      <c r="E378" s="5">
        <v>-30919</v>
      </c>
      <c r="F378" s="3" t="s">
        <v>792</v>
      </c>
      <c r="G378" s="3" t="s">
        <v>1109</v>
      </c>
      <c r="H378" s="2" t="s">
        <v>72</v>
      </c>
      <c r="I378" s="2" t="s">
        <v>1128</v>
      </c>
      <c r="J378" s="3" t="str">
        <f>HYPERLINK("https://www.boe.es/gazeta/dias/1815/05/06/pdfs/GMD-1815-55.pdf#page=8","Abrir facsímil")</f>
        <v>Abrir facsímil</v>
      </c>
      <c r="K378" s="3" t="s">
        <v>74</v>
      </c>
    </row>
    <row r="379" spans="1:11" ht="42" customHeight="1">
      <c r="A379" s="2" t="s">
        <v>1129</v>
      </c>
      <c r="B379" s="2" t="s">
        <v>1130</v>
      </c>
      <c r="C379" s="2" t="s">
        <v>17</v>
      </c>
      <c r="D379" s="2" t="s">
        <v>18</v>
      </c>
      <c r="E379" s="5">
        <v>-30863</v>
      </c>
      <c r="F379" s="3" t="s">
        <v>110</v>
      </c>
      <c r="G379" s="3" t="s">
        <v>71</v>
      </c>
      <c r="H379" s="2" t="s">
        <v>72</v>
      </c>
      <c r="I379" s="2" t="s">
        <v>1131</v>
      </c>
      <c r="J379" s="3" t="str">
        <f>HYPERLINK("https://www.boe.es/gazeta/dias/1815/07/01/pdfs/GMD-1815-79.pdf#page=7","Abrir facsímil")</f>
        <v>Abrir facsímil</v>
      </c>
      <c r="K379" s="3" t="s">
        <v>74</v>
      </c>
    </row>
    <row r="380" spans="1:11" ht="42" customHeight="1">
      <c r="A380" s="2" t="s">
        <v>1132</v>
      </c>
      <c r="B380" s="2" t="s">
        <v>1132</v>
      </c>
      <c r="C380" s="2" t="s">
        <v>61</v>
      </c>
      <c r="D380" s="2" t="s">
        <v>50</v>
      </c>
      <c r="E380" s="5">
        <v>-31012</v>
      </c>
      <c r="F380" s="3" t="s">
        <v>529</v>
      </c>
      <c r="G380" s="3" t="s">
        <v>530</v>
      </c>
      <c r="H380" s="2" t="s">
        <v>72</v>
      </c>
      <c r="I380" s="2" t="s">
        <v>1133</v>
      </c>
      <c r="J380" s="3" t="str">
        <f>HYPERLINK("https://www.boe.es/gazeta/dias/1815/02/02/pdfs/GMD-1815-14.pdf#page=6","Abrir facsímil")</f>
        <v>Abrir facsímil</v>
      </c>
      <c r="K380" s="3" t="s">
        <v>74</v>
      </c>
    </row>
    <row r="381" spans="1:11" ht="42" customHeight="1">
      <c r="A381" s="2" t="s">
        <v>1134</v>
      </c>
      <c r="B381" s="2" t="s">
        <v>1135</v>
      </c>
      <c r="C381" s="2" t="s">
        <v>31</v>
      </c>
      <c r="D381" s="2" t="s">
        <v>32</v>
      </c>
      <c r="E381" s="5">
        <v>-31003</v>
      </c>
      <c r="F381" s="3" t="s">
        <v>405</v>
      </c>
      <c r="G381" s="3" t="s">
        <v>1136</v>
      </c>
      <c r="H381" s="2" t="s">
        <v>72</v>
      </c>
      <c r="I381" s="2" t="s">
        <v>1137</v>
      </c>
      <c r="J381" s="3" t="str">
        <f>HYPERLINK("https://www.boe.es/gazeta/dias/1815/02/11/pdfs/GMD-1815-18.pdf#page=7","Abrir facsímil")</f>
        <v>Abrir facsímil</v>
      </c>
      <c r="K381" s="3" t="s">
        <v>74</v>
      </c>
    </row>
    <row r="382" spans="1:11" ht="42" customHeight="1">
      <c r="A382" s="2" t="s">
        <v>1138</v>
      </c>
      <c r="B382" s="2" t="s">
        <v>1139</v>
      </c>
      <c r="C382" s="2" t="s">
        <v>17</v>
      </c>
      <c r="D382" s="2" t="s">
        <v>18</v>
      </c>
      <c r="E382" s="5">
        <v>-30951</v>
      </c>
      <c r="F382" s="3" t="s">
        <v>87</v>
      </c>
      <c r="G382" s="3" t="s">
        <v>27</v>
      </c>
      <c r="H382" s="2" t="s">
        <v>72</v>
      </c>
      <c r="I382" s="2" t="s">
        <v>1140</v>
      </c>
      <c r="J382" s="3" t="str">
        <f>HYPERLINK("https://www.boe.es/gazeta/dias/1815/04/04/pdfs/GMD-1815-41.pdf#page=6","Abrir facsímil")</f>
        <v>Abrir facsímil</v>
      </c>
      <c r="K382" s="3" t="s">
        <v>74</v>
      </c>
    </row>
    <row r="383" spans="1:11" ht="42" customHeight="1">
      <c r="A383" s="2" t="s">
        <v>1141</v>
      </c>
      <c r="B383" s="2" t="s">
        <v>1142</v>
      </c>
      <c r="C383" s="2" t="s">
        <v>17</v>
      </c>
      <c r="D383" s="2" t="s">
        <v>18</v>
      </c>
      <c r="E383" s="5">
        <v>-30774</v>
      </c>
      <c r="F383" s="3" t="s">
        <v>1143</v>
      </c>
      <c r="G383" s="3" t="s">
        <v>1144</v>
      </c>
      <c r="H383" s="2" t="s">
        <v>72</v>
      </c>
      <c r="I383" s="2" t="s">
        <v>1145</v>
      </c>
      <c r="J383" s="3" t="str">
        <f>HYPERLINK("https://www.boe.es/gazeta/dias/1815/09/28/pdfs/GMD-1815-121.pdf#page=8","Abrir facsímil")</f>
        <v>Abrir facsímil</v>
      </c>
      <c r="K383" s="3" t="s">
        <v>74</v>
      </c>
    </row>
    <row r="384" spans="1:11" ht="42" customHeight="1">
      <c r="A384" s="2" t="s">
        <v>1141</v>
      </c>
      <c r="B384" s="2" t="s">
        <v>1142</v>
      </c>
      <c r="C384" s="2" t="s">
        <v>17</v>
      </c>
      <c r="D384" s="2" t="s">
        <v>18</v>
      </c>
      <c r="E384" s="5">
        <v>-30774</v>
      </c>
      <c r="F384" s="3" t="s">
        <v>1143</v>
      </c>
      <c r="G384" s="3" t="s">
        <v>71</v>
      </c>
      <c r="H384" s="2" t="s">
        <v>72</v>
      </c>
      <c r="I384" s="2" t="s">
        <v>1146</v>
      </c>
      <c r="J384" s="3" t="str">
        <f>HYPERLINK("https://www.boe.es/gazeta/dias/1815/09/28/pdfs/GMD-1815-121.pdf#page=7","Abrir facsímil")</f>
        <v>Abrir facsímil</v>
      </c>
      <c r="K384" s="3" t="s">
        <v>74</v>
      </c>
    </row>
    <row r="385" spans="1:11" ht="42" customHeight="1">
      <c r="A385" s="2" t="s">
        <v>1141</v>
      </c>
      <c r="B385" s="2" t="s">
        <v>1142</v>
      </c>
      <c r="C385" s="2" t="s">
        <v>31</v>
      </c>
      <c r="D385" s="2" t="s">
        <v>32</v>
      </c>
      <c r="E385" s="5">
        <v>-30741</v>
      </c>
      <c r="F385" s="3" t="s">
        <v>1000</v>
      </c>
      <c r="G385" s="3" t="s">
        <v>38</v>
      </c>
      <c r="H385" s="2" t="s">
        <v>72</v>
      </c>
      <c r="I385" s="2" t="s">
        <v>1147</v>
      </c>
      <c r="J385" s="3" t="str">
        <f>HYPERLINK("https://www.boe.es/gazeta/dias/1815/10/31/pdfs/GMD-1815-136.pdf#page=8","Abrir facsímil")</f>
        <v>Abrir facsímil</v>
      </c>
      <c r="K385" s="3" t="s">
        <v>74</v>
      </c>
    </row>
    <row r="386" spans="1:11" ht="42" customHeight="1">
      <c r="A386" s="2" t="s">
        <v>1141</v>
      </c>
      <c r="B386" s="2" t="s">
        <v>1142</v>
      </c>
      <c r="C386" s="2" t="s">
        <v>17</v>
      </c>
      <c r="D386" s="2" t="s">
        <v>18</v>
      </c>
      <c r="E386" s="5">
        <v>-30739</v>
      </c>
      <c r="F386" s="3" t="s">
        <v>254</v>
      </c>
      <c r="G386" s="3" t="s">
        <v>52</v>
      </c>
      <c r="H386" s="2" t="s">
        <v>72</v>
      </c>
      <c r="I386" s="2" t="s">
        <v>1148</v>
      </c>
      <c r="J386" s="3" t="str">
        <f>HYPERLINK("https://www.boe.es/gazeta/dias/1815/11/02/pdfs/GMD-1815-137.pdf#page=11","Abrir facsímil")</f>
        <v>Abrir facsímil</v>
      </c>
      <c r="K386" s="3" t="s">
        <v>74</v>
      </c>
    </row>
    <row r="387" spans="1:11" ht="42" customHeight="1">
      <c r="A387" s="2" t="s">
        <v>1149</v>
      </c>
      <c r="B387" s="2" t="s">
        <v>1150</v>
      </c>
      <c r="C387" s="2" t="s">
        <v>31</v>
      </c>
      <c r="D387" s="2" t="s">
        <v>32</v>
      </c>
      <c r="E387" s="5">
        <v>-30879</v>
      </c>
      <c r="F387" s="3" t="s">
        <v>754</v>
      </c>
      <c r="G387" s="3" t="s">
        <v>71</v>
      </c>
      <c r="H387" s="2" t="s">
        <v>72</v>
      </c>
      <c r="I387" s="2" t="s">
        <v>1151</v>
      </c>
      <c r="J387" s="3" t="str">
        <f>HYPERLINK("https://www.boe.es/gazeta/dias/1815/06/15/pdfs/GMD-1815-72.pdf#page=7","Abrir facsímil")</f>
        <v>Abrir facsímil</v>
      </c>
      <c r="K387" s="3" t="s">
        <v>74</v>
      </c>
    </row>
    <row r="388" spans="1:11" ht="42" customHeight="1">
      <c r="A388" s="2" t="s">
        <v>1152</v>
      </c>
      <c r="B388" s="2" t="s">
        <v>1153</v>
      </c>
      <c r="C388" s="2" t="s">
        <v>49</v>
      </c>
      <c r="D388" s="2" t="s">
        <v>50</v>
      </c>
      <c r="E388" s="5">
        <v>-30692</v>
      </c>
      <c r="F388" s="3" t="s">
        <v>508</v>
      </c>
      <c r="G388" s="3" t="s">
        <v>38</v>
      </c>
      <c r="H388" s="2" t="s">
        <v>72</v>
      </c>
      <c r="I388" s="2" t="s">
        <v>1154</v>
      </c>
      <c r="J388" s="3" t="str">
        <f>HYPERLINK("https://www.boe.es/gazeta/dias/1815/12/19/pdfs/GMD-1815-157.pdf#page=8","Abrir facsímil")</f>
        <v>Abrir facsímil</v>
      </c>
      <c r="K388" s="3" t="s">
        <v>74</v>
      </c>
    </row>
    <row r="389" spans="1:11" ht="42" customHeight="1">
      <c r="A389" s="2" t="s">
        <v>1155</v>
      </c>
      <c r="B389" s="2" t="s">
        <v>1156</v>
      </c>
      <c r="C389" s="2" t="s">
        <v>31</v>
      </c>
      <c r="D389" s="2" t="s">
        <v>32</v>
      </c>
      <c r="E389" s="5">
        <v>-30942</v>
      </c>
      <c r="F389" s="3" t="s">
        <v>730</v>
      </c>
      <c r="G389" s="3" t="s">
        <v>862</v>
      </c>
      <c r="H389" s="2" t="s">
        <v>72</v>
      </c>
      <c r="I389" s="2" t="s">
        <v>1157</v>
      </c>
      <c r="J389" s="3" t="str">
        <f>HYPERLINK("https://www.boe.es/gazeta/dias/1815/04/13/pdfs/GMD-1815-45.pdf#page=6","Abrir facsímil")</f>
        <v>Abrir facsímil</v>
      </c>
      <c r="K389" s="3" t="s">
        <v>74</v>
      </c>
    </row>
    <row r="390" spans="1:11" ht="42" customHeight="1">
      <c r="A390" s="2" t="s">
        <v>1155</v>
      </c>
      <c r="B390" s="2" t="s">
        <v>1156</v>
      </c>
      <c r="C390" s="2" t="s">
        <v>31</v>
      </c>
      <c r="D390" s="2" t="s">
        <v>32</v>
      </c>
      <c r="E390" s="5">
        <v>-30905</v>
      </c>
      <c r="F390" s="3" t="s">
        <v>901</v>
      </c>
      <c r="G390" s="3" t="s">
        <v>902</v>
      </c>
      <c r="H390" s="2" t="s">
        <v>72</v>
      </c>
      <c r="I390" s="2" t="s">
        <v>1158</v>
      </c>
      <c r="J390" s="3" t="str">
        <f>HYPERLINK("https://www.boe.es/gazeta/dias/1815/05/20/pdfs/GMD-1815-61.pdf#page=8","Abrir facsímil")</f>
        <v>Abrir facsímil</v>
      </c>
      <c r="K390" s="3" t="s">
        <v>74</v>
      </c>
    </row>
    <row r="391" spans="1:11" ht="42" customHeight="1">
      <c r="A391" s="2" t="s">
        <v>1159</v>
      </c>
      <c r="B391" s="2" t="s">
        <v>1160</v>
      </c>
      <c r="C391" s="2" t="s">
        <v>31</v>
      </c>
      <c r="D391" s="2" t="s">
        <v>32</v>
      </c>
      <c r="E391" s="5">
        <v>-30818</v>
      </c>
      <c r="F391" s="3" t="s">
        <v>334</v>
      </c>
      <c r="G391" s="3" t="s">
        <v>38</v>
      </c>
      <c r="H391" s="2" t="s">
        <v>72</v>
      </c>
      <c r="I391" s="2" t="s">
        <v>1161</v>
      </c>
      <c r="J391" s="3" t="str">
        <f>HYPERLINK("https://www.boe.es/gazeta/dias/1815/08/15/pdfs/GMD-1815-100.pdf#page=8","Abrir facsímil")</f>
        <v>Abrir facsímil</v>
      </c>
      <c r="K391" s="3" t="s">
        <v>74</v>
      </c>
    </row>
    <row r="392" spans="1:11" ht="42" customHeight="1">
      <c r="A392" s="2" t="s">
        <v>1162</v>
      </c>
      <c r="B392" s="2" t="s">
        <v>1163</v>
      </c>
      <c r="C392" s="2" t="s">
        <v>31</v>
      </c>
      <c r="D392" s="2" t="s">
        <v>32</v>
      </c>
      <c r="E392" s="5">
        <v>-30818</v>
      </c>
      <c r="F392" s="3" t="s">
        <v>334</v>
      </c>
      <c r="G392" s="3" t="s">
        <v>38</v>
      </c>
      <c r="H392" s="2" t="s">
        <v>72</v>
      </c>
      <c r="I392" s="2" t="s">
        <v>1164</v>
      </c>
      <c r="J392" s="3" t="str">
        <f>HYPERLINK("https://www.boe.es/gazeta/dias/1815/08/15/pdfs/GMD-1815-100.pdf#page=8","Abrir facsímil")</f>
        <v>Abrir facsímil</v>
      </c>
      <c r="K392" s="3" t="s">
        <v>74</v>
      </c>
    </row>
    <row r="393" spans="1:11" ht="42" customHeight="1">
      <c r="A393" s="2" t="s">
        <v>1165</v>
      </c>
      <c r="B393" s="2" t="s">
        <v>1166</v>
      </c>
      <c r="C393" s="2" t="s">
        <v>49</v>
      </c>
      <c r="D393" s="2" t="s">
        <v>50</v>
      </c>
      <c r="E393" s="5">
        <v>-30870</v>
      </c>
      <c r="F393" s="3" t="s">
        <v>122</v>
      </c>
      <c r="G393" s="3" t="s">
        <v>88</v>
      </c>
      <c r="H393" s="2" t="s">
        <v>72</v>
      </c>
      <c r="I393" s="2" t="s">
        <v>1167</v>
      </c>
      <c r="J393" s="3" t="str">
        <f>HYPERLINK("https://www.boe.es/gazeta/dias/1815/06/24/pdfs/GMD-1815-76.pdf#page=10","Abrir facsímil")</f>
        <v>Abrir facsímil</v>
      </c>
      <c r="K393" s="3" t="s">
        <v>74</v>
      </c>
    </row>
    <row r="394" spans="1:11" ht="42" customHeight="1">
      <c r="A394" s="2" t="s">
        <v>1168</v>
      </c>
      <c r="B394" s="2" t="s">
        <v>1169</v>
      </c>
      <c r="C394" s="2" t="s">
        <v>49</v>
      </c>
      <c r="D394" s="2" t="s">
        <v>50</v>
      </c>
      <c r="E394" s="5">
        <v>-30865</v>
      </c>
      <c r="F394" s="3" t="s">
        <v>163</v>
      </c>
      <c r="G394" s="3" t="s">
        <v>71</v>
      </c>
      <c r="H394" s="2" t="s">
        <v>72</v>
      </c>
      <c r="I394" s="2" t="s">
        <v>1170</v>
      </c>
      <c r="J394" s="3" t="str">
        <f>HYPERLINK("https://www.boe.es/gazeta/dias/1815/06/29/pdfs/GMD-1815-78.pdf#page=7","Abrir facsímil")</f>
        <v>Abrir facsímil</v>
      </c>
      <c r="K394" s="3" t="s">
        <v>74</v>
      </c>
    </row>
    <row r="395" spans="1:11" ht="42" customHeight="1">
      <c r="A395" s="2" t="s">
        <v>1171</v>
      </c>
      <c r="B395" s="2" t="s">
        <v>1172</v>
      </c>
      <c r="C395" s="2" t="s">
        <v>195</v>
      </c>
      <c r="D395" s="2" t="s">
        <v>50</v>
      </c>
      <c r="E395" s="5">
        <v>-30874</v>
      </c>
      <c r="F395" s="3" t="s">
        <v>208</v>
      </c>
      <c r="G395" s="3" t="s">
        <v>71</v>
      </c>
      <c r="H395" s="2" t="s">
        <v>72</v>
      </c>
      <c r="I395" s="2" t="s">
        <v>1173</v>
      </c>
      <c r="J395" s="3" t="str">
        <f>HYPERLINK("https://www.boe.es/gazeta/dias/1815/06/20/pdfs/GMD-1815-74.pdf#page=7","Abrir facsímil")</f>
        <v>Abrir facsímil</v>
      </c>
      <c r="K395" s="3" t="s">
        <v>74</v>
      </c>
    </row>
    <row r="396" spans="1:11" ht="42" customHeight="1">
      <c r="A396" s="2" t="s">
        <v>1174</v>
      </c>
      <c r="B396" s="2" t="s">
        <v>1175</v>
      </c>
      <c r="C396" s="2" t="s">
        <v>31</v>
      </c>
      <c r="D396" s="2" t="s">
        <v>32</v>
      </c>
      <c r="E396" s="5">
        <v>-30961</v>
      </c>
      <c r="F396" s="3" t="s">
        <v>1176</v>
      </c>
      <c r="G396" s="3" t="s">
        <v>1177</v>
      </c>
      <c r="H396" s="2" t="s">
        <v>72</v>
      </c>
      <c r="I396" s="2" t="s">
        <v>1178</v>
      </c>
      <c r="J396" s="3" t="str">
        <f>HYPERLINK("https://www.boe.es/gazeta/dias/1815/03/25/pdfs/GMD-1815-36.pdf#page=7","Abrir facsímil")</f>
        <v>Abrir facsímil</v>
      </c>
      <c r="K396" s="3" t="s">
        <v>74</v>
      </c>
    </row>
    <row r="397" spans="1:11" ht="42" customHeight="1">
      <c r="A397" s="2" t="s">
        <v>1179</v>
      </c>
      <c r="B397" s="2" t="s">
        <v>1180</v>
      </c>
      <c r="C397" s="2" t="s">
        <v>61</v>
      </c>
      <c r="D397" s="2" t="s">
        <v>50</v>
      </c>
      <c r="E397" s="5">
        <v>-30800</v>
      </c>
      <c r="F397" s="3" t="s">
        <v>26</v>
      </c>
      <c r="G397" s="3" t="s">
        <v>38</v>
      </c>
      <c r="H397" s="2" t="s">
        <v>72</v>
      </c>
      <c r="I397" s="2" t="s">
        <v>1181</v>
      </c>
      <c r="J397" s="3" t="str">
        <f>HYPERLINK("https://www.boe.es/gazeta/dias/1815/09/02/pdfs/GMD-1815-109.pdf#page=8","Abrir facsímil")</f>
        <v>Abrir facsímil</v>
      </c>
      <c r="K397" s="3" t="s">
        <v>74</v>
      </c>
    </row>
    <row r="398" spans="1:11" ht="42" customHeight="1">
      <c r="A398" s="2" t="s">
        <v>1182</v>
      </c>
      <c r="B398" s="2" t="s">
        <v>1183</v>
      </c>
      <c r="C398" s="2" t="s">
        <v>49</v>
      </c>
      <c r="D398" s="2" t="s">
        <v>50</v>
      </c>
      <c r="E398" s="5">
        <v>-30790</v>
      </c>
      <c r="F398" s="3" t="s">
        <v>285</v>
      </c>
      <c r="G398" s="3" t="s">
        <v>20</v>
      </c>
      <c r="H398" s="2" t="s">
        <v>72</v>
      </c>
      <c r="I398" s="2" t="s">
        <v>1184</v>
      </c>
      <c r="J398" s="3" t="str">
        <f>HYPERLINK("https://www.boe.es/gazeta/dias/1815/09/12/pdfs/GMD-1815-113.pdf#page=4","Abrir facsímil")</f>
        <v>Abrir facsímil</v>
      </c>
      <c r="K398" s="3" t="s">
        <v>74</v>
      </c>
    </row>
    <row r="399" spans="1:11" ht="42" customHeight="1">
      <c r="A399" s="2" t="s">
        <v>1182</v>
      </c>
      <c r="B399" s="2" t="s">
        <v>1183</v>
      </c>
      <c r="C399" s="2" t="s">
        <v>49</v>
      </c>
      <c r="D399" s="2" t="s">
        <v>50</v>
      </c>
      <c r="E399" s="5">
        <v>-30790</v>
      </c>
      <c r="F399" s="3" t="s">
        <v>285</v>
      </c>
      <c r="G399" s="3" t="s">
        <v>57</v>
      </c>
      <c r="H399" s="2" t="s">
        <v>72</v>
      </c>
      <c r="I399" s="2" t="s">
        <v>1185</v>
      </c>
      <c r="J399" s="3" t="str">
        <f>HYPERLINK("https://www.boe.es/gazeta/dias/1815/09/12/pdfs/GMD-1815-113.pdf#page=5","Abrir facsímil")</f>
        <v>Abrir facsímil</v>
      </c>
      <c r="K399" s="3" t="s">
        <v>74</v>
      </c>
    </row>
    <row r="400" spans="1:11" ht="42" customHeight="1">
      <c r="A400" s="2" t="s">
        <v>1186</v>
      </c>
      <c r="B400" s="2" t="s">
        <v>1187</v>
      </c>
      <c r="C400" s="2" t="s">
        <v>31</v>
      </c>
      <c r="D400" s="2" t="s">
        <v>32</v>
      </c>
      <c r="E400" s="5">
        <v>-30786</v>
      </c>
      <c r="F400" s="3" t="s">
        <v>558</v>
      </c>
      <c r="G400" s="3" t="s">
        <v>38</v>
      </c>
      <c r="H400" s="2" t="s">
        <v>72</v>
      </c>
      <c r="I400" s="2" t="s">
        <v>1188</v>
      </c>
      <c r="J400" s="3" t="str">
        <f>HYPERLINK("https://www.boe.es/gazeta/dias/1815/09/16/pdfs/GMD-1815-115.pdf#page=8","Abrir facsímil")</f>
        <v>Abrir facsímil</v>
      </c>
      <c r="K400" s="3" t="s">
        <v>74</v>
      </c>
    </row>
    <row r="401" spans="1:11" ht="42" customHeight="1">
      <c r="A401" s="2" t="s">
        <v>1189</v>
      </c>
      <c r="B401" s="2" t="s">
        <v>1190</v>
      </c>
      <c r="C401" s="2" t="s">
        <v>17</v>
      </c>
      <c r="D401" s="2" t="s">
        <v>18</v>
      </c>
      <c r="E401" s="5">
        <v>-31010</v>
      </c>
      <c r="F401" s="3" t="s">
        <v>1098</v>
      </c>
      <c r="G401" s="3" t="s">
        <v>1099</v>
      </c>
      <c r="H401" s="2" t="s">
        <v>72</v>
      </c>
      <c r="I401" s="2" t="s">
        <v>1191</v>
      </c>
      <c r="J401" s="3" t="str">
        <f>HYPERLINK("https://www.boe.es/gazeta/dias/1815/02/04/pdfs/GMD-1815-15.pdf#page=6","Abrir facsímil")</f>
        <v>Abrir facsímil</v>
      </c>
      <c r="K401" s="3" t="s">
        <v>74</v>
      </c>
    </row>
    <row r="402" spans="1:11" ht="42" customHeight="1">
      <c r="A402" s="2" t="s">
        <v>1192</v>
      </c>
      <c r="B402" s="2" t="s">
        <v>1193</v>
      </c>
      <c r="C402" s="2" t="s">
        <v>61</v>
      </c>
      <c r="D402" s="2" t="s">
        <v>50</v>
      </c>
      <c r="E402" s="5">
        <v>-30975</v>
      </c>
      <c r="F402" s="3" t="s">
        <v>1194</v>
      </c>
      <c r="G402" s="3" t="s">
        <v>38</v>
      </c>
      <c r="H402" s="2" t="s">
        <v>72</v>
      </c>
      <c r="I402" s="2" t="s">
        <v>1195</v>
      </c>
      <c r="J402" s="3" t="str">
        <f>HYPERLINK("https://www.boe.es/gazeta/dias/1815/03/11/pdfs/GMD-1815-30.pdf#page=8","Abrir facsímil")</f>
        <v>Abrir facsímil</v>
      </c>
      <c r="K402" s="3" t="s">
        <v>74</v>
      </c>
    </row>
    <row r="403" spans="1:11" ht="42" customHeight="1">
      <c r="A403" s="2" t="s">
        <v>1192</v>
      </c>
      <c r="B403" s="2" t="s">
        <v>1193</v>
      </c>
      <c r="C403" s="2" t="s">
        <v>195</v>
      </c>
      <c r="D403" s="2" t="s">
        <v>50</v>
      </c>
      <c r="E403" s="5">
        <v>-30723</v>
      </c>
      <c r="F403" s="3" t="s">
        <v>77</v>
      </c>
      <c r="G403" s="3" t="s">
        <v>38</v>
      </c>
      <c r="H403" s="2" t="s">
        <v>72</v>
      </c>
      <c r="I403" s="2" t="s">
        <v>1196</v>
      </c>
      <c r="J403" s="3" t="str">
        <f>HYPERLINK("https://www.boe.es/gazeta/dias/1815/11/18/pdfs/GMD-1815-144.pdf#page=8","Abrir facsímil")</f>
        <v>Abrir facsímil</v>
      </c>
      <c r="K403" s="3" t="s">
        <v>74</v>
      </c>
    </row>
    <row r="404" spans="1:11" ht="42" customHeight="1">
      <c r="A404" s="2" t="s">
        <v>1197</v>
      </c>
      <c r="B404" s="2" t="s">
        <v>1198</v>
      </c>
      <c r="C404" s="2" t="s">
        <v>17</v>
      </c>
      <c r="D404" s="2" t="s">
        <v>18</v>
      </c>
      <c r="E404" s="5">
        <v>-30716</v>
      </c>
      <c r="F404" s="3" t="s">
        <v>589</v>
      </c>
      <c r="G404" s="3" t="s">
        <v>71</v>
      </c>
      <c r="H404" s="2" t="s">
        <v>72</v>
      </c>
      <c r="I404" s="2" t="s">
        <v>1199</v>
      </c>
      <c r="J404" s="3" t="str">
        <f>HYPERLINK("https://www.boe.es/gazeta/dias/1815/11/25/pdfs/GMD-1815-147.pdf#page=7","Abrir facsímil")</f>
        <v>Abrir facsímil</v>
      </c>
      <c r="K404" s="3" t="s">
        <v>74</v>
      </c>
    </row>
    <row r="405" spans="1:11" ht="42" customHeight="1">
      <c r="A405" s="2" t="s">
        <v>1200</v>
      </c>
      <c r="B405" s="2" t="s">
        <v>1201</v>
      </c>
      <c r="C405" s="2" t="s">
        <v>17</v>
      </c>
      <c r="D405" s="2" t="s">
        <v>18</v>
      </c>
      <c r="E405" s="5">
        <v>-30898</v>
      </c>
      <c r="F405" s="3" t="s">
        <v>212</v>
      </c>
      <c r="G405" s="3" t="s">
        <v>57</v>
      </c>
      <c r="H405" s="2" t="s">
        <v>72</v>
      </c>
      <c r="I405" s="2" t="s">
        <v>1202</v>
      </c>
      <c r="J405" s="3" t="str">
        <f>HYPERLINK("https://www.boe.es/gazeta/dias/1815/05/27/pdfs/GMD-1815-64.pdf#page=5","Abrir facsímil")</f>
        <v>Abrir facsímil</v>
      </c>
      <c r="K405" s="3" t="s">
        <v>74</v>
      </c>
    </row>
    <row r="406" spans="1:11" ht="42" customHeight="1">
      <c r="A406" s="2" t="s">
        <v>1203</v>
      </c>
      <c r="B406" s="2" t="s">
        <v>1204</v>
      </c>
      <c r="C406" s="2" t="s">
        <v>31</v>
      </c>
      <c r="D406" s="2" t="s">
        <v>32</v>
      </c>
      <c r="E406" s="5">
        <v>-30699</v>
      </c>
      <c r="F406" s="3" t="s">
        <v>810</v>
      </c>
      <c r="G406" s="3" t="s">
        <v>57</v>
      </c>
      <c r="H406" s="2" t="s">
        <v>21</v>
      </c>
      <c r="I406" s="2" t="s">
        <v>1205</v>
      </c>
      <c r="J406" s="3" t="str">
        <f>HYPERLINK("https://www.boe.es/gazeta/dias/1815/12/12/pdfs/GMD-1815-154.pdf#page=5","Abrir facsímil")</f>
        <v>Abrir facsímil</v>
      </c>
      <c r="K406" s="3" t="s">
        <v>23</v>
      </c>
    </row>
    <row r="407" spans="1:11" ht="42" customHeight="1">
      <c r="A407" s="2" t="s">
        <v>1206</v>
      </c>
      <c r="B407" s="2" t="s">
        <v>1207</v>
      </c>
      <c r="C407" s="2" t="s">
        <v>31</v>
      </c>
      <c r="D407" s="2" t="s">
        <v>32</v>
      </c>
      <c r="E407" s="5">
        <v>-30699</v>
      </c>
      <c r="F407" s="3" t="s">
        <v>810</v>
      </c>
      <c r="G407" s="3" t="s">
        <v>71</v>
      </c>
      <c r="H407" s="2" t="s">
        <v>21</v>
      </c>
      <c r="I407" s="2" t="s">
        <v>1208</v>
      </c>
      <c r="J407" s="3" t="str">
        <f>HYPERLINK("https://www.boe.es/gazeta/dias/1815/12/12/pdfs/GMD-1815-154.pdf#page=7","Abrir facsímil")</f>
        <v>Abrir facsímil</v>
      </c>
      <c r="K407" s="3" t="s">
        <v>23</v>
      </c>
    </row>
    <row r="408" spans="1:11" ht="42" customHeight="1">
      <c r="A408" s="2" t="s">
        <v>1209</v>
      </c>
      <c r="B408" s="2" t="s">
        <v>1210</v>
      </c>
      <c r="C408" s="2" t="s">
        <v>49</v>
      </c>
      <c r="D408" s="2" t="s">
        <v>50</v>
      </c>
      <c r="E408" s="5">
        <v>-30832</v>
      </c>
      <c r="F408" s="3" t="s">
        <v>266</v>
      </c>
      <c r="G408" s="3" t="s">
        <v>88</v>
      </c>
      <c r="H408" s="2" t="s">
        <v>72</v>
      </c>
      <c r="I408" s="2" t="s">
        <v>1211</v>
      </c>
      <c r="J408" s="3" t="str">
        <f>HYPERLINK("https://www.boe.es/gazeta/dias/1815/08/01/pdfs/GMD-1815-94.pdf#page=10","Abrir facsímil")</f>
        <v>Abrir facsímil</v>
      </c>
      <c r="K408" s="3" t="s">
        <v>74</v>
      </c>
    </row>
    <row r="409" spans="1:11" ht="42" customHeight="1">
      <c r="A409" s="2" t="s">
        <v>1212</v>
      </c>
      <c r="B409" s="2" t="s">
        <v>1213</v>
      </c>
      <c r="C409" s="2" t="s">
        <v>17</v>
      </c>
      <c r="D409" s="2" t="s">
        <v>18</v>
      </c>
      <c r="E409" s="5">
        <v>-30739</v>
      </c>
      <c r="F409" s="3" t="s">
        <v>254</v>
      </c>
      <c r="G409" s="3" t="s">
        <v>88</v>
      </c>
      <c r="H409" s="2" t="s">
        <v>72</v>
      </c>
      <c r="I409" s="2" t="s">
        <v>1214</v>
      </c>
      <c r="J409" s="3" t="str">
        <f>HYPERLINK("https://www.boe.es/gazeta/dias/1815/11/02/pdfs/GMD-1815-137.pdf#page=10","Abrir facsímil")</f>
        <v>Abrir facsímil</v>
      </c>
      <c r="K409" s="3" t="s">
        <v>74</v>
      </c>
    </row>
    <row r="410" spans="1:11" ht="42" customHeight="1">
      <c r="A410" s="2" t="s">
        <v>1215</v>
      </c>
      <c r="B410" s="2" t="s">
        <v>1216</v>
      </c>
      <c r="C410" s="2" t="s">
        <v>49</v>
      </c>
      <c r="D410" s="2" t="s">
        <v>50</v>
      </c>
      <c r="E410" s="5">
        <v>-30860</v>
      </c>
      <c r="F410" s="3" t="s">
        <v>184</v>
      </c>
      <c r="G410" s="3" t="s">
        <v>20</v>
      </c>
      <c r="H410" s="2" t="s">
        <v>72</v>
      </c>
      <c r="I410" s="2" t="s">
        <v>1217</v>
      </c>
      <c r="J410" s="3" t="str">
        <f>HYPERLINK("https://www.boe.es/gazeta/dias/1815/07/04/pdfs/GMD-1815-81.pdf#page=4","Abrir facsímil")</f>
        <v>Abrir facsímil</v>
      </c>
      <c r="K410" s="3" t="s">
        <v>74</v>
      </c>
    </row>
    <row r="411" spans="1:11" ht="42" customHeight="1">
      <c r="A411" s="2" t="s">
        <v>1218</v>
      </c>
      <c r="B411" s="2" t="s">
        <v>1219</v>
      </c>
      <c r="C411" s="2" t="s">
        <v>31</v>
      </c>
      <c r="D411" s="2" t="s">
        <v>32</v>
      </c>
      <c r="E411" s="5">
        <v>-30767</v>
      </c>
      <c r="F411" s="3" t="s">
        <v>228</v>
      </c>
      <c r="G411" s="3" t="s">
        <v>224</v>
      </c>
      <c r="H411" s="2" t="s">
        <v>72</v>
      </c>
      <c r="I411" s="2" t="s">
        <v>1220</v>
      </c>
      <c r="J411" s="3" t="str">
        <f>HYPERLINK("https://www.boe.es/gazeta/dias/1815/10/05/pdfs/GMD-1815-125.pdf#page=9","Abrir facsímil")</f>
        <v>Abrir facsímil</v>
      </c>
      <c r="K411" s="3" t="s">
        <v>74</v>
      </c>
    </row>
    <row r="412" spans="1:11" ht="42" customHeight="1">
      <c r="A412" s="2" t="s">
        <v>1221</v>
      </c>
      <c r="B412" s="2" t="s">
        <v>1222</v>
      </c>
      <c r="C412" s="2" t="s">
        <v>17</v>
      </c>
      <c r="D412" s="2" t="s">
        <v>18</v>
      </c>
      <c r="E412" s="5">
        <v>-30865</v>
      </c>
      <c r="F412" s="3" t="s">
        <v>163</v>
      </c>
      <c r="G412" s="3" t="s">
        <v>71</v>
      </c>
      <c r="H412" s="2" t="s">
        <v>72</v>
      </c>
      <c r="I412" s="2" t="s">
        <v>1223</v>
      </c>
      <c r="J412" s="3" t="str">
        <f>HYPERLINK("https://www.boe.es/gazeta/dias/1815/06/29/pdfs/GMD-1815-78.pdf#page=7","Abrir facsímil")</f>
        <v>Abrir facsímil</v>
      </c>
      <c r="K412" s="3" t="s">
        <v>74</v>
      </c>
    </row>
    <row r="413" spans="1:11" ht="42" customHeight="1">
      <c r="A413" s="2" t="s">
        <v>1224</v>
      </c>
      <c r="B413" s="2" t="s">
        <v>1225</v>
      </c>
      <c r="C413" s="2" t="s">
        <v>17</v>
      </c>
      <c r="D413" s="2" t="s">
        <v>18</v>
      </c>
      <c r="E413" s="5">
        <v>-30804</v>
      </c>
      <c r="F413" s="3" t="s">
        <v>891</v>
      </c>
      <c r="G413" s="3" t="s">
        <v>20</v>
      </c>
      <c r="H413" s="2" t="s">
        <v>72</v>
      </c>
      <c r="I413" s="2" t="s">
        <v>1226</v>
      </c>
      <c r="J413" s="3" t="str">
        <f>HYPERLINK("https://www.boe.es/gazeta/dias/1815/08/29/pdfs/GMD-1815-106.pdf#page=4","Abrir facsímil")</f>
        <v>Abrir facsímil</v>
      </c>
      <c r="K413" s="3" t="s">
        <v>74</v>
      </c>
    </row>
    <row r="414" spans="1:11" ht="42" customHeight="1">
      <c r="A414" s="2" t="s">
        <v>1227</v>
      </c>
      <c r="B414" s="2" t="s">
        <v>1228</v>
      </c>
      <c r="C414" s="2" t="s">
        <v>49</v>
      </c>
      <c r="D414" s="2" t="s">
        <v>50</v>
      </c>
      <c r="E414" s="5">
        <v>-30921</v>
      </c>
      <c r="F414" s="3" t="s">
        <v>191</v>
      </c>
      <c r="G414" s="3" t="s">
        <v>71</v>
      </c>
      <c r="H414" s="2" t="s">
        <v>72</v>
      </c>
      <c r="I414" s="2" t="s">
        <v>1229</v>
      </c>
      <c r="J414" s="3" t="str">
        <f>HYPERLINK("https://www.boe.es/gazeta/dias/1815/05/04/pdfs/GMD-1815-54.pdf#page=7","Abrir facsímil")</f>
        <v>Abrir facsímil</v>
      </c>
      <c r="K414" s="3" t="s">
        <v>74</v>
      </c>
    </row>
    <row r="415" spans="1:11" ht="42" customHeight="1">
      <c r="A415" s="2" t="s">
        <v>1230</v>
      </c>
      <c r="B415" s="2" t="s">
        <v>1231</v>
      </c>
      <c r="C415" s="2" t="s">
        <v>17</v>
      </c>
      <c r="D415" s="2" t="s">
        <v>18</v>
      </c>
      <c r="E415" s="5">
        <v>-30874</v>
      </c>
      <c r="F415" s="3" t="s">
        <v>208</v>
      </c>
      <c r="G415" s="3" t="s">
        <v>276</v>
      </c>
      <c r="H415" s="2" t="s">
        <v>72</v>
      </c>
      <c r="I415" s="2" t="s">
        <v>1232</v>
      </c>
      <c r="J415" s="3" t="str">
        <f>HYPERLINK("https://www.boe.es/gazeta/dias/1815/06/20/pdfs/GMD-1815-74.pdf#page=12","Abrir facsímil")</f>
        <v>Abrir facsímil</v>
      </c>
      <c r="K415" s="3" t="s">
        <v>74</v>
      </c>
    </row>
    <row r="416" spans="1:11" ht="42" customHeight="1">
      <c r="A416" s="2" t="s">
        <v>1233</v>
      </c>
      <c r="B416" s="2" t="s">
        <v>1234</v>
      </c>
      <c r="C416" s="2" t="s">
        <v>49</v>
      </c>
      <c r="D416" s="2" t="s">
        <v>50</v>
      </c>
      <c r="E416" s="5">
        <v>-30863</v>
      </c>
      <c r="F416" s="3" t="s">
        <v>110</v>
      </c>
      <c r="G416" s="3" t="s">
        <v>224</v>
      </c>
      <c r="H416" s="2" t="s">
        <v>72</v>
      </c>
      <c r="I416" s="2" t="s">
        <v>1235</v>
      </c>
      <c r="J416" s="3" t="str">
        <f>HYPERLINK("https://www.boe.es/gazeta/dias/1815/07/01/pdfs/GMD-1815-79.pdf#page=9","Abrir facsímil")</f>
        <v>Abrir facsímil</v>
      </c>
      <c r="K416" s="3" t="s">
        <v>74</v>
      </c>
    </row>
    <row r="417" spans="1:11" ht="42" customHeight="1">
      <c r="A417" s="2" t="s">
        <v>1236</v>
      </c>
      <c r="B417" s="2" t="s">
        <v>1237</v>
      </c>
      <c r="C417" s="2" t="s">
        <v>17</v>
      </c>
      <c r="D417" s="2" t="s">
        <v>18</v>
      </c>
      <c r="E417" s="5">
        <v>-30835</v>
      </c>
      <c r="F417" s="3" t="s">
        <v>544</v>
      </c>
      <c r="G417" s="3" t="s">
        <v>27</v>
      </c>
      <c r="H417" s="2" t="s">
        <v>72</v>
      </c>
      <c r="I417" s="2" t="s">
        <v>1238</v>
      </c>
      <c r="J417" s="3" t="str">
        <f>HYPERLINK("https://www.boe.es/gazeta/dias/1815/07/29/pdfs/GMD-1815-93.pdf#page=6","Abrir facsímil")</f>
        <v>Abrir facsímil</v>
      </c>
      <c r="K417" s="3" t="s">
        <v>74</v>
      </c>
    </row>
    <row r="418" spans="1:11" ht="42" customHeight="1">
      <c r="A418" s="2" t="s">
        <v>1239</v>
      </c>
      <c r="B418" s="2" t="s">
        <v>1240</v>
      </c>
      <c r="C418" s="2" t="s">
        <v>31</v>
      </c>
      <c r="D418" s="2" t="s">
        <v>32</v>
      </c>
      <c r="E418" s="5">
        <v>-30916</v>
      </c>
      <c r="F418" s="3" t="s">
        <v>147</v>
      </c>
      <c r="G418" s="3" t="s">
        <v>38</v>
      </c>
      <c r="H418" s="2" t="s">
        <v>72</v>
      </c>
      <c r="I418" s="2" t="s">
        <v>1241</v>
      </c>
      <c r="J418" s="3" t="str">
        <f>HYPERLINK("https://www.boe.es/gazeta/dias/1815/05/09/pdfs/GMD-1815-56.pdf#page=8","Abrir facsímil")</f>
        <v>Abrir facsímil</v>
      </c>
      <c r="K418" s="3" t="s">
        <v>74</v>
      </c>
    </row>
    <row r="419" spans="1:11" ht="42" customHeight="1">
      <c r="A419" s="2" t="s">
        <v>1242</v>
      </c>
      <c r="B419" s="2" t="s">
        <v>1243</v>
      </c>
      <c r="C419" s="2" t="s">
        <v>49</v>
      </c>
      <c r="D419" s="2" t="s">
        <v>50</v>
      </c>
      <c r="E419" s="5">
        <v>-30818</v>
      </c>
      <c r="F419" s="3" t="s">
        <v>334</v>
      </c>
      <c r="G419" s="3" t="s">
        <v>224</v>
      </c>
      <c r="H419" s="2" t="s">
        <v>72</v>
      </c>
      <c r="I419" s="2" t="s">
        <v>1244</v>
      </c>
      <c r="J419" s="3" t="str">
        <f>HYPERLINK("https://www.boe.es/gazeta/dias/1815/08/15/pdfs/GMD-1815-100.pdf#page=9","Abrir facsímil")</f>
        <v>Abrir facsímil</v>
      </c>
      <c r="K419" s="3" t="s">
        <v>74</v>
      </c>
    </row>
    <row r="420" spans="1:11" ht="42" customHeight="1">
      <c r="A420" s="2" t="s">
        <v>1245</v>
      </c>
      <c r="B420" s="2" t="s">
        <v>1246</v>
      </c>
      <c r="C420" s="2" t="s">
        <v>49</v>
      </c>
      <c r="D420" s="2" t="s">
        <v>50</v>
      </c>
      <c r="E420" s="5">
        <v>-30870</v>
      </c>
      <c r="F420" s="3" t="s">
        <v>122</v>
      </c>
      <c r="G420" s="3" t="s">
        <v>88</v>
      </c>
      <c r="H420" s="2" t="s">
        <v>72</v>
      </c>
      <c r="I420" s="2" t="s">
        <v>1247</v>
      </c>
      <c r="J420" s="3" t="str">
        <f>HYPERLINK("https://www.boe.es/gazeta/dias/1815/06/24/pdfs/GMD-1815-76.pdf#page=10","Abrir facsímil")</f>
        <v>Abrir facsímil</v>
      </c>
      <c r="K420" s="3" t="s">
        <v>74</v>
      </c>
    </row>
    <row r="421" spans="1:11" ht="42" customHeight="1">
      <c r="A421" s="2" t="s">
        <v>1248</v>
      </c>
      <c r="B421" s="2" t="s">
        <v>1249</v>
      </c>
      <c r="C421" s="2" t="s">
        <v>31</v>
      </c>
      <c r="D421" s="2" t="s">
        <v>32</v>
      </c>
      <c r="E421" s="5">
        <v>-30849</v>
      </c>
      <c r="F421" s="3" t="s">
        <v>501</v>
      </c>
      <c r="G421" s="3" t="s">
        <v>52</v>
      </c>
      <c r="H421" s="2" t="s">
        <v>72</v>
      </c>
      <c r="I421" s="2" t="s">
        <v>1250</v>
      </c>
      <c r="J421" s="3" t="str">
        <f>HYPERLINK("https://www.boe.es/gazeta/dias/1815/07/15/pdfs/GMD-1815-87.pdf#page=11","Abrir facsímil")</f>
        <v>Abrir facsímil</v>
      </c>
      <c r="K421" s="3" t="s">
        <v>74</v>
      </c>
    </row>
    <row r="422" spans="1:11" ht="42" customHeight="1">
      <c r="A422" s="2" t="s">
        <v>1251</v>
      </c>
      <c r="B422" s="2" t="s">
        <v>1252</v>
      </c>
      <c r="C422" s="2" t="s">
        <v>61</v>
      </c>
      <c r="D422" s="2" t="s">
        <v>50</v>
      </c>
      <c r="E422" s="5">
        <v>-30816</v>
      </c>
      <c r="F422" s="3" t="s">
        <v>1253</v>
      </c>
      <c r="G422" s="3" t="s">
        <v>276</v>
      </c>
      <c r="H422" s="2" t="s">
        <v>72</v>
      </c>
      <c r="I422" s="2" t="s">
        <v>1254</v>
      </c>
      <c r="J422" s="3" t="str">
        <f>HYPERLINK("https://www.boe.es/gazeta/dias/1815/08/17/pdfs/GMD-1815-101.pdf#page=12","Abrir facsímil")</f>
        <v>Abrir facsímil</v>
      </c>
      <c r="K422" s="3" t="s">
        <v>74</v>
      </c>
    </row>
    <row r="423" spans="1:11" ht="42" customHeight="1">
      <c r="A423" s="2" t="s">
        <v>1255</v>
      </c>
      <c r="B423" s="2" t="s">
        <v>1256</v>
      </c>
      <c r="C423" s="2" t="s">
        <v>31</v>
      </c>
      <c r="D423" s="2" t="s">
        <v>32</v>
      </c>
      <c r="E423" s="5">
        <v>-30821</v>
      </c>
      <c r="F423" s="3" t="s">
        <v>915</v>
      </c>
      <c r="G423" s="3" t="s">
        <v>38</v>
      </c>
      <c r="H423" s="2" t="s">
        <v>72</v>
      </c>
      <c r="I423" s="2" t="s">
        <v>1257</v>
      </c>
      <c r="J423" s="3" t="str">
        <f>HYPERLINK("https://www.boe.es/gazeta/dias/1815/08/12/pdfs/GMD-1815-99.pdf#page=8","Abrir facsímil")</f>
        <v>Abrir facsímil</v>
      </c>
      <c r="K423" s="3" t="s">
        <v>74</v>
      </c>
    </row>
    <row r="424" spans="1:11" ht="42" customHeight="1">
      <c r="A424" s="2" t="s">
        <v>1258</v>
      </c>
      <c r="B424" s="2" t="s">
        <v>1259</v>
      </c>
      <c r="C424" s="2" t="s">
        <v>49</v>
      </c>
      <c r="D424" s="2" t="s">
        <v>50</v>
      </c>
      <c r="E424" s="5">
        <v>-30790</v>
      </c>
      <c r="F424" s="3" t="s">
        <v>285</v>
      </c>
      <c r="G424" s="3" t="s">
        <v>20</v>
      </c>
      <c r="H424" s="2" t="s">
        <v>72</v>
      </c>
      <c r="I424" s="2" t="s">
        <v>1260</v>
      </c>
      <c r="J424" s="3" t="str">
        <f>HYPERLINK("https://www.boe.es/gazeta/dias/1815/09/12/pdfs/GMD-1815-113.pdf#page=4","Abrir facsímil")</f>
        <v>Abrir facsímil</v>
      </c>
      <c r="K424" s="3" t="s">
        <v>74</v>
      </c>
    </row>
    <row r="425" spans="1:11" ht="42" customHeight="1">
      <c r="A425" s="2" t="s">
        <v>1258</v>
      </c>
      <c r="B425" s="2" t="s">
        <v>1259</v>
      </c>
      <c r="C425" s="2" t="s">
        <v>49</v>
      </c>
      <c r="D425" s="2" t="s">
        <v>50</v>
      </c>
      <c r="E425" s="5">
        <v>-30790</v>
      </c>
      <c r="F425" s="3" t="s">
        <v>285</v>
      </c>
      <c r="G425" s="3" t="s">
        <v>57</v>
      </c>
      <c r="H425" s="2" t="s">
        <v>72</v>
      </c>
      <c r="I425" s="2" t="s">
        <v>1261</v>
      </c>
      <c r="J425" s="3" t="str">
        <f>HYPERLINK("https://www.boe.es/gazeta/dias/1815/09/12/pdfs/GMD-1815-113.pdf#page=5","Abrir facsímil")</f>
        <v>Abrir facsímil</v>
      </c>
      <c r="K425" s="3" t="s">
        <v>74</v>
      </c>
    </row>
    <row r="426" spans="1:11" ht="42" customHeight="1">
      <c r="A426" s="2" t="s">
        <v>1262</v>
      </c>
      <c r="B426" s="2" t="s">
        <v>1263</v>
      </c>
      <c r="C426" s="2" t="s">
        <v>897</v>
      </c>
      <c r="D426" s="2" t="s">
        <v>50</v>
      </c>
      <c r="E426" s="5">
        <v>-30851</v>
      </c>
      <c r="F426" s="3" t="s">
        <v>442</v>
      </c>
      <c r="G426" s="3" t="s">
        <v>38</v>
      </c>
      <c r="H426" s="2" t="s">
        <v>72</v>
      </c>
      <c r="I426" s="2" t="s">
        <v>1264</v>
      </c>
      <c r="J426" s="3" t="str">
        <f>HYPERLINK("https://www.boe.es/gazeta/dias/1815/07/13/pdfs/GMD-1815-86.pdf#page=8","Abrir facsímil")</f>
        <v>Abrir facsímil</v>
      </c>
      <c r="K426" s="3" t="s">
        <v>74</v>
      </c>
    </row>
    <row r="427" spans="1:11" ht="42" customHeight="1">
      <c r="A427" s="2" t="s">
        <v>1265</v>
      </c>
      <c r="B427" s="2" t="s">
        <v>1266</v>
      </c>
      <c r="C427" s="2" t="s">
        <v>31</v>
      </c>
      <c r="D427" s="2" t="s">
        <v>32</v>
      </c>
      <c r="E427" s="5">
        <v>-30688</v>
      </c>
      <c r="F427" s="3" t="s">
        <v>62</v>
      </c>
      <c r="G427" s="3" t="s">
        <v>57</v>
      </c>
      <c r="H427" s="2" t="s">
        <v>72</v>
      </c>
      <c r="I427" s="2" t="s">
        <v>1267</v>
      </c>
      <c r="J427" s="3" t="str">
        <f>HYPERLINK("https://www.boe.es/gazeta/dias/1815/12/23/pdfs/GMD-1815-159.pdf#page=5","Abrir facsímil")</f>
        <v>Abrir facsímil</v>
      </c>
      <c r="K427" s="3" t="s">
        <v>74</v>
      </c>
    </row>
    <row r="428" spans="1:11" ht="42" customHeight="1">
      <c r="A428" s="2" t="s">
        <v>1268</v>
      </c>
      <c r="B428" s="2" t="s">
        <v>1269</v>
      </c>
      <c r="C428" s="2" t="s">
        <v>17</v>
      </c>
      <c r="D428" s="2" t="s">
        <v>18</v>
      </c>
      <c r="E428" s="5">
        <v>-30898</v>
      </c>
      <c r="F428" s="3" t="s">
        <v>212</v>
      </c>
      <c r="G428" s="3" t="s">
        <v>27</v>
      </c>
      <c r="H428" s="2" t="s">
        <v>72</v>
      </c>
      <c r="I428" s="2" t="s">
        <v>1270</v>
      </c>
      <c r="J428" s="3" t="str">
        <f>HYPERLINK("https://www.boe.es/gazeta/dias/1815/05/27/pdfs/GMD-1815-64.pdf#page=6","Abrir facsímil")</f>
        <v>Abrir facsímil</v>
      </c>
      <c r="K428" s="3" t="s">
        <v>74</v>
      </c>
    </row>
    <row r="429" spans="1:11" ht="42" customHeight="1">
      <c r="A429" s="2" t="s">
        <v>1271</v>
      </c>
      <c r="B429" s="2" t="s">
        <v>1272</v>
      </c>
      <c r="C429" s="2" t="s">
        <v>31</v>
      </c>
      <c r="D429" s="2" t="s">
        <v>32</v>
      </c>
      <c r="E429" s="5">
        <v>-30888</v>
      </c>
      <c r="F429" s="3" t="s">
        <v>368</v>
      </c>
      <c r="G429" s="3" t="s">
        <v>276</v>
      </c>
      <c r="H429" s="2" t="s">
        <v>21</v>
      </c>
      <c r="I429" s="2" t="s">
        <v>1273</v>
      </c>
      <c r="J429" s="3" t="str">
        <f>HYPERLINK("https://www.boe.es/gazeta/dias/1815/06/06/pdfs/GMD-1815-68.pdf#page=12","Abrir facsímil")</f>
        <v>Abrir facsímil</v>
      </c>
      <c r="K429" s="3" t="s">
        <v>23</v>
      </c>
    </row>
    <row r="430" spans="1:11" ht="42" customHeight="1">
      <c r="A430" s="2" t="s">
        <v>1274</v>
      </c>
      <c r="B430" s="2" t="s">
        <v>1275</v>
      </c>
      <c r="C430" s="2" t="s">
        <v>17</v>
      </c>
      <c r="D430" s="2" t="s">
        <v>18</v>
      </c>
      <c r="E430" s="5">
        <v>-30704</v>
      </c>
      <c r="F430" s="3" t="s">
        <v>1276</v>
      </c>
      <c r="G430" s="3" t="s">
        <v>27</v>
      </c>
      <c r="H430" s="2" t="s">
        <v>72</v>
      </c>
      <c r="I430" s="2" t="s">
        <v>1277</v>
      </c>
      <c r="J430" s="3" t="str">
        <f>HYPERLINK("https://www.boe.es/gazeta/dias/1815/12/07/pdfs/GMD-1815-152.pdf#page=6","Abrir facsímil")</f>
        <v>Abrir facsímil</v>
      </c>
      <c r="K430" s="3" t="s">
        <v>74</v>
      </c>
    </row>
    <row r="431" spans="1:11" ht="42" customHeight="1">
      <c r="A431" s="2" t="s">
        <v>1278</v>
      </c>
      <c r="B431" s="2" t="s">
        <v>1279</v>
      </c>
      <c r="C431" s="2" t="s">
        <v>49</v>
      </c>
      <c r="D431" s="2" t="s">
        <v>50</v>
      </c>
      <c r="E431" s="5">
        <v>-30865</v>
      </c>
      <c r="F431" s="3" t="s">
        <v>163</v>
      </c>
      <c r="G431" s="3" t="s">
        <v>71</v>
      </c>
      <c r="H431" s="2" t="s">
        <v>72</v>
      </c>
      <c r="I431" s="2" t="s">
        <v>1280</v>
      </c>
      <c r="J431" s="3" t="str">
        <f>HYPERLINK("https://www.boe.es/gazeta/dias/1815/06/29/pdfs/GMD-1815-78.pdf#page=7","Abrir facsímil")</f>
        <v>Abrir facsímil</v>
      </c>
      <c r="K431" s="3" t="s">
        <v>74</v>
      </c>
    </row>
    <row r="432" spans="1:11" ht="42" customHeight="1">
      <c r="A432" s="2" t="s">
        <v>1281</v>
      </c>
      <c r="B432" s="2" t="s">
        <v>1282</v>
      </c>
      <c r="C432" s="2" t="s">
        <v>31</v>
      </c>
      <c r="D432" s="2" t="s">
        <v>32</v>
      </c>
      <c r="E432" s="5">
        <v>-30942</v>
      </c>
      <c r="F432" s="3" t="s">
        <v>730</v>
      </c>
      <c r="G432" s="3" t="s">
        <v>38</v>
      </c>
      <c r="H432" s="2" t="s">
        <v>72</v>
      </c>
      <c r="I432" s="2" t="s">
        <v>1283</v>
      </c>
      <c r="J432" s="3" t="str">
        <f>HYPERLINK("https://www.boe.es/gazeta/dias/1815/04/13/pdfs/GMD-1815-45.pdf#page=8","Abrir facsímil")</f>
        <v>Abrir facsímil</v>
      </c>
      <c r="K432" s="3" t="s">
        <v>74</v>
      </c>
    </row>
    <row r="433" spans="1:11" ht="42" customHeight="1">
      <c r="A433" s="2" t="s">
        <v>1284</v>
      </c>
      <c r="B433" s="2" t="s">
        <v>1285</v>
      </c>
      <c r="C433" s="2" t="s">
        <v>49</v>
      </c>
      <c r="D433" s="2" t="s">
        <v>50</v>
      </c>
      <c r="E433" s="5">
        <v>-30795</v>
      </c>
      <c r="F433" s="3" t="s">
        <v>172</v>
      </c>
      <c r="G433" s="3" t="s">
        <v>276</v>
      </c>
      <c r="H433" s="2" t="s">
        <v>72</v>
      </c>
      <c r="I433" s="2" t="s">
        <v>1286</v>
      </c>
      <c r="J433" s="3" t="str">
        <f>HYPERLINK("https://www.boe.es/gazeta/dias/1815/09/07/pdfs/GMD-1815-111.pdf#page=12","Abrir facsímil")</f>
        <v>Abrir facsímil</v>
      </c>
      <c r="K433" s="3" t="s">
        <v>74</v>
      </c>
    </row>
    <row r="434" spans="1:11" ht="42" customHeight="1">
      <c r="A434" s="2" t="s">
        <v>1287</v>
      </c>
      <c r="B434" s="2" t="s">
        <v>1288</v>
      </c>
      <c r="C434" s="2" t="s">
        <v>31</v>
      </c>
      <c r="D434" s="2" t="s">
        <v>32</v>
      </c>
      <c r="E434" s="5">
        <v>-30923</v>
      </c>
      <c r="F434" s="3" t="s">
        <v>524</v>
      </c>
      <c r="G434" s="3" t="s">
        <v>1289</v>
      </c>
      <c r="H434" s="2" t="s">
        <v>72</v>
      </c>
      <c r="I434" s="2" t="s">
        <v>1290</v>
      </c>
      <c r="J434" s="3" t="str">
        <f>HYPERLINK("https://www.boe.es/gazeta/dias/1815/05/02/pdfs/GMD-1815-53.pdf#page=11","Abrir facsímil")</f>
        <v>Abrir facsímil</v>
      </c>
      <c r="K434" s="3" t="s">
        <v>74</v>
      </c>
    </row>
    <row r="435" spans="1:11" ht="42" customHeight="1">
      <c r="A435" s="2" t="s">
        <v>1291</v>
      </c>
      <c r="B435" s="2" t="s">
        <v>1292</v>
      </c>
      <c r="C435" s="2" t="s">
        <v>195</v>
      </c>
      <c r="D435" s="2" t="s">
        <v>50</v>
      </c>
      <c r="E435" s="5">
        <v>-30795</v>
      </c>
      <c r="F435" s="3" t="s">
        <v>172</v>
      </c>
      <c r="G435" s="3" t="s">
        <v>276</v>
      </c>
      <c r="H435" s="2" t="s">
        <v>72</v>
      </c>
      <c r="I435" s="2" t="s">
        <v>1293</v>
      </c>
      <c r="J435" s="3" t="str">
        <f>HYPERLINK("https://www.boe.es/gazeta/dias/1815/09/07/pdfs/GMD-1815-111.pdf#page=12","Abrir facsímil")</f>
        <v>Abrir facsímil</v>
      </c>
      <c r="K435" s="3" t="s">
        <v>74</v>
      </c>
    </row>
    <row r="436" spans="1:11" ht="42" customHeight="1">
      <c r="A436" s="2" t="s">
        <v>1294</v>
      </c>
      <c r="B436" s="2" t="s">
        <v>1295</v>
      </c>
      <c r="C436" s="2" t="s">
        <v>195</v>
      </c>
      <c r="D436" s="2" t="s">
        <v>50</v>
      </c>
      <c r="E436" s="5">
        <v>-30888</v>
      </c>
      <c r="F436" s="3" t="s">
        <v>368</v>
      </c>
      <c r="G436" s="3" t="s">
        <v>38</v>
      </c>
      <c r="H436" s="2" t="s">
        <v>72</v>
      </c>
      <c r="I436" s="2" t="s">
        <v>1296</v>
      </c>
      <c r="J436" s="3" t="str">
        <f>HYPERLINK("https://www.boe.es/gazeta/dias/1815/06/06/pdfs/GMD-1815-68.pdf#page=8","Abrir facsímil")</f>
        <v>Abrir facsímil</v>
      </c>
      <c r="K436" s="3" t="s">
        <v>74</v>
      </c>
    </row>
    <row r="437" spans="1:11" ht="42" customHeight="1">
      <c r="A437" s="2" t="s">
        <v>1297</v>
      </c>
      <c r="B437" s="2" t="s">
        <v>1298</v>
      </c>
      <c r="C437" s="2" t="s">
        <v>31</v>
      </c>
      <c r="D437" s="2" t="s">
        <v>32</v>
      </c>
      <c r="E437" s="5">
        <v>-31038</v>
      </c>
      <c r="F437" s="3" t="s">
        <v>395</v>
      </c>
      <c r="G437" s="3" t="s">
        <v>396</v>
      </c>
      <c r="H437" s="2" t="s">
        <v>72</v>
      </c>
      <c r="I437" s="2" t="s">
        <v>1299</v>
      </c>
      <c r="J437" s="3" t="str">
        <f>HYPERLINK("https://www.boe.es/gazeta/dias/1815/01/07/pdfs/GMD-1815-3.pdf#page=5","Abrir facsímil")</f>
        <v>Abrir facsímil</v>
      </c>
      <c r="K437" s="3" t="s">
        <v>74</v>
      </c>
    </row>
    <row r="438" spans="1:11" ht="42" customHeight="1">
      <c r="A438" s="2" t="s">
        <v>1300</v>
      </c>
      <c r="B438" s="2" t="s">
        <v>1300</v>
      </c>
      <c r="C438" s="2" t="s">
        <v>17</v>
      </c>
      <c r="D438" s="2" t="s">
        <v>18</v>
      </c>
      <c r="E438" s="5">
        <v>-30739</v>
      </c>
      <c r="F438" s="3" t="s">
        <v>254</v>
      </c>
      <c r="G438" s="3" t="s">
        <v>377</v>
      </c>
      <c r="H438" s="2" t="s">
        <v>72</v>
      </c>
      <c r="I438" s="2" t="s">
        <v>1301</v>
      </c>
      <c r="J438" s="3" t="str">
        <f>HYPERLINK("https://www.boe.es/gazeta/dias/1815/11/02/pdfs/GMD-1815-137.pdf#page=2","Abrir facsímil")</f>
        <v>Abrir facsímil</v>
      </c>
      <c r="K438" s="3" t="s">
        <v>74</v>
      </c>
    </row>
    <row r="439" spans="1:11" ht="42" customHeight="1">
      <c r="A439" s="2" t="s">
        <v>1302</v>
      </c>
      <c r="B439" s="2" t="s">
        <v>1303</v>
      </c>
      <c r="C439" s="2" t="s">
        <v>49</v>
      </c>
      <c r="D439" s="2" t="s">
        <v>50</v>
      </c>
      <c r="E439" s="5">
        <v>-30821</v>
      </c>
      <c r="F439" s="3" t="s">
        <v>915</v>
      </c>
      <c r="G439" s="3" t="s">
        <v>1304</v>
      </c>
      <c r="H439" s="2" t="s">
        <v>72</v>
      </c>
      <c r="I439" s="2" t="s">
        <v>1305</v>
      </c>
      <c r="J439" s="3" t="str">
        <f>HYPERLINK("https://www.boe.es/gazeta/dias/1815/08/12/pdfs/GMD-1815-99.pdf#page=4","Abrir facsímil")</f>
        <v>Abrir facsímil</v>
      </c>
      <c r="K439" s="3" t="s">
        <v>74</v>
      </c>
    </row>
    <row r="440" spans="1:11" ht="42" customHeight="1">
      <c r="A440" s="2" t="s">
        <v>1306</v>
      </c>
      <c r="B440" s="2" t="s">
        <v>1307</v>
      </c>
      <c r="C440" s="2" t="s">
        <v>49</v>
      </c>
      <c r="D440" s="2" t="s">
        <v>50</v>
      </c>
      <c r="E440" s="5">
        <v>-31024</v>
      </c>
      <c r="F440" s="3" t="s">
        <v>101</v>
      </c>
      <c r="G440" s="3" t="s">
        <v>410</v>
      </c>
      <c r="H440" s="2" t="s">
        <v>72</v>
      </c>
      <c r="I440" s="2" t="s">
        <v>1308</v>
      </c>
      <c r="J440" s="3" t="str">
        <f>HYPERLINK("https://www.boe.es/gazeta/dias/1815/01/21/pdfs/GMD-1815-9.pdf#page=1","Abrir facsímil")</f>
        <v>Abrir facsímil</v>
      </c>
      <c r="K440" s="3" t="s">
        <v>74</v>
      </c>
    </row>
    <row r="441" spans="1:11" ht="42" customHeight="1">
      <c r="A441" s="2" t="s">
        <v>1309</v>
      </c>
      <c r="B441" s="2" t="s">
        <v>1310</v>
      </c>
      <c r="C441" s="2" t="s">
        <v>31</v>
      </c>
      <c r="D441" s="2" t="s">
        <v>32</v>
      </c>
      <c r="E441" s="5">
        <v>-30716</v>
      </c>
      <c r="F441" s="3" t="s">
        <v>589</v>
      </c>
      <c r="G441" s="3" t="s">
        <v>20</v>
      </c>
      <c r="H441" s="2" t="s">
        <v>72</v>
      </c>
      <c r="I441" s="2" t="s">
        <v>1311</v>
      </c>
      <c r="J441" s="3" t="str">
        <f>HYPERLINK("https://www.boe.es/gazeta/dias/1815/11/25/pdfs/GMD-1815-147.pdf#page=4","Abrir facsímil")</f>
        <v>Abrir facsímil</v>
      </c>
      <c r="K441" s="3" t="s">
        <v>74</v>
      </c>
    </row>
    <row r="442" spans="1:11" ht="42" customHeight="1">
      <c r="A442" s="2" t="s">
        <v>1312</v>
      </c>
      <c r="B442" s="2" t="s">
        <v>1313</v>
      </c>
      <c r="C442" s="2" t="s">
        <v>17</v>
      </c>
      <c r="D442" s="2" t="s">
        <v>18</v>
      </c>
      <c r="E442" s="5">
        <v>-30923</v>
      </c>
      <c r="F442" s="3" t="s">
        <v>524</v>
      </c>
      <c r="G442" s="3" t="s">
        <v>1314</v>
      </c>
      <c r="H442" s="2" t="s">
        <v>72</v>
      </c>
      <c r="I442" s="2" t="s">
        <v>1315</v>
      </c>
      <c r="J442" s="3" t="str">
        <f>HYPERLINK("https://www.boe.es/gazeta/dias/1815/05/02/pdfs/GMD-1815-53.pdf#page=12","Abrir facsímil")</f>
        <v>Abrir facsímil</v>
      </c>
      <c r="K442" s="3" t="s">
        <v>74</v>
      </c>
    </row>
    <row r="443" spans="1:11" ht="42" customHeight="1">
      <c r="A443" s="2" t="s">
        <v>1316</v>
      </c>
      <c r="B443" s="2" t="s">
        <v>1317</v>
      </c>
      <c r="C443" s="2" t="s">
        <v>49</v>
      </c>
      <c r="D443" s="2" t="s">
        <v>50</v>
      </c>
      <c r="E443" s="5">
        <v>-30865</v>
      </c>
      <c r="F443" s="3" t="s">
        <v>163</v>
      </c>
      <c r="G443" s="3" t="s">
        <v>71</v>
      </c>
      <c r="H443" s="2" t="s">
        <v>72</v>
      </c>
      <c r="I443" s="2" t="s">
        <v>1318</v>
      </c>
      <c r="J443" s="3" t="str">
        <f>HYPERLINK("https://www.boe.es/gazeta/dias/1815/06/29/pdfs/GMD-1815-78.pdf#page=7","Abrir facsímil")</f>
        <v>Abrir facsímil</v>
      </c>
      <c r="K443" s="3" t="s">
        <v>74</v>
      </c>
    </row>
    <row r="444" spans="1:11" ht="42" customHeight="1">
      <c r="A444" s="2" t="s">
        <v>1319</v>
      </c>
      <c r="B444" s="2" t="s">
        <v>1320</v>
      </c>
      <c r="C444" s="2" t="s">
        <v>49</v>
      </c>
      <c r="D444" s="2" t="s">
        <v>50</v>
      </c>
      <c r="E444" s="5">
        <v>-30865</v>
      </c>
      <c r="F444" s="3" t="s">
        <v>163</v>
      </c>
      <c r="G444" s="3" t="s">
        <v>71</v>
      </c>
      <c r="H444" s="2" t="s">
        <v>72</v>
      </c>
      <c r="I444" s="2" t="s">
        <v>1321</v>
      </c>
      <c r="J444" s="3" t="str">
        <f>HYPERLINK("https://www.boe.es/gazeta/dias/1815/06/29/pdfs/GMD-1815-78.pdf#page=7","Abrir facsímil")</f>
        <v>Abrir facsímil</v>
      </c>
      <c r="K444" s="3" t="s">
        <v>74</v>
      </c>
    </row>
    <row r="445" spans="1:11" ht="42" customHeight="1">
      <c r="A445" s="2" t="s">
        <v>1322</v>
      </c>
      <c r="B445" s="2" t="s">
        <v>1322</v>
      </c>
      <c r="C445" s="2" t="s">
        <v>49</v>
      </c>
      <c r="D445" s="2" t="s">
        <v>50</v>
      </c>
      <c r="E445" s="5">
        <v>-30916</v>
      </c>
      <c r="F445" s="3" t="s">
        <v>147</v>
      </c>
      <c r="G445" s="3" t="s">
        <v>148</v>
      </c>
      <c r="H445" s="2" t="s">
        <v>72</v>
      </c>
      <c r="I445" s="2" t="s">
        <v>1323</v>
      </c>
      <c r="J445" s="3" t="str">
        <f>HYPERLINK("https://www.boe.es/gazeta/dias/1815/05/09/pdfs/GMD-1815-56.pdf#page=7","Abrir facsímil")</f>
        <v>Abrir facsímil</v>
      </c>
      <c r="K445" s="3" t="s">
        <v>74</v>
      </c>
    </row>
    <row r="446" spans="1:11" ht="42" customHeight="1">
      <c r="A446" s="2" t="s">
        <v>1324</v>
      </c>
      <c r="B446" s="2" t="s">
        <v>1325</v>
      </c>
      <c r="C446" s="2" t="s">
        <v>49</v>
      </c>
      <c r="D446" s="2" t="s">
        <v>50</v>
      </c>
      <c r="E446" s="5">
        <v>-30767</v>
      </c>
      <c r="F446" s="3" t="s">
        <v>228</v>
      </c>
      <c r="G446" s="3" t="s">
        <v>88</v>
      </c>
      <c r="H446" s="2" t="s">
        <v>72</v>
      </c>
      <c r="I446" s="2" t="s">
        <v>1326</v>
      </c>
      <c r="J446" s="3" t="str">
        <f>HYPERLINK("https://www.boe.es/gazeta/dias/1815/10/05/pdfs/GMD-1815-125.pdf#page=10","Abrir facsímil")</f>
        <v>Abrir facsímil</v>
      </c>
      <c r="K446" s="3" t="s">
        <v>74</v>
      </c>
    </row>
    <row r="447" spans="1:11" ht="42" customHeight="1">
      <c r="A447" s="2" t="s">
        <v>1327</v>
      </c>
      <c r="B447" s="2" t="s">
        <v>1327</v>
      </c>
      <c r="C447" s="2" t="s">
        <v>31</v>
      </c>
      <c r="D447" s="2" t="s">
        <v>32</v>
      </c>
      <c r="E447" s="5">
        <v>-30818</v>
      </c>
      <c r="F447" s="3" t="s">
        <v>334</v>
      </c>
      <c r="G447" s="3" t="s">
        <v>38</v>
      </c>
      <c r="H447" s="2" t="s">
        <v>72</v>
      </c>
      <c r="I447" s="2" t="s">
        <v>1328</v>
      </c>
      <c r="J447" s="3" t="str">
        <f>HYPERLINK("https://www.boe.es/gazeta/dias/1815/08/15/pdfs/GMD-1815-100.pdf#page=8","Abrir facsímil")</f>
        <v>Abrir facsímil</v>
      </c>
      <c r="K447" s="3" t="s">
        <v>74</v>
      </c>
    </row>
    <row r="448" spans="1:11" ht="42" customHeight="1">
      <c r="A448" s="2" t="s">
        <v>1329</v>
      </c>
      <c r="B448" s="2" t="s">
        <v>1330</v>
      </c>
      <c r="C448" s="2" t="s">
        <v>195</v>
      </c>
      <c r="D448" s="2" t="s">
        <v>50</v>
      </c>
      <c r="E448" s="5">
        <v>-30783</v>
      </c>
      <c r="F448" s="3" t="s">
        <v>423</v>
      </c>
      <c r="G448" s="3" t="s">
        <v>38</v>
      </c>
      <c r="H448" s="2" t="s">
        <v>72</v>
      </c>
      <c r="I448" s="2" t="s">
        <v>1331</v>
      </c>
      <c r="J448" s="3" t="str">
        <f>HYPERLINK("https://www.boe.es/gazeta/dias/1815/09/19/pdfs/GMD-1815-116.pdf#page=8","Abrir facsímil")</f>
        <v>Abrir facsímil</v>
      </c>
      <c r="K448" s="3" t="s">
        <v>74</v>
      </c>
    </row>
    <row r="449" spans="1:11" ht="42" customHeight="1">
      <c r="A449" s="2" t="s">
        <v>1332</v>
      </c>
      <c r="B449" s="2" t="s">
        <v>1333</v>
      </c>
      <c r="C449" s="2" t="s">
        <v>49</v>
      </c>
      <c r="D449" s="2" t="s">
        <v>50</v>
      </c>
      <c r="E449" s="5">
        <v>-30916</v>
      </c>
      <c r="F449" s="3" t="s">
        <v>147</v>
      </c>
      <c r="G449" s="3" t="s">
        <v>224</v>
      </c>
      <c r="H449" s="2" t="s">
        <v>72</v>
      </c>
      <c r="I449" s="2" t="s">
        <v>1334</v>
      </c>
      <c r="J449" s="3" t="str">
        <f>HYPERLINK("https://www.boe.es/gazeta/dias/1815/05/09/pdfs/GMD-1815-56.pdf#page=9","Abrir facsímil")</f>
        <v>Abrir facsímil</v>
      </c>
      <c r="K449" s="3" t="s">
        <v>74</v>
      </c>
    </row>
    <row r="450" spans="1:11" ht="42" customHeight="1">
      <c r="A450" s="2" t="s">
        <v>1335</v>
      </c>
      <c r="B450" s="2" t="s">
        <v>1336</v>
      </c>
      <c r="C450" s="2" t="s">
        <v>31</v>
      </c>
      <c r="D450" s="2" t="s">
        <v>32</v>
      </c>
      <c r="E450" s="5">
        <v>-30942</v>
      </c>
      <c r="F450" s="3" t="s">
        <v>730</v>
      </c>
      <c r="G450" s="3" t="s">
        <v>71</v>
      </c>
      <c r="H450" s="2" t="s">
        <v>72</v>
      </c>
      <c r="I450" s="2" t="s">
        <v>1337</v>
      </c>
      <c r="J450" s="3" t="str">
        <f>HYPERLINK("https://www.boe.es/gazeta/dias/1815/04/13/pdfs/GMD-1815-45.pdf#page=7","Abrir facsímil")</f>
        <v>Abrir facsímil</v>
      </c>
      <c r="K450" s="3" t="s">
        <v>74</v>
      </c>
    </row>
    <row r="451" spans="1:11" ht="42" customHeight="1">
      <c r="A451" s="2" t="s">
        <v>1338</v>
      </c>
      <c r="B451" s="2" t="s">
        <v>1339</v>
      </c>
      <c r="C451" s="2" t="s">
        <v>31</v>
      </c>
      <c r="D451" s="2" t="s">
        <v>32</v>
      </c>
      <c r="E451" s="5">
        <v>-30849</v>
      </c>
      <c r="F451" s="3" t="s">
        <v>501</v>
      </c>
      <c r="G451" s="3" t="s">
        <v>52</v>
      </c>
      <c r="H451" s="2" t="s">
        <v>21</v>
      </c>
      <c r="I451" s="2" t="s">
        <v>1340</v>
      </c>
      <c r="J451" s="3" t="str">
        <f>HYPERLINK("https://www.boe.es/gazeta/dias/1815/07/15/pdfs/GMD-1815-87.pdf#page=11","Abrir facsímil")</f>
        <v>Abrir facsímil</v>
      </c>
      <c r="K451" s="3" t="s">
        <v>23</v>
      </c>
    </row>
    <row r="452" spans="1:11" ht="42" customHeight="1">
      <c r="A452" s="2" t="s">
        <v>1341</v>
      </c>
      <c r="B452" s="2" t="s">
        <v>1342</v>
      </c>
      <c r="C452" s="2" t="s">
        <v>31</v>
      </c>
      <c r="D452" s="2" t="s">
        <v>32</v>
      </c>
      <c r="E452" s="5">
        <v>-30907</v>
      </c>
      <c r="F452" s="3" t="s">
        <v>301</v>
      </c>
      <c r="G452" s="3" t="s">
        <v>71</v>
      </c>
      <c r="H452" s="2" t="s">
        <v>72</v>
      </c>
      <c r="I452" s="2" t="s">
        <v>1343</v>
      </c>
      <c r="J452" s="3" t="str">
        <f>HYPERLINK("https://www.boe.es/gazeta/dias/1815/05/18/pdfs/GMD-1815-60.pdf#page=7","Abrir facsímil")</f>
        <v>Abrir facsímil</v>
      </c>
      <c r="K452" s="3" t="s">
        <v>74</v>
      </c>
    </row>
    <row r="453" spans="1:11" ht="42" customHeight="1">
      <c r="A453" s="2" t="s">
        <v>1344</v>
      </c>
      <c r="B453" s="2" t="s">
        <v>1345</v>
      </c>
      <c r="C453" s="2" t="s">
        <v>49</v>
      </c>
      <c r="D453" s="2" t="s">
        <v>50</v>
      </c>
      <c r="E453" s="5">
        <v>-31028</v>
      </c>
      <c r="F453" s="3" t="s">
        <v>517</v>
      </c>
      <c r="G453" s="3" t="s">
        <v>52</v>
      </c>
      <c r="H453" s="2" t="s">
        <v>72</v>
      </c>
      <c r="I453" s="2" t="s">
        <v>1346</v>
      </c>
      <c r="J453" s="3" t="str">
        <f>HYPERLINK("https://www.boe.es/gazeta/dias/1815/01/17/pdfs/GMD-1815-7.pdf#page=11","Abrir facsímil")</f>
        <v>Abrir facsímil</v>
      </c>
      <c r="K453" s="3" t="s">
        <v>74</v>
      </c>
    </row>
    <row r="454" spans="1:11" ht="42" customHeight="1">
      <c r="A454" s="2" t="s">
        <v>1347</v>
      </c>
      <c r="B454" s="2" t="s">
        <v>1348</v>
      </c>
      <c r="C454" s="2" t="s">
        <v>49</v>
      </c>
      <c r="D454" s="2" t="s">
        <v>50</v>
      </c>
      <c r="E454" s="5">
        <v>-30818</v>
      </c>
      <c r="F454" s="3" t="s">
        <v>334</v>
      </c>
      <c r="G454" s="3" t="s">
        <v>224</v>
      </c>
      <c r="H454" s="2" t="s">
        <v>72</v>
      </c>
      <c r="I454" s="2" t="s">
        <v>1349</v>
      </c>
      <c r="J454" s="3" t="str">
        <f>HYPERLINK("https://www.boe.es/gazeta/dias/1815/08/15/pdfs/GMD-1815-100.pdf#page=9","Abrir facsímil")</f>
        <v>Abrir facsímil</v>
      </c>
      <c r="K454" s="3" t="s">
        <v>74</v>
      </c>
    </row>
    <row r="455" spans="1:11" ht="42" customHeight="1">
      <c r="A455" s="2" t="s">
        <v>1350</v>
      </c>
      <c r="B455" s="2" t="s">
        <v>1351</v>
      </c>
      <c r="C455" s="2" t="s">
        <v>17</v>
      </c>
      <c r="D455" s="2" t="s">
        <v>18</v>
      </c>
      <c r="E455" s="5">
        <v>-30928</v>
      </c>
      <c r="F455" s="3" t="s">
        <v>330</v>
      </c>
      <c r="G455" s="3" t="s">
        <v>27</v>
      </c>
      <c r="H455" s="2" t="s">
        <v>72</v>
      </c>
      <c r="I455" s="2" t="s">
        <v>1352</v>
      </c>
      <c r="J455" s="3" t="str">
        <f>HYPERLINK("https://www.boe.es/gazeta/dias/1815/04/27/pdfs/GMD-1815-51.pdf#page=6","Abrir facsímil")</f>
        <v>Abrir facsímil</v>
      </c>
      <c r="K455" s="3" t="s">
        <v>74</v>
      </c>
    </row>
    <row r="456" spans="1:11" ht="42" customHeight="1">
      <c r="A456" s="2" t="s">
        <v>1350</v>
      </c>
      <c r="B456" s="2" t="s">
        <v>1351</v>
      </c>
      <c r="C456" s="2" t="s">
        <v>17</v>
      </c>
      <c r="D456" s="2" t="s">
        <v>18</v>
      </c>
      <c r="E456" s="5">
        <v>-30692</v>
      </c>
      <c r="F456" s="3" t="s">
        <v>508</v>
      </c>
      <c r="G456" s="3" t="s">
        <v>1353</v>
      </c>
      <c r="H456" s="2" t="s">
        <v>72</v>
      </c>
      <c r="I456" s="2" t="s">
        <v>1354</v>
      </c>
      <c r="J456" s="3" t="str">
        <f>HYPERLINK("https://www.boe.es/gazeta/dias/1815/12/19/pdfs/GMD-1815-157.pdf#page=7","Abrir facsímil")</f>
        <v>Abrir facsímil</v>
      </c>
      <c r="K456" s="3" t="s">
        <v>74</v>
      </c>
    </row>
    <row r="457" spans="1:11" ht="42" customHeight="1">
      <c r="A457" s="2" t="s">
        <v>1355</v>
      </c>
      <c r="B457" s="2" t="s">
        <v>1356</v>
      </c>
      <c r="C457" s="2" t="s">
        <v>17</v>
      </c>
      <c r="D457" s="2" t="s">
        <v>18</v>
      </c>
      <c r="E457" s="5">
        <v>-30963</v>
      </c>
      <c r="F457" s="3" t="s">
        <v>879</v>
      </c>
      <c r="G457" s="3" t="s">
        <v>20</v>
      </c>
      <c r="H457" s="2" t="s">
        <v>72</v>
      </c>
      <c r="I457" s="2" t="s">
        <v>1357</v>
      </c>
      <c r="J457" s="3" t="str">
        <f>HYPERLINK("https://www.boe.es/gazeta/dias/1815/03/23/pdfs/GMD-1815-35.pdf#page=4","Abrir facsímil")</f>
        <v>Abrir facsímil</v>
      </c>
      <c r="K457" s="3" t="s">
        <v>74</v>
      </c>
    </row>
    <row r="458" spans="1:11" ht="42" customHeight="1">
      <c r="A458" s="2" t="s">
        <v>1358</v>
      </c>
      <c r="B458" s="2" t="s">
        <v>1359</v>
      </c>
      <c r="C458" s="2" t="s">
        <v>31</v>
      </c>
      <c r="D458" s="2" t="s">
        <v>32</v>
      </c>
      <c r="E458" s="5">
        <v>-30860</v>
      </c>
      <c r="F458" s="3" t="s">
        <v>184</v>
      </c>
      <c r="G458" s="3" t="s">
        <v>20</v>
      </c>
      <c r="H458" s="2" t="s">
        <v>72</v>
      </c>
      <c r="I458" s="2" t="s">
        <v>1360</v>
      </c>
      <c r="J458" s="3" t="str">
        <f>HYPERLINK("https://www.boe.es/gazeta/dias/1815/07/04/pdfs/GMD-1815-81.pdf#page=4","Abrir facsímil")</f>
        <v>Abrir facsímil</v>
      </c>
      <c r="K458" s="3" t="s">
        <v>74</v>
      </c>
    </row>
    <row r="459" spans="1:11" ht="42" customHeight="1">
      <c r="A459" s="2" t="s">
        <v>1361</v>
      </c>
      <c r="B459" s="2" t="s">
        <v>1362</v>
      </c>
      <c r="C459" s="2" t="s">
        <v>49</v>
      </c>
      <c r="D459" s="2" t="s">
        <v>50</v>
      </c>
      <c r="E459" s="5">
        <v>-30865</v>
      </c>
      <c r="F459" s="3" t="s">
        <v>163</v>
      </c>
      <c r="G459" s="3" t="s">
        <v>71</v>
      </c>
      <c r="H459" s="2" t="s">
        <v>72</v>
      </c>
      <c r="I459" s="2" t="s">
        <v>1363</v>
      </c>
      <c r="J459" s="3" t="str">
        <f>HYPERLINK("https://www.boe.es/gazeta/dias/1815/06/29/pdfs/GMD-1815-78.pdf#page=7","Abrir facsímil")</f>
        <v>Abrir facsímil</v>
      </c>
      <c r="K459" s="3" t="s">
        <v>74</v>
      </c>
    </row>
    <row r="460" spans="1:11" ht="42" customHeight="1">
      <c r="A460" s="2" t="s">
        <v>1364</v>
      </c>
      <c r="B460" s="2" t="s">
        <v>1364</v>
      </c>
      <c r="C460" s="2" t="s">
        <v>31</v>
      </c>
      <c r="D460" s="2" t="s">
        <v>32</v>
      </c>
      <c r="E460" s="5">
        <v>-30786</v>
      </c>
      <c r="F460" s="3" t="s">
        <v>558</v>
      </c>
      <c r="G460" s="3" t="s">
        <v>38</v>
      </c>
      <c r="H460" s="2" t="s">
        <v>72</v>
      </c>
      <c r="I460" s="2" t="s">
        <v>1365</v>
      </c>
      <c r="J460" s="3" t="str">
        <f>HYPERLINK("https://www.boe.es/gazeta/dias/1815/09/16/pdfs/GMD-1815-115.pdf#page=8","Abrir facsímil")</f>
        <v>Abrir facsímil</v>
      </c>
      <c r="K460" s="3" t="s">
        <v>74</v>
      </c>
    </row>
    <row r="461" spans="1:11" ht="42" customHeight="1">
      <c r="A461" s="2" t="s">
        <v>1366</v>
      </c>
      <c r="B461" s="2" t="s">
        <v>1367</v>
      </c>
      <c r="C461" s="2" t="s">
        <v>31</v>
      </c>
      <c r="D461" s="2" t="s">
        <v>32</v>
      </c>
      <c r="E461" s="5">
        <v>-30786</v>
      </c>
      <c r="F461" s="3" t="s">
        <v>558</v>
      </c>
      <c r="G461" s="3" t="s">
        <v>38</v>
      </c>
      <c r="H461" s="2" t="s">
        <v>72</v>
      </c>
      <c r="I461" s="2" t="s">
        <v>1368</v>
      </c>
      <c r="J461" s="3" t="str">
        <f>HYPERLINK("https://www.boe.es/gazeta/dias/1815/09/16/pdfs/GMD-1815-115.pdf#page=8","Abrir facsímil")</f>
        <v>Abrir facsímil</v>
      </c>
      <c r="K461" s="3" t="s">
        <v>74</v>
      </c>
    </row>
    <row r="462" spans="1:11" ht="42" customHeight="1">
      <c r="A462" s="2" t="s">
        <v>1369</v>
      </c>
      <c r="B462" s="2" t="s">
        <v>1370</v>
      </c>
      <c r="C462" s="2" t="s">
        <v>49</v>
      </c>
      <c r="D462" s="2" t="s">
        <v>50</v>
      </c>
      <c r="E462" s="5">
        <v>-30930</v>
      </c>
      <c r="F462" s="3" t="s">
        <v>51</v>
      </c>
      <c r="G462" s="3" t="s">
        <v>276</v>
      </c>
      <c r="H462" s="2" t="s">
        <v>72</v>
      </c>
      <c r="I462" s="2" t="s">
        <v>1371</v>
      </c>
      <c r="J462" s="3" t="str">
        <f>HYPERLINK("https://www.boe.es/gazeta/dias/1815/04/25/pdfs/GMD-1815-50.pdf#page=12","Abrir facsímil")</f>
        <v>Abrir facsímil</v>
      </c>
      <c r="K462" s="3" t="s">
        <v>74</v>
      </c>
    </row>
    <row r="463" spans="1:11" ht="42" customHeight="1">
      <c r="A463" s="2" t="s">
        <v>1372</v>
      </c>
      <c r="B463" s="2" t="s">
        <v>1373</v>
      </c>
      <c r="C463" s="2" t="s">
        <v>31</v>
      </c>
      <c r="D463" s="2" t="s">
        <v>32</v>
      </c>
      <c r="E463" s="5">
        <v>-31031</v>
      </c>
      <c r="F463" s="3" t="s">
        <v>105</v>
      </c>
      <c r="G463" s="3" t="s">
        <v>20</v>
      </c>
      <c r="H463" s="2" t="s">
        <v>72</v>
      </c>
      <c r="I463" s="2" t="s">
        <v>1374</v>
      </c>
      <c r="J463" s="3" t="str">
        <f>HYPERLINK("https://www.boe.es/gazeta/dias/1815/01/14/pdfs/GMD-1815-6.pdf#page=4","Abrir facsímil")</f>
        <v>Abrir facsímil</v>
      </c>
      <c r="K463" s="3" t="s">
        <v>74</v>
      </c>
    </row>
    <row r="464" spans="1:11" ht="42" customHeight="1">
      <c r="A464" s="2" t="s">
        <v>1375</v>
      </c>
      <c r="B464" s="2" t="s">
        <v>1376</v>
      </c>
      <c r="C464" s="2" t="s">
        <v>17</v>
      </c>
      <c r="D464" s="2" t="s">
        <v>18</v>
      </c>
      <c r="E464" s="5">
        <v>-31000</v>
      </c>
      <c r="F464" s="3" t="s">
        <v>70</v>
      </c>
      <c r="G464" s="3" t="s">
        <v>847</v>
      </c>
      <c r="H464" s="2" t="s">
        <v>72</v>
      </c>
      <c r="I464" s="2" t="s">
        <v>1377</v>
      </c>
      <c r="J464" s="3" t="str">
        <f>HYPERLINK("https://www.boe.es/gazeta/dias/1815/02/14/pdfs/GMD-1815-19.pdf#page=6","Abrir facsímil")</f>
        <v>Abrir facsímil</v>
      </c>
      <c r="K464" s="3" t="s">
        <v>74</v>
      </c>
    </row>
    <row r="465" spans="1:11" ht="42" customHeight="1">
      <c r="A465" s="2" t="s">
        <v>1378</v>
      </c>
      <c r="B465" s="2" t="s">
        <v>1378</v>
      </c>
      <c r="C465" s="2" t="s">
        <v>31</v>
      </c>
      <c r="D465" s="2" t="s">
        <v>32</v>
      </c>
      <c r="E465" s="5">
        <v>-30937</v>
      </c>
      <c r="F465" s="3" t="s">
        <v>322</v>
      </c>
      <c r="G465" s="3" t="s">
        <v>20</v>
      </c>
      <c r="H465" s="2" t="s">
        <v>72</v>
      </c>
      <c r="I465" s="2" t="s">
        <v>1379</v>
      </c>
      <c r="J465" s="3" t="str">
        <f>HYPERLINK("https://www.boe.es/gazeta/dias/1815/04/18/pdfs/GMD-1815-47.pdf#page=4","Abrir facsímil")</f>
        <v>Abrir facsímil</v>
      </c>
      <c r="K465" s="3" t="s">
        <v>74</v>
      </c>
    </row>
    <row r="466" spans="1:11" ht="42" customHeight="1">
      <c r="A466" s="2" t="s">
        <v>1380</v>
      </c>
      <c r="B466" s="2" t="s">
        <v>1381</v>
      </c>
      <c r="C466" s="2" t="s">
        <v>31</v>
      </c>
      <c r="D466" s="2" t="s">
        <v>32</v>
      </c>
      <c r="E466" s="5">
        <v>-30972</v>
      </c>
      <c r="F466" s="3" t="s">
        <v>1382</v>
      </c>
      <c r="G466" s="3" t="s">
        <v>57</v>
      </c>
      <c r="H466" s="2" t="s">
        <v>21</v>
      </c>
      <c r="I466" s="2" t="s">
        <v>1383</v>
      </c>
      <c r="J466" s="3" t="str">
        <f>HYPERLINK("https://www.boe.es/gazeta/dias/1815/03/14/pdfs/GMD-1815-31.pdf#page=5","Abrir facsímil")</f>
        <v>Abrir facsímil</v>
      </c>
      <c r="K466" s="3" t="s">
        <v>23</v>
      </c>
    </row>
    <row r="467" spans="1:11" ht="42" customHeight="1">
      <c r="A467" s="2" t="s">
        <v>1384</v>
      </c>
      <c r="B467" s="2" t="s">
        <v>1385</v>
      </c>
      <c r="C467" s="2" t="s">
        <v>49</v>
      </c>
      <c r="D467" s="2" t="s">
        <v>50</v>
      </c>
      <c r="E467" s="5">
        <v>-30818</v>
      </c>
      <c r="F467" s="3" t="s">
        <v>334</v>
      </c>
      <c r="G467" s="3" t="s">
        <v>224</v>
      </c>
      <c r="H467" s="2" t="s">
        <v>21</v>
      </c>
      <c r="I467" s="2" t="s">
        <v>1386</v>
      </c>
      <c r="J467" s="3" t="str">
        <f>HYPERLINK("https://www.boe.es/gazeta/dias/1815/08/15/pdfs/GMD-1815-100.pdf#page=9","Abrir facsímil")</f>
        <v>Abrir facsímil</v>
      </c>
      <c r="K467" s="3" t="s">
        <v>23</v>
      </c>
    </row>
    <row r="468" spans="1:11" ht="42" customHeight="1">
      <c r="A468" s="2" t="s">
        <v>1387</v>
      </c>
      <c r="B468" s="2" t="s">
        <v>1387</v>
      </c>
      <c r="C468" s="2" t="s">
        <v>31</v>
      </c>
      <c r="D468" s="2" t="s">
        <v>32</v>
      </c>
      <c r="E468" s="5">
        <v>-30790</v>
      </c>
      <c r="F468" s="3" t="s">
        <v>285</v>
      </c>
      <c r="G468" s="3" t="s">
        <v>97</v>
      </c>
      <c r="H468" s="2" t="s">
        <v>72</v>
      </c>
      <c r="I468" s="2" t="s">
        <v>1388</v>
      </c>
      <c r="J468" s="3" t="str">
        <f>HYPERLINK("https://www.boe.es/gazeta/dias/1815/09/12/pdfs/GMD-1815-113.pdf#page=3","Abrir facsímil")</f>
        <v>Abrir facsímil</v>
      </c>
      <c r="K468" s="3" t="s">
        <v>74</v>
      </c>
    </row>
    <row r="469" spans="1:11" ht="42" customHeight="1">
      <c r="A469" s="2" t="s">
        <v>1389</v>
      </c>
      <c r="B469" s="2" t="s">
        <v>1390</v>
      </c>
      <c r="C469" s="2" t="s">
        <v>61</v>
      </c>
      <c r="D469" s="2" t="s">
        <v>50</v>
      </c>
      <c r="E469" s="5">
        <v>-30872</v>
      </c>
      <c r="F469" s="3" t="s">
        <v>167</v>
      </c>
      <c r="G469" s="3" t="s">
        <v>224</v>
      </c>
      <c r="H469" s="2" t="s">
        <v>72</v>
      </c>
      <c r="I469" s="2" t="s">
        <v>1391</v>
      </c>
      <c r="J469" s="3" t="str">
        <f>HYPERLINK("https://www.boe.es/gazeta/dias/1815/06/22/pdfs/GMD-1815-75.pdf#page=9","Abrir facsímil")</f>
        <v>Abrir facsímil</v>
      </c>
      <c r="K469" s="3" t="s">
        <v>74</v>
      </c>
    </row>
    <row r="470" spans="1:11" ht="42" customHeight="1">
      <c r="A470" s="2" t="s">
        <v>1392</v>
      </c>
      <c r="B470" s="2" t="s">
        <v>1392</v>
      </c>
      <c r="C470" s="2" t="s">
        <v>31</v>
      </c>
      <c r="D470" s="2" t="s">
        <v>32</v>
      </c>
      <c r="E470" s="5">
        <v>-30802</v>
      </c>
      <c r="F470" s="3" t="s">
        <v>1393</v>
      </c>
      <c r="G470" s="3" t="s">
        <v>410</v>
      </c>
      <c r="H470" s="2" t="s">
        <v>72</v>
      </c>
      <c r="I470" s="2" t="s">
        <v>1394</v>
      </c>
      <c r="J470" s="3" t="str">
        <f>HYPERLINK("https://www.boe.es/gazeta/dias/1815/08/31/pdfs/GMD-1815-107.pdf#page=1","Abrir facsímil")</f>
        <v>Abrir facsímil</v>
      </c>
      <c r="K470" s="3" t="s">
        <v>74</v>
      </c>
    </row>
    <row r="471" spans="1:11" ht="42" customHeight="1">
      <c r="A471" s="2" t="s">
        <v>1395</v>
      </c>
      <c r="B471" s="2" t="s">
        <v>1395</v>
      </c>
      <c r="C471" s="2" t="s">
        <v>31</v>
      </c>
      <c r="D471" s="2" t="s">
        <v>32</v>
      </c>
      <c r="E471" s="5">
        <v>-30935</v>
      </c>
      <c r="F471" s="3" t="s">
        <v>519</v>
      </c>
      <c r="G471" s="3" t="s">
        <v>97</v>
      </c>
      <c r="H471" s="2" t="s">
        <v>72</v>
      </c>
      <c r="I471" s="2" t="s">
        <v>1396</v>
      </c>
      <c r="J471" s="3" t="str">
        <f>HYPERLINK("https://www.boe.es/gazeta/dias/1815/04/20/pdfs/GMD-1815-48.pdf#page=3","Abrir facsímil")</f>
        <v>Abrir facsímil</v>
      </c>
      <c r="K471" s="3" t="s">
        <v>74</v>
      </c>
    </row>
    <row r="472" spans="1:11" ht="42" customHeight="1">
      <c r="A472" s="2" t="s">
        <v>1395</v>
      </c>
      <c r="B472" s="2" t="s">
        <v>1395</v>
      </c>
      <c r="C472" s="2" t="s">
        <v>31</v>
      </c>
      <c r="D472" s="2" t="s">
        <v>32</v>
      </c>
      <c r="E472" s="5">
        <v>-30879</v>
      </c>
      <c r="F472" s="3" t="s">
        <v>754</v>
      </c>
      <c r="G472" s="3" t="s">
        <v>410</v>
      </c>
      <c r="H472" s="2" t="s">
        <v>72</v>
      </c>
      <c r="I472" s="2" t="s">
        <v>1397</v>
      </c>
      <c r="J472" s="3" t="str">
        <f>HYPERLINK("https://www.boe.es/gazeta/dias/1815/06/15/pdfs/GMD-1815-72.pdf#page=1","Abrir facsímil")</f>
        <v>Abrir facsímil</v>
      </c>
      <c r="K472" s="3" t="s">
        <v>74</v>
      </c>
    </row>
    <row r="473" spans="1:11" ht="42" customHeight="1">
      <c r="A473" s="2" t="s">
        <v>1398</v>
      </c>
      <c r="B473" s="2" t="s">
        <v>1399</v>
      </c>
      <c r="C473" s="2" t="s">
        <v>49</v>
      </c>
      <c r="D473" s="2" t="s">
        <v>50</v>
      </c>
      <c r="E473" s="5">
        <v>-30886</v>
      </c>
      <c r="F473" s="3" t="s">
        <v>140</v>
      </c>
      <c r="G473" s="3" t="s">
        <v>88</v>
      </c>
      <c r="H473" s="2" t="s">
        <v>72</v>
      </c>
      <c r="I473" s="2" t="s">
        <v>1400</v>
      </c>
      <c r="J473" s="3" t="str">
        <f>HYPERLINK("https://www.boe.es/gazeta/dias/1815/06/08/pdfs/GMD-1815-69.pdf#page=10","Abrir facsímil")</f>
        <v>Abrir facsímil</v>
      </c>
      <c r="K473" s="3" t="s">
        <v>74</v>
      </c>
    </row>
    <row r="474" spans="1:11" ht="42" customHeight="1">
      <c r="A474" s="2" t="s">
        <v>1401</v>
      </c>
      <c r="B474" s="2" t="s">
        <v>1401</v>
      </c>
      <c r="C474" s="2" t="s">
        <v>31</v>
      </c>
      <c r="D474" s="2" t="s">
        <v>32</v>
      </c>
      <c r="E474" s="5">
        <v>-30828</v>
      </c>
      <c r="F474" s="3" t="s">
        <v>1402</v>
      </c>
      <c r="G474" s="3" t="s">
        <v>97</v>
      </c>
      <c r="H474" s="2" t="s">
        <v>72</v>
      </c>
      <c r="I474" s="2" t="s">
        <v>1403</v>
      </c>
      <c r="J474" s="3" t="str">
        <f>HYPERLINK("https://www.boe.es/gazeta/dias/1815/08/05/pdfs/GMD-1815-96.pdf#page=3","Abrir facsímil")</f>
        <v>Abrir facsímil</v>
      </c>
      <c r="K474" s="3" t="s">
        <v>74</v>
      </c>
    </row>
    <row r="475" spans="1:11" ht="42" customHeight="1">
      <c r="A475" s="2" t="s">
        <v>1404</v>
      </c>
      <c r="B475" s="2" t="s">
        <v>1405</v>
      </c>
      <c r="C475" s="2" t="s">
        <v>49</v>
      </c>
      <c r="D475" s="2" t="s">
        <v>50</v>
      </c>
      <c r="E475" s="5">
        <v>-30982</v>
      </c>
      <c r="F475" s="3" t="s">
        <v>220</v>
      </c>
      <c r="G475" s="3" t="s">
        <v>57</v>
      </c>
      <c r="H475" s="2" t="s">
        <v>72</v>
      </c>
      <c r="I475" s="2" t="s">
        <v>1406</v>
      </c>
      <c r="J475" s="3" t="str">
        <f>HYPERLINK("https://www.boe.es/gazeta/dias/1815/03/04/pdfs/GMD-1815-27.pdf#page=5","Abrir facsímil")</f>
        <v>Abrir facsímil</v>
      </c>
      <c r="K475" s="3" t="s">
        <v>74</v>
      </c>
    </row>
    <row r="476" spans="1:11" ht="42" customHeight="1">
      <c r="A476" s="2" t="s">
        <v>1407</v>
      </c>
      <c r="B476" s="2" t="s">
        <v>1408</v>
      </c>
      <c r="C476" s="2" t="s">
        <v>17</v>
      </c>
      <c r="D476" s="2" t="s">
        <v>18</v>
      </c>
      <c r="E476" s="5">
        <v>-30865</v>
      </c>
      <c r="F476" s="3" t="s">
        <v>163</v>
      </c>
      <c r="G476" s="3" t="s">
        <v>71</v>
      </c>
      <c r="H476" s="2" t="s">
        <v>72</v>
      </c>
      <c r="I476" s="2" t="s">
        <v>1409</v>
      </c>
      <c r="J476" s="3" t="str">
        <f>HYPERLINK("https://www.boe.es/gazeta/dias/1815/06/29/pdfs/GMD-1815-78.pdf#page=7","Abrir facsímil")</f>
        <v>Abrir facsímil</v>
      </c>
      <c r="K476" s="3" t="s">
        <v>74</v>
      </c>
    </row>
    <row r="477" spans="1:11" ht="42" customHeight="1">
      <c r="A477" s="2" t="s">
        <v>1410</v>
      </c>
      <c r="B477" s="2" t="s">
        <v>1411</v>
      </c>
      <c r="C477" s="2" t="s">
        <v>195</v>
      </c>
      <c r="D477" s="2" t="s">
        <v>50</v>
      </c>
      <c r="E477" s="5">
        <v>-30807</v>
      </c>
      <c r="F477" s="3" t="s">
        <v>586</v>
      </c>
      <c r="G477" s="3" t="s">
        <v>38</v>
      </c>
      <c r="H477" s="2" t="s">
        <v>72</v>
      </c>
      <c r="I477" s="2" t="s">
        <v>1412</v>
      </c>
      <c r="J477" s="3" t="str">
        <f>HYPERLINK("https://www.boe.es/gazeta/dias/1815/08/26/pdfs/GMD-1815-105.pdf#page=8","Abrir facsímil")</f>
        <v>Abrir facsímil</v>
      </c>
      <c r="K477" s="3" t="s">
        <v>74</v>
      </c>
    </row>
    <row r="478" spans="1:11" ht="42" customHeight="1">
      <c r="A478" s="2" t="s">
        <v>1413</v>
      </c>
      <c r="B478" s="2" t="s">
        <v>1414</v>
      </c>
      <c r="C478" s="2" t="s">
        <v>49</v>
      </c>
      <c r="D478" s="2" t="s">
        <v>50</v>
      </c>
      <c r="E478" s="5">
        <v>-30865</v>
      </c>
      <c r="F478" s="3" t="s">
        <v>163</v>
      </c>
      <c r="G478" s="3" t="s">
        <v>71</v>
      </c>
      <c r="H478" s="2" t="s">
        <v>72</v>
      </c>
      <c r="I478" s="2" t="s">
        <v>1415</v>
      </c>
      <c r="J478" s="3" t="str">
        <f>HYPERLINK("https://www.boe.es/gazeta/dias/1815/06/29/pdfs/GMD-1815-78.pdf#page=7","Abrir facsímil")</f>
        <v>Abrir facsímil</v>
      </c>
      <c r="K478" s="3" t="s">
        <v>74</v>
      </c>
    </row>
    <row r="479" spans="1:11" ht="42" customHeight="1">
      <c r="A479" s="2" t="s">
        <v>1416</v>
      </c>
      <c r="B479" s="2" t="s">
        <v>1417</v>
      </c>
      <c r="C479" s="2" t="s">
        <v>49</v>
      </c>
      <c r="D479" s="2" t="s">
        <v>50</v>
      </c>
      <c r="E479" s="5">
        <v>-30909</v>
      </c>
      <c r="F479" s="3" t="s">
        <v>581</v>
      </c>
      <c r="G479" s="3" t="s">
        <v>38</v>
      </c>
      <c r="H479" s="2" t="s">
        <v>72</v>
      </c>
      <c r="I479" s="2" t="s">
        <v>1418</v>
      </c>
      <c r="J479" s="3" t="str">
        <f>HYPERLINK("https://www.boe.es/gazeta/dias/1815/05/16/pdfs/GMD-1815-59.pdf#page=8","Abrir facsímil")</f>
        <v>Abrir facsímil</v>
      </c>
      <c r="K479" s="3" t="s">
        <v>74</v>
      </c>
    </row>
    <row r="480" spans="1:11" ht="42" customHeight="1">
      <c r="A480" s="2" t="s">
        <v>1419</v>
      </c>
      <c r="B480" s="2" t="s">
        <v>1419</v>
      </c>
      <c r="C480" s="2" t="s">
        <v>31</v>
      </c>
      <c r="D480" s="2" t="s">
        <v>32</v>
      </c>
      <c r="E480" s="5">
        <v>-30739</v>
      </c>
      <c r="F480" s="3" t="s">
        <v>254</v>
      </c>
      <c r="G480" s="3" t="s">
        <v>377</v>
      </c>
      <c r="H480" s="2" t="s">
        <v>72</v>
      </c>
      <c r="I480" s="2" t="s">
        <v>1420</v>
      </c>
      <c r="J480" s="3" t="str">
        <f>HYPERLINK("https://www.boe.es/gazeta/dias/1815/11/02/pdfs/GMD-1815-137.pdf#page=2","Abrir facsímil")</f>
        <v>Abrir facsímil</v>
      </c>
      <c r="K480" s="3" t="s">
        <v>74</v>
      </c>
    </row>
    <row r="481" spans="1:11" ht="42" customHeight="1">
      <c r="A481" s="2" t="s">
        <v>1421</v>
      </c>
      <c r="B481" s="2" t="s">
        <v>1422</v>
      </c>
      <c r="C481" s="2" t="s">
        <v>31</v>
      </c>
      <c r="D481" s="2" t="s">
        <v>32</v>
      </c>
      <c r="E481" s="5">
        <v>-30818</v>
      </c>
      <c r="F481" s="3" t="s">
        <v>334</v>
      </c>
      <c r="G481" s="3" t="s">
        <v>71</v>
      </c>
      <c r="H481" s="2" t="s">
        <v>72</v>
      </c>
      <c r="I481" s="2" t="s">
        <v>1423</v>
      </c>
      <c r="J481" s="3" t="str">
        <f>HYPERLINK("https://www.boe.es/gazeta/dias/1815/08/15/pdfs/GMD-1815-100.pdf#page=7","Abrir facsímil")</f>
        <v>Abrir facsímil</v>
      </c>
      <c r="K481" s="3" t="s">
        <v>74</v>
      </c>
    </row>
    <row r="482" spans="1:11" ht="42" customHeight="1">
      <c r="A482" s="2" t="s">
        <v>1424</v>
      </c>
      <c r="B482" s="2" t="s">
        <v>1425</v>
      </c>
      <c r="C482" s="2" t="s">
        <v>17</v>
      </c>
      <c r="D482" s="2" t="s">
        <v>18</v>
      </c>
      <c r="E482" s="5">
        <v>-30779</v>
      </c>
      <c r="F482" s="3" t="s">
        <v>1426</v>
      </c>
      <c r="G482" s="3" t="s">
        <v>38</v>
      </c>
      <c r="H482" s="2" t="s">
        <v>72</v>
      </c>
      <c r="I482" s="2" t="s">
        <v>1427</v>
      </c>
      <c r="J482" s="3" t="str">
        <f>HYPERLINK("https://www.boe.es/gazeta/dias/1815/09/23/pdfs/GMD-1815-118.pdf#page=8","Abrir facsímil")</f>
        <v>Abrir facsímil</v>
      </c>
      <c r="K482" s="3" t="s">
        <v>74</v>
      </c>
    </row>
    <row r="483" spans="1:11" ht="42" customHeight="1">
      <c r="A483" s="2" t="s">
        <v>1428</v>
      </c>
      <c r="B483" s="2" t="s">
        <v>1429</v>
      </c>
      <c r="C483" s="2" t="s">
        <v>49</v>
      </c>
      <c r="D483" s="2" t="s">
        <v>50</v>
      </c>
      <c r="E483" s="5">
        <v>-30919</v>
      </c>
      <c r="F483" s="3" t="s">
        <v>792</v>
      </c>
      <c r="G483" s="3" t="s">
        <v>1109</v>
      </c>
      <c r="H483" s="2" t="s">
        <v>72</v>
      </c>
      <c r="I483" s="2" t="s">
        <v>1430</v>
      </c>
      <c r="J483" s="3" t="str">
        <f>HYPERLINK("https://www.boe.es/gazeta/dias/1815/05/06/pdfs/GMD-1815-55.pdf#page=8","Abrir facsímil")</f>
        <v>Abrir facsímil</v>
      </c>
      <c r="K483" s="3" t="s">
        <v>74</v>
      </c>
    </row>
    <row r="484" spans="1:11" ht="42" customHeight="1">
      <c r="A484" s="2" t="s">
        <v>1431</v>
      </c>
      <c r="B484" s="2" t="s">
        <v>1432</v>
      </c>
      <c r="C484" s="2" t="s">
        <v>195</v>
      </c>
      <c r="D484" s="2" t="s">
        <v>50</v>
      </c>
      <c r="E484" s="5">
        <v>-30874</v>
      </c>
      <c r="F484" s="3" t="s">
        <v>208</v>
      </c>
      <c r="G484" s="3" t="s">
        <v>224</v>
      </c>
      <c r="H484" s="2" t="s">
        <v>72</v>
      </c>
      <c r="I484" s="2" t="s">
        <v>1433</v>
      </c>
      <c r="J484" s="3" t="str">
        <f>HYPERLINK("https://www.boe.es/gazeta/dias/1815/06/20/pdfs/GMD-1815-74.pdf#page=9","Abrir facsímil")</f>
        <v>Abrir facsímil</v>
      </c>
      <c r="K484" s="3" t="s">
        <v>74</v>
      </c>
    </row>
    <row r="485" spans="1:11" ht="42" customHeight="1">
      <c r="A485" s="2" t="s">
        <v>1434</v>
      </c>
      <c r="B485" s="2" t="s">
        <v>1435</v>
      </c>
      <c r="C485" s="2" t="s">
        <v>31</v>
      </c>
      <c r="D485" s="2" t="s">
        <v>32</v>
      </c>
      <c r="E485" s="5">
        <v>-30881</v>
      </c>
      <c r="F485" s="3" t="s">
        <v>446</v>
      </c>
      <c r="G485" s="3" t="s">
        <v>1436</v>
      </c>
      <c r="H485" s="2" t="s">
        <v>72</v>
      </c>
      <c r="I485" s="2" t="s">
        <v>1437</v>
      </c>
      <c r="J485" s="3" t="str">
        <f>HYPERLINK("https://www.boe.es/gazeta/dias/1815/06/13/pdfs/GMD-1815-71.pdf#page=9","Abrir facsímil")</f>
        <v>Abrir facsímil</v>
      </c>
      <c r="K485" s="3" t="s">
        <v>74</v>
      </c>
    </row>
    <row r="486" spans="1:11" ht="42" customHeight="1">
      <c r="A486" s="2" t="s">
        <v>1438</v>
      </c>
      <c r="B486" s="2" t="s">
        <v>1439</v>
      </c>
      <c r="C486" s="2" t="s">
        <v>49</v>
      </c>
      <c r="D486" s="2" t="s">
        <v>50</v>
      </c>
      <c r="E486" s="5">
        <v>-30886</v>
      </c>
      <c r="F486" s="3" t="s">
        <v>140</v>
      </c>
      <c r="G486" s="3" t="s">
        <v>224</v>
      </c>
      <c r="H486" s="2" t="s">
        <v>72</v>
      </c>
      <c r="I486" s="2" t="s">
        <v>1440</v>
      </c>
      <c r="J486" s="3" t="str">
        <f>HYPERLINK("https://www.boe.es/gazeta/dias/1815/06/08/pdfs/GMD-1815-69.pdf#page=9","Abrir facsímil")</f>
        <v>Abrir facsímil</v>
      </c>
      <c r="K486" s="3" t="s">
        <v>74</v>
      </c>
    </row>
    <row r="487" spans="1:11" ht="42" customHeight="1">
      <c r="A487" s="2" t="s">
        <v>1441</v>
      </c>
      <c r="B487" s="2" t="s">
        <v>1442</v>
      </c>
      <c r="C487" s="2" t="s">
        <v>31</v>
      </c>
      <c r="D487" s="2" t="s">
        <v>32</v>
      </c>
      <c r="E487" s="5">
        <v>-30961</v>
      </c>
      <c r="F487" s="3" t="s">
        <v>1176</v>
      </c>
      <c r="G487" s="3" t="s">
        <v>38</v>
      </c>
      <c r="H487" s="2" t="s">
        <v>72</v>
      </c>
      <c r="I487" s="2" t="s">
        <v>1443</v>
      </c>
      <c r="J487" s="3" t="str">
        <f>HYPERLINK("https://www.boe.es/gazeta/dias/1815/03/25/pdfs/GMD-1815-36.pdf#page=8","Abrir facsímil")</f>
        <v>Abrir facsímil</v>
      </c>
      <c r="K487" s="3" t="s">
        <v>74</v>
      </c>
    </row>
    <row r="488" spans="1:11" ht="42" customHeight="1">
      <c r="A488" s="2" t="s">
        <v>1444</v>
      </c>
      <c r="B488" s="2" t="s">
        <v>1445</v>
      </c>
      <c r="C488" s="2" t="s">
        <v>17</v>
      </c>
      <c r="D488" s="2" t="s">
        <v>18</v>
      </c>
      <c r="E488" s="5">
        <v>-30795</v>
      </c>
      <c r="F488" s="3" t="s">
        <v>172</v>
      </c>
      <c r="G488" s="3" t="s">
        <v>52</v>
      </c>
      <c r="H488" s="2" t="s">
        <v>72</v>
      </c>
      <c r="I488" s="2" t="s">
        <v>1446</v>
      </c>
      <c r="J488" s="3" t="str">
        <f>HYPERLINK("https://www.boe.es/gazeta/dias/1815/09/07/pdfs/GMD-1815-111.pdf#page=11","Abrir facsímil")</f>
        <v>Abrir facsímil</v>
      </c>
      <c r="K488" s="3" t="s">
        <v>74</v>
      </c>
    </row>
    <row r="489" spans="1:11" ht="42" customHeight="1">
      <c r="A489" s="2" t="s">
        <v>1447</v>
      </c>
      <c r="B489" s="2" t="s">
        <v>1448</v>
      </c>
      <c r="C489" s="2" t="s">
        <v>49</v>
      </c>
      <c r="D489" s="2" t="s">
        <v>50</v>
      </c>
      <c r="E489" s="5">
        <v>-30690</v>
      </c>
      <c r="F489" s="3" t="s">
        <v>1449</v>
      </c>
      <c r="G489" s="3" t="s">
        <v>71</v>
      </c>
      <c r="H489" s="2" t="s">
        <v>72</v>
      </c>
      <c r="I489" s="2" t="s">
        <v>1450</v>
      </c>
      <c r="J489" s="3" t="str">
        <f>HYPERLINK("https://www.boe.es/gazeta/dias/1815/12/21/pdfs/GMD-1815-158.pdf#page=7","Abrir facsímil")</f>
        <v>Abrir facsímil</v>
      </c>
      <c r="K489" s="3" t="s">
        <v>74</v>
      </c>
    </row>
    <row r="490" spans="1:11" ht="42" customHeight="1">
      <c r="A490" s="2" t="s">
        <v>1451</v>
      </c>
      <c r="B490" s="2" t="s">
        <v>1452</v>
      </c>
      <c r="C490" s="2" t="s">
        <v>49</v>
      </c>
      <c r="D490" s="2" t="s">
        <v>50</v>
      </c>
      <c r="E490" s="5">
        <v>-30685</v>
      </c>
      <c r="F490" s="3" t="s">
        <v>1453</v>
      </c>
      <c r="G490" s="3" t="s">
        <v>71</v>
      </c>
      <c r="H490" s="2" t="s">
        <v>72</v>
      </c>
      <c r="I490" s="2" t="s">
        <v>1454</v>
      </c>
      <c r="J490" s="3" t="str">
        <f>HYPERLINK("https://www.boe.es/gazeta/dias/1815/12/26/pdfs/GMD-1815-160.pdf#page=7","Abrir facsímil")</f>
        <v>Abrir facsímil</v>
      </c>
      <c r="K490" s="3" t="s">
        <v>74</v>
      </c>
    </row>
    <row r="491" spans="1:11" ht="42" customHeight="1">
      <c r="A491" s="2" t="s">
        <v>1455</v>
      </c>
      <c r="B491" s="2" t="s">
        <v>1456</v>
      </c>
      <c r="C491" s="2" t="s">
        <v>31</v>
      </c>
      <c r="D491" s="2" t="s">
        <v>32</v>
      </c>
      <c r="E491" s="5">
        <v>-30982</v>
      </c>
      <c r="F491" s="3" t="s">
        <v>220</v>
      </c>
      <c r="G491" s="3" t="s">
        <v>57</v>
      </c>
      <c r="H491" s="2" t="s">
        <v>72</v>
      </c>
      <c r="I491" s="2" t="s">
        <v>1457</v>
      </c>
      <c r="J491" s="3" t="str">
        <f>HYPERLINK("https://www.boe.es/gazeta/dias/1815/03/04/pdfs/GMD-1815-27.pdf#page=5","Abrir facsímil")</f>
        <v>Abrir facsímil</v>
      </c>
      <c r="K491" s="3" t="s">
        <v>74</v>
      </c>
    </row>
    <row r="492" spans="1:11" ht="42" customHeight="1">
      <c r="A492" s="2" t="s">
        <v>1458</v>
      </c>
      <c r="B492" s="2" t="s">
        <v>1459</v>
      </c>
      <c r="C492" s="2" t="s">
        <v>131</v>
      </c>
      <c r="D492" s="2" t="s">
        <v>50</v>
      </c>
      <c r="E492" s="5">
        <v>-30914</v>
      </c>
      <c r="F492" s="3" t="s">
        <v>338</v>
      </c>
      <c r="G492" s="3" t="s">
        <v>276</v>
      </c>
      <c r="H492" s="2" t="s">
        <v>72</v>
      </c>
      <c r="I492" s="2" t="s">
        <v>1460</v>
      </c>
      <c r="J492" s="3" t="str">
        <f>HYPERLINK("https://www.boe.es/gazeta/dias/1815/05/11/pdfs/GMD-1815-57.pdf#page=12","Abrir facsímil")</f>
        <v>Abrir facsímil</v>
      </c>
      <c r="K492" s="3" t="s">
        <v>74</v>
      </c>
    </row>
    <row r="493" spans="1:11" ht="42" customHeight="1">
      <c r="A493" s="2" t="s">
        <v>1461</v>
      </c>
      <c r="B493" s="2" t="s">
        <v>1462</v>
      </c>
      <c r="C493" s="2" t="s">
        <v>31</v>
      </c>
      <c r="D493" s="2" t="s">
        <v>32</v>
      </c>
      <c r="E493" s="5">
        <v>-30982</v>
      </c>
      <c r="F493" s="3" t="s">
        <v>220</v>
      </c>
      <c r="G493" s="3" t="s">
        <v>20</v>
      </c>
      <c r="H493" s="2" t="s">
        <v>72</v>
      </c>
      <c r="I493" s="2" t="s">
        <v>1463</v>
      </c>
      <c r="J493" s="3" t="str">
        <f>HYPERLINK("https://www.boe.es/gazeta/dias/1815/03/04/pdfs/GMD-1815-27.pdf#page=4","Abrir facsímil")</f>
        <v>Abrir facsímil</v>
      </c>
      <c r="K493" s="3" t="s">
        <v>74</v>
      </c>
    </row>
    <row r="494" spans="1:11" ht="42" customHeight="1">
      <c r="A494" s="2" t="s">
        <v>1464</v>
      </c>
      <c r="B494" s="2" t="s">
        <v>1465</v>
      </c>
      <c r="C494" s="2" t="s">
        <v>31</v>
      </c>
      <c r="D494" s="2" t="s">
        <v>32</v>
      </c>
      <c r="E494" s="5">
        <v>-30905</v>
      </c>
      <c r="F494" s="3" t="s">
        <v>901</v>
      </c>
      <c r="G494" s="3" t="s">
        <v>902</v>
      </c>
      <c r="H494" s="2" t="s">
        <v>72</v>
      </c>
      <c r="I494" s="2" t="s">
        <v>1466</v>
      </c>
      <c r="J494" s="3" t="str">
        <f>HYPERLINK("https://www.boe.es/gazeta/dias/1815/05/20/pdfs/GMD-1815-61.pdf#page=8","Abrir facsímil")</f>
        <v>Abrir facsímil</v>
      </c>
      <c r="K494" s="3" t="s">
        <v>74</v>
      </c>
    </row>
    <row r="495" spans="1:11" ht="42" customHeight="1">
      <c r="A495" s="2" t="s">
        <v>1467</v>
      </c>
      <c r="B495" s="2" t="s">
        <v>1467</v>
      </c>
      <c r="C495" s="2" t="s">
        <v>31</v>
      </c>
      <c r="D495" s="2" t="s">
        <v>32</v>
      </c>
      <c r="E495" s="5">
        <v>-30823</v>
      </c>
      <c r="F495" s="3" t="s">
        <v>305</v>
      </c>
      <c r="G495" s="3" t="s">
        <v>306</v>
      </c>
      <c r="H495" s="2" t="s">
        <v>72</v>
      </c>
      <c r="I495" s="2" t="s">
        <v>1468</v>
      </c>
      <c r="J495" s="3" t="str">
        <f>HYPERLINK("https://www.boe.es/gazeta/dias/1815/08/10/pdfs/GMD-1815-98.pdf#page=7","Abrir facsímil")</f>
        <v>Abrir facsímil</v>
      </c>
      <c r="K495" s="3" t="s">
        <v>74</v>
      </c>
    </row>
    <row r="496" spans="1:11" ht="42" customHeight="1">
      <c r="A496" s="2" t="s">
        <v>1469</v>
      </c>
      <c r="B496" s="2" t="s">
        <v>1469</v>
      </c>
      <c r="C496" s="2" t="s">
        <v>195</v>
      </c>
      <c r="D496" s="2" t="s">
        <v>50</v>
      </c>
      <c r="E496" s="5">
        <v>-30821</v>
      </c>
      <c r="F496" s="3" t="s">
        <v>915</v>
      </c>
      <c r="G496" s="3" t="s">
        <v>38</v>
      </c>
      <c r="H496" s="2" t="s">
        <v>72</v>
      </c>
      <c r="I496" s="2" t="s">
        <v>1470</v>
      </c>
      <c r="J496" s="3" t="str">
        <f>HYPERLINK("https://www.boe.es/gazeta/dias/1815/08/12/pdfs/GMD-1815-99.pdf#page=8","Abrir facsímil")</f>
        <v>Abrir facsímil</v>
      </c>
      <c r="K496" s="3" t="s">
        <v>74</v>
      </c>
    </row>
    <row r="497" spans="1:11" ht="42" customHeight="1">
      <c r="A497" s="2" t="s">
        <v>1471</v>
      </c>
      <c r="B497" s="2" t="s">
        <v>1472</v>
      </c>
      <c r="C497" s="2" t="s">
        <v>49</v>
      </c>
      <c r="D497" s="2" t="s">
        <v>50</v>
      </c>
      <c r="E497" s="5">
        <v>-30853</v>
      </c>
      <c r="F497" s="3" t="s">
        <v>1473</v>
      </c>
      <c r="G497" s="3" t="s">
        <v>377</v>
      </c>
      <c r="H497" s="2" t="s">
        <v>72</v>
      </c>
      <c r="I497" s="2" t="s">
        <v>1474</v>
      </c>
      <c r="J497" s="3" t="str">
        <f>HYPERLINK("https://www.boe.es/gazeta/dias/1815/07/11/pdfs/GMD-1815-85.pdf#page=2","Abrir facsímil")</f>
        <v>Abrir facsímil</v>
      </c>
      <c r="K497" s="3" t="s">
        <v>74</v>
      </c>
    </row>
    <row r="498" spans="1:11" ht="42" customHeight="1">
      <c r="A498" s="2" t="s">
        <v>1475</v>
      </c>
      <c r="B498" s="2" t="s">
        <v>1476</v>
      </c>
      <c r="C498" s="2" t="s">
        <v>195</v>
      </c>
      <c r="D498" s="2" t="s">
        <v>50</v>
      </c>
      <c r="E498" s="5">
        <v>-30709</v>
      </c>
      <c r="F498" s="3" t="s">
        <v>314</v>
      </c>
      <c r="G498" s="3" t="s">
        <v>38</v>
      </c>
      <c r="H498" s="2" t="s">
        <v>72</v>
      </c>
      <c r="I498" s="2" t="s">
        <v>1477</v>
      </c>
      <c r="J498" s="3" t="str">
        <f>HYPERLINK("https://www.boe.es/gazeta/dias/1815/12/02/pdfs/GMD-1815-150.pdf#page=8","Abrir facsímil")</f>
        <v>Abrir facsímil</v>
      </c>
      <c r="K498" s="3" t="s">
        <v>74</v>
      </c>
    </row>
    <row r="499" spans="1:11" ht="42" customHeight="1">
      <c r="A499" s="2" t="s">
        <v>1478</v>
      </c>
      <c r="B499" s="2" t="s">
        <v>1479</v>
      </c>
      <c r="C499" s="2" t="s">
        <v>31</v>
      </c>
      <c r="D499" s="2" t="s">
        <v>32</v>
      </c>
      <c r="E499" s="5">
        <v>-30900</v>
      </c>
      <c r="F499" s="3" t="s">
        <v>921</v>
      </c>
      <c r="G499" s="3" t="s">
        <v>88</v>
      </c>
      <c r="H499" s="2" t="s">
        <v>72</v>
      </c>
      <c r="I499" s="2" t="s">
        <v>1480</v>
      </c>
      <c r="J499" s="3" t="str">
        <f>HYPERLINK("https://www.boe.es/gazeta/dias/1815/05/25/pdfs/GMD-1815-63.pdf#page=10","Abrir facsímil")</f>
        <v>Abrir facsímil</v>
      </c>
      <c r="K499" s="3" t="s">
        <v>74</v>
      </c>
    </row>
    <row r="500" spans="1:11" ht="42" customHeight="1">
      <c r="A500" s="2" t="s">
        <v>1481</v>
      </c>
      <c r="B500" s="2" t="s">
        <v>1482</v>
      </c>
      <c r="C500" s="2" t="s">
        <v>49</v>
      </c>
      <c r="D500" s="2" t="s">
        <v>50</v>
      </c>
      <c r="E500" s="5">
        <v>-30886</v>
      </c>
      <c r="F500" s="3" t="s">
        <v>140</v>
      </c>
      <c r="G500" s="3" t="s">
        <v>224</v>
      </c>
      <c r="H500" s="2" t="s">
        <v>72</v>
      </c>
      <c r="I500" s="2" t="s">
        <v>1483</v>
      </c>
      <c r="J500" s="3" t="str">
        <f>HYPERLINK("https://www.boe.es/gazeta/dias/1815/06/08/pdfs/GMD-1815-69.pdf#page=9","Abrir facsímil")</f>
        <v>Abrir facsímil</v>
      </c>
      <c r="K500" s="3" t="s">
        <v>74</v>
      </c>
    </row>
    <row r="501" spans="1:11" ht="42" customHeight="1">
      <c r="A501" s="2" t="s">
        <v>1484</v>
      </c>
      <c r="B501" s="2" t="s">
        <v>1485</v>
      </c>
      <c r="C501" s="2" t="s">
        <v>31</v>
      </c>
      <c r="D501" s="2" t="s">
        <v>32</v>
      </c>
      <c r="E501" s="5">
        <v>-30863</v>
      </c>
      <c r="F501" s="3" t="s">
        <v>110</v>
      </c>
      <c r="G501" s="3" t="s">
        <v>88</v>
      </c>
      <c r="H501" s="2" t="s">
        <v>72</v>
      </c>
      <c r="I501" s="2" t="s">
        <v>1486</v>
      </c>
      <c r="J501" s="3" t="str">
        <f>HYPERLINK("https://www.boe.es/gazeta/dias/1815/07/01/pdfs/GMD-1815-79.pdf#page=10","Abrir facsímil")</f>
        <v>Abrir facsímil</v>
      </c>
      <c r="K501" s="3" t="s">
        <v>74</v>
      </c>
    </row>
    <row r="502" spans="1:11" ht="42" customHeight="1">
      <c r="A502" s="2" t="s">
        <v>1487</v>
      </c>
      <c r="B502" s="2" t="s">
        <v>1488</v>
      </c>
      <c r="C502" s="2" t="s">
        <v>17</v>
      </c>
      <c r="D502" s="2" t="s">
        <v>18</v>
      </c>
      <c r="E502" s="5">
        <v>-30886</v>
      </c>
      <c r="F502" s="3" t="s">
        <v>140</v>
      </c>
      <c r="G502" s="3" t="s">
        <v>52</v>
      </c>
      <c r="H502" s="2" t="s">
        <v>72</v>
      </c>
      <c r="I502" s="2" t="s">
        <v>1489</v>
      </c>
      <c r="J502" s="3" t="str">
        <f>HYPERLINK("https://www.boe.es/gazeta/dias/1815/06/08/pdfs/GMD-1815-69.pdf#page=11","Abrir facsímil")</f>
        <v>Abrir facsímil</v>
      </c>
      <c r="K502" s="3" t="s">
        <v>74</v>
      </c>
    </row>
    <row r="503" spans="1:11" ht="42" customHeight="1">
      <c r="A503" s="2" t="s">
        <v>1490</v>
      </c>
      <c r="B503" s="2" t="s">
        <v>1491</v>
      </c>
      <c r="C503" s="2" t="s">
        <v>195</v>
      </c>
      <c r="D503" s="2" t="s">
        <v>50</v>
      </c>
      <c r="E503" s="5">
        <v>-31003</v>
      </c>
      <c r="F503" s="3" t="s">
        <v>405</v>
      </c>
      <c r="G503" s="3" t="s">
        <v>1136</v>
      </c>
      <c r="H503" s="2" t="s">
        <v>72</v>
      </c>
      <c r="I503" s="2" t="s">
        <v>1492</v>
      </c>
      <c r="J503" s="3" t="str">
        <f>HYPERLINK("https://www.boe.es/gazeta/dias/1815/02/11/pdfs/GMD-1815-18.pdf#page=7","Abrir facsímil")</f>
        <v>Abrir facsímil</v>
      </c>
      <c r="K503" s="3" t="s">
        <v>74</v>
      </c>
    </row>
    <row r="504" spans="1:11" ht="42" customHeight="1">
      <c r="A504" s="2" t="s">
        <v>1493</v>
      </c>
      <c r="B504" s="2" t="s">
        <v>1494</v>
      </c>
      <c r="C504" s="2" t="s">
        <v>49</v>
      </c>
      <c r="D504" s="2" t="s">
        <v>50</v>
      </c>
      <c r="E504" s="5">
        <v>-30886</v>
      </c>
      <c r="F504" s="3" t="s">
        <v>140</v>
      </c>
      <c r="G504" s="3" t="s">
        <v>224</v>
      </c>
      <c r="H504" s="2" t="s">
        <v>72</v>
      </c>
      <c r="I504" s="2" t="s">
        <v>1495</v>
      </c>
      <c r="J504" s="3" t="str">
        <f>HYPERLINK("https://www.boe.es/gazeta/dias/1815/06/08/pdfs/GMD-1815-69.pdf#page=9","Abrir facsímil")</f>
        <v>Abrir facsímil</v>
      </c>
      <c r="K504" s="3" t="s">
        <v>74</v>
      </c>
    </row>
    <row r="505" spans="1:11" ht="42" customHeight="1">
      <c r="A505" s="2" t="s">
        <v>1496</v>
      </c>
      <c r="B505" s="2" t="s">
        <v>1496</v>
      </c>
      <c r="C505" s="2" t="s">
        <v>31</v>
      </c>
      <c r="D505" s="2" t="s">
        <v>32</v>
      </c>
      <c r="E505" s="5">
        <v>-30790</v>
      </c>
      <c r="F505" s="3" t="s">
        <v>285</v>
      </c>
      <c r="G505" s="3" t="s">
        <v>410</v>
      </c>
      <c r="H505" s="2" t="s">
        <v>72</v>
      </c>
      <c r="I505" s="2" t="s">
        <v>1497</v>
      </c>
      <c r="J505" s="3" t="str">
        <f>HYPERLINK("https://www.boe.es/gazeta/dias/1815/09/12/pdfs/GMD-1815-113.pdf#page=1","Abrir facsímil")</f>
        <v>Abrir facsímil</v>
      </c>
      <c r="K505" s="3" t="s">
        <v>74</v>
      </c>
    </row>
    <row r="506" spans="1:11" ht="42" customHeight="1">
      <c r="A506" s="2" t="s">
        <v>1498</v>
      </c>
      <c r="B506" s="2" t="s">
        <v>1499</v>
      </c>
      <c r="C506" s="2" t="s">
        <v>17</v>
      </c>
      <c r="D506" s="2" t="s">
        <v>18</v>
      </c>
      <c r="E506" s="5">
        <v>-31035</v>
      </c>
      <c r="F506" s="3" t="s">
        <v>42</v>
      </c>
      <c r="G506" s="3" t="s">
        <v>20</v>
      </c>
      <c r="H506" s="2" t="s">
        <v>72</v>
      </c>
      <c r="I506" s="2" t="s">
        <v>1500</v>
      </c>
      <c r="J506" s="3" t="str">
        <f>HYPERLINK("https://www.boe.es/gazeta/dias/1815/01/10/pdfs/GMD-1815-4.pdf#page=4","Abrir facsímil")</f>
        <v>Abrir facsímil</v>
      </c>
      <c r="K506" s="3" t="s">
        <v>74</v>
      </c>
    </row>
    <row r="507" spans="1:11" ht="42" customHeight="1">
      <c r="A507" s="2" t="s">
        <v>1501</v>
      </c>
      <c r="B507" s="2" t="s">
        <v>1501</v>
      </c>
      <c r="C507" s="2" t="s">
        <v>31</v>
      </c>
      <c r="D507" s="2" t="s">
        <v>32</v>
      </c>
      <c r="E507" s="5">
        <v>-30688</v>
      </c>
      <c r="F507" s="3" t="s">
        <v>62</v>
      </c>
      <c r="G507" s="3" t="s">
        <v>377</v>
      </c>
      <c r="H507" s="2" t="s">
        <v>72</v>
      </c>
      <c r="I507" s="2" t="s">
        <v>1502</v>
      </c>
      <c r="J507" s="3" t="str">
        <f>HYPERLINK("https://www.boe.es/gazeta/dias/1815/12/23/pdfs/GMD-1815-159.pdf#page=2","Abrir facsímil")</f>
        <v>Abrir facsímil</v>
      </c>
      <c r="K507" s="3" t="s">
        <v>74</v>
      </c>
    </row>
    <row r="508" spans="1:11" ht="42" customHeight="1">
      <c r="A508" s="2" t="s">
        <v>1503</v>
      </c>
      <c r="B508" s="2" t="s">
        <v>1504</v>
      </c>
      <c r="C508" s="2" t="s">
        <v>49</v>
      </c>
      <c r="D508" s="2" t="s">
        <v>50</v>
      </c>
      <c r="E508" s="5">
        <v>-30767</v>
      </c>
      <c r="F508" s="3" t="s">
        <v>228</v>
      </c>
      <c r="G508" s="3" t="s">
        <v>224</v>
      </c>
      <c r="H508" s="2" t="s">
        <v>72</v>
      </c>
      <c r="I508" s="2" t="s">
        <v>1505</v>
      </c>
      <c r="J508" s="3" t="str">
        <f>HYPERLINK("https://www.boe.es/gazeta/dias/1815/10/05/pdfs/GMD-1815-125.pdf#page=9","Abrir facsímil")</f>
        <v>Abrir facsímil</v>
      </c>
      <c r="K508" s="3" t="s">
        <v>74</v>
      </c>
    </row>
    <row r="509" spans="1:11" ht="42" customHeight="1">
      <c r="A509" s="2" t="s">
        <v>1506</v>
      </c>
      <c r="B509" s="2" t="s">
        <v>1507</v>
      </c>
      <c r="C509" s="2" t="s">
        <v>894</v>
      </c>
      <c r="D509" s="2" t="s">
        <v>18</v>
      </c>
      <c r="E509" s="5">
        <v>-30846</v>
      </c>
      <c r="F509" s="3" t="s">
        <v>858</v>
      </c>
      <c r="G509" s="3" t="s">
        <v>57</v>
      </c>
      <c r="H509" s="2" t="s">
        <v>72</v>
      </c>
      <c r="I509" s="2" t="s">
        <v>1508</v>
      </c>
      <c r="J509" s="3" t="str">
        <f>HYPERLINK("https://www.boe.es/gazeta/dias/1815/07/18/pdfs/GMD-1815-88.pdf#page=5","Abrir facsímil")</f>
        <v>Abrir facsímil</v>
      </c>
      <c r="K509" s="3" t="s">
        <v>74</v>
      </c>
    </row>
    <row r="510" spans="1:11" ht="42" customHeight="1">
      <c r="A510" s="2" t="s">
        <v>1509</v>
      </c>
      <c r="B510" s="2" t="s">
        <v>1510</v>
      </c>
      <c r="C510" s="2" t="s">
        <v>195</v>
      </c>
      <c r="D510" s="2" t="s">
        <v>50</v>
      </c>
      <c r="E510" s="5">
        <v>-30949</v>
      </c>
      <c r="F510" s="3" t="s">
        <v>420</v>
      </c>
      <c r="G510" s="3" t="s">
        <v>71</v>
      </c>
      <c r="H510" s="2" t="s">
        <v>72</v>
      </c>
      <c r="I510" s="2" t="s">
        <v>1511</v>
      </c>
      <c r="J510" s="3" t="str">
        <f>HYPERLINK("https://www.boe.es/gazeta/dias/1815/04/06/pdfs/GMD-1815-42.pdf#page=7","Abrir facsímil")</f>
        <v>Abrir facsímil</v>
      </c>
      <c r="K510" s="3" t="s">
        <v>74</v>
      </c>
    </row>
    <row r="511" spans="1:11" ht="42" customHeight="1">
      <c r="A511" s="2" t="s">
        <v>1512</v>
      </c>
      <c r="B511" s="2" t="s">
        <v>1512</v>
      </c>
      <c r="C511" s="2" t="s">
        <v>31</v>
      </c>
      <c r="D511" s="2" t="s">
        <v>32</v>
      </c>
      <c r="E511" s="5">
        <v>-30809</v>
      </c>
      <c r="F511" s="3" t="s">
        <v>82</v>
      </c>
      <c r="G511" s="3" t="s">
        <v>377</v>
      </c>
      <c r="H511" s="2" t="s">
        <v>72</v>
      </c>
      <c r="I511" s="2" t="s">
        <v>1513</v>
      </c>
      <c r="J511" s="3" t="str">
        <f>HYPERLINK("https://www.boe.es/gazeta/dias/1815/08/24/pdfs/GMD-1815-104.pdf#page=2","Abrir facsímil")</f>
        <v>Abrir facsímil</v>
      </c>
      <c r="K511" s="3" t="s">
        <v>74</v>
      </c>
    </row>
    <row r="512" spans="1:11" ht="42" customHeight="1">
      <c r="A512" s="2" t="s">
        <v>1512</v>
      </c>
      <c r="B512" s="2" t="s">
        <v>1512</v>
      </c>
      <c r="C512" s="2" t="s">
        <v>31</v>
      </c>
      <c r="D512" s="2" t="s">
        <v>32</v>
      </c>
      <c r="E512" s="5">
        <v>-30786</v>
      </c>
      <c r="F512" s="3" t="s">
        <v>558</v>
      </c>
      <c r="G512" s="3" t="s">
        <v>410</v>
      </c>
      <c r="H512" s="2" t="s">
        <v>72</v>
      </c>
      <c r="I512" s="2" t="s">
        <v>1514</v>
      </c>
      <c r="J512" s="3" t="str">
        <f>HYPERLINK("https://www.boe.es/gazeta/dias/1815/09/16/pdfs/GMD-1815-115.pdf#page=1","Abrir facsímil")</f>
        <v>Abrir facsímil</v>
      </c>
      <c r="K512" s="3" t="s">
        <v>74</v>
      </c>
    </row>
    <row r="513" spans="1:11" ht="42" customHeight="1">
      <c r="A513" s="2" t="s">
        <v>1512</v>
      </c>
      <c r="B513" s="2" t="s">
        <v>1512</v>
      </c>
      <c r="C513" s="2" t="s">
        <v>31</v>
      </c>
      <c r="D513" s="2" t="s">
        <v>32</v>
      </c>
      <c r="E513" s="5">
        <v>-30783</v>
      </c>
      <c r="F513" s="3" t="s">
        <v>423</v>
      </c>
      <c r="G513" s="3" t="s">
        <v>377</v>
      </c>
      <c r="H513" s="2" t="s">
        <v>72</v>
      </c>
      <c r="I513" s="2" t="s">
        <v>1515</v>
      </c>
      <c r="J513" s="3" t="str">
        <f>HYPERLINK("https://www.boe.es/gazeta/dias/1815/09/19/pdfs/GMD-1815-116.pdf#page=2","Abrir facsímil")</f>
        <v>Abrir facsímil</v>
      </c>
      <c r="K513" s="3" t="s">
        <v>74</v>
      </c>
    </row>
    <row r="514" spans="1:11" ht="42" customHeight="1">
      <c r="A514" s="2" t="s">
        <v>1512</v>
      </c>
      <c r="B514" s="2" t="s">
        <v>1512</v>
      </c>
      <c r="C514" s="2" t="s">
        <v>31</v>
      </c>
      <c r="D514" s="2" t="s">
        <v>32</v>
      </c>
      <c r="E514" s="5">
        <v>-30767</v>
      </c>
      <c r="F514" s="3" t="s">
        <v>228</v>
      </c>
      <c r="G514" s="3" t="s">
        <v>1516</v>
      </c>
      <c r="H514" s="2" t="s">
        <v>72</v>
      </c>
      <c r="I514" s="2" t="s">
        <v>1517</v>
      </c>
      <c r="J514" s="3" t="str">
        <f>HYPERLINK("https://www.boe.es/gazeta/dias/1815/10/05/pdfs/GMD-1815-125.pdf#page=4","Abrir facsímil")</f>
        <v>Abrir facsímil</v>
      </c>
      <c r="K514" s="3" t="s">
        <v>74</v>
      </c>
    </row>
    <row r="515" spans="1:11" ht="42" customHeight="1">
      <c r="A515" s="2" t="s">
        <v>1518</v>
      </c>
      <c r="B515" s="2" t="s">
        <v>1518</v>
      </c>
      <c r="C515" s="2" t="s">
        <v>49</v>
      </c>
      <c r="D515" s="2" t="s">
        <v>50</v>
      </c>
      <c r="E515" s="5">
        <v>-30751</v>
      </c>
      <c r="F515" s="3" t="s">
        <v>819</v>
      </c>
      <c r="G515" s="3" t="s">
        <v>820</v>
      </c>
      <c r="H515" s="2" t="s">
        <v>72</v>
      </c>
      <c r="I515" s="2" t="s">
        <v>1519</v>
      </c>
      <c r="J515" s="3" t="str">
        <f>HYPERLINK("https://www.boe.es/gazeta/dias/1815/10/21/pdfs/GMD-1815-132.pdf#page=4","Abrir facsímil")</f>
        <v>Abrir facsímil</v>
      </c>
      <c r="K515" s="3" t="s">
        <v>74</v>
      </c>
    </row>
    <row r="516" spans="1:11" ht="42" customHeight="1">
      <c r="A516" s="2" t="s">
        <v>1520</v>
      </c>
      <c r="B516" s="2" t="s">
        <v>1520</v>
      </c>
      <c r="C516" s="2" t="s">
        <v>31</v>
      </c>
      <c r="D516" s="2" t="s">
        <v>32</v>
      </c>
      <c r="E516" s="5">
        <v>-30797</v>
      </c>
      <c r="F516" s="3" t="s">
        <v>248</v>
      </c>
      <c r="G516" s="3" t="s">
        <v>410</v>
      </c>
      <c r="H516" s="2" t="s">
        <v>72</v>
      </c>
      <c r="I516" s="2" t="s">
        <v>1521</v>
      </c>
      <c r="J516" s="3" t="str">
        <f>HYPERLINK("https://www.boe.es/gazeta/dias/1815/09/05/pdfs/GMD-1815-110.pdf#page=1","Abrir facsímil")</f>
        <v>Abrir facsímil</v>
      </c>
      <c r="K516" s="3" t="s">
        <v>74</v>
      </c>
    </row>
    <row r="517" spans="1:11" ht="42" customHeight="1">
      <c r="A517" s="2" t="s">
        <v>1522</v>
      </c>
      <c r="B517" s="2" t="s">
        <v>1522</v>
      </c>
      <c r="C517" s="2" t="s">
        <v>31</v>
      </c>
      <c r="D517" s="2" t="s">
        <v>32</v>
      </c>
      <c r="E517" s="5">
        <v>-30790</v>
      </c>
      <c r="F517" s="3" t="s">
        <v>285</v>
      </c>
      <c r="G517" s="3" t="s">
        <v>97</v>
      </c>
      <c r="H517" s="2" t="s">
        <v>72</v>
      </c>
      <c r="I517" s="2" t="s">
        <v>1523</v>
      </c>
      <c r="J517" s="3" t="str">
        <f>HYPERLINK("https://www.boe.es/gazeta/dias/1815/09/12/pdfs/GMD-1815-113.pdf#page=3","Abrir facsímil")</f>
        <v>Abrir facsímil</v>
      </c>
      <c r="K517" s="3" t="s">
        <v>74</v>
      </c>
    </row>
    <row r="518" spans="1:11" ht="42" customHeight="1">
      <c r="A518" s="2" t="s">
        <v>1524</v>
      </c>
      <c r="B518" s="2" t="s">
        <v>1525</v>
      </c>
      <c r="C518" s="2" t="s">
        <v>61</v>
      </c>
      <c r="D518" s="2" t="s">
        <v>50</v>
      </c>
      <c r="E518" s="5">
        <v>-30851</v>
      </c>
      <c r="F518" s="3" t="s">
        <v>442</v>
      </c>
      <c r="G518" s="3" t="s">
        <v>20</v>
      </c>
      <c r="H518" s="2" t="s">
        <v>72</v>
      </c>
      <c r="I518" s="2" t="s">
        <v>1526</v>
      </c>
      <c r="J518" s="3" t="str">
        <f>HYPERLINK("https://www.boe.es/gazeta/dias/1815/07/13/pdfs/GMD-1815-86.pdf#page=4","Abrir facsímil")</f>
        <v>Abrir facsímil</v>
      </c>
      <c r="K518" s="3" t="s">
        <v>74</v>
      </c>
    </row>
    <row r="519" spans="1:11" ht="42" customHeight="1">
      <c r="A519" s="2" t="s">
        <v>1527</v>
      </c>
      <c r="B519" s="2" t="s">
        <v>1528</v>
      </c>
      <c r="C519" s="2" t="s">
        <v>17</v>
      </c>
      <c r="D519" s="2" t="s">
        <v>18</v>
      </c>
      <c r="E519" s="5">
        <v>-30772</v>
      </c>
      <c r="F519" s="3" t="s">
        <v>216</v>
      </c>
      <c r="G519" s="3" t="s">
        <v>71</v>
      </c>
      <c r="H519" s="2" t="s">
        <v>72</v>
      </c>
      <c r="I519" s="2" t="s">
        <v>1529</v>
      </c>
      <c r="J519" s="3" t="str">
        <f>HYPERLINK("https://www.boe.es/gazeta/dias/1815/09/30/pdfs/GMD-1815-123.pdf#page=7","Abrir facsímil")</f>
        <v>Abrir facsímil</v>
      </c>
      <c r="K519" s="3" t="s">
        <v>74</v>
      </c>
    </row>
    <row r="520" spans="1:11" ht="42" customHeight="1">
      <c r="A520" s="2" t="s">
        <v>1530</v>
      </c>
      <c r="B520" s="2" t="s">
        <v>1531</v>
      </c>
      <c r="C520" s="2" t="s">
        <v>897</v>
      </c>
      <c r="D520" s="2" t="s">
        <v>50</v>
      </c>
      <c r="E520" s="5">
        <v>-30842</v>
      </c>
      <c r="F520" s="3" t="s">
        <v>126</v>
      </c>
      <c r="G520" s="3" t="s">
        <v>276</v>
      </c>
      <c r="H520" s="2" t="s">
        <v>72</v>
      </c>
      <c r="I520" s="2" t="s">
        <v>1532</v>
      </c>
      <c r="J520" s="3" t="str">
        <f>HYPERLINK("https://www.boe.es/gazeta/dias/1815/07/22/pdfs/GMD-1815-90.pdf#page=12","Abrir facsímil")</f>
        <v>Abrir facsímil</v>
      </c>
      <c r="K520" s="3" t="s">
        <v>74</v>
      </c>
    </row>
    <row r="521" spans="1:11" ht="42" customHeight="1">
      <c r="A521" s="2" t="s">
        <v>1533</v>
      </c>
      <c r="B521" s="2" t="s">
        <v>1534</v>
      </c>
      <c r="C521" s="2" t="s">
        <v>17</v>
      </c>
      <c r="D521" s="2" t="s">
        <v>18</v>
      </c>
      <c r="E521" s="5">
        <v>-30725</v>
      </c>
      <c r="F521" s="3" t="s">
        <v>1535</v>
      </c>
      <c r="G521" s="3" t="s">
        <v>1536</v>
      </c>
      <c r="H521" s="2" t="s">
        <v>72</v>
      </c>
      <c r="I521" s="2" t="s">
        <v>1537</v>
      </c>
      <c r="J521" s="3" t="str">
        <f>HYPERLINK("https://www.boe.es/gazeta/dias/1815/11/16/pdfs/GMD-1815-143.pdf#page=8","Abrir facsímil")</f>
        <v>Abrir facsímil</v>
      </c>
      <c r="K521" s="3" t="s">
        <v>74</v>
      </c>
    </row>
    <row r="522" spans="1:11" ht="42" customHeight="1">
      <c r="A522" s="2" t="s">
        <v>1538</v>
      </c>
      <c r="B522" s="2" t="s">
        <v>1539</v>
      </c>
      <c r="C522" s="2" t="s">
        <v>31</v>
      </c>
      <c r="D522" s="2" t="s">
        <v>32</v>
      </c>
      <c r="E522" s="5">
        <v>-30725</v>
      </c>
      <c r="F522" s="3" t="s">
        <v>1535</v>
      </c>
      <c r="G522" s="3" t="s">
        <v>57</v>
      </c>
      <c r="H522" s="2" t="s">
        <v>21</v>
      </c>
      <c r="I522" s="2" t="s">
        <v>1540</v>
      </c>
      <c r="J522" s="3" t="str">
        <f>HYPERLINK("https://www.boe.es/gazeta/dias/1815/11/16/pdfs/GMD-1815-143.pdf#page=5","Abrir facsímil")</f>
        <v>Abrir facsímil</v>
      </c>
      <c r="K522" s="3" t="s">
        <v>23</v>
      </c>
    </row>
    <row r="523" spans="1:11" ht="42" customHeight="1">
      <c r="A523" s="2" t="s">
        <v>1541</v>
      </c>
      <c r="B523" s="2" t="s">
        <v>1541</v>
      </c>
      <c r="C523" s="2" t="s">
        <v>31</v>
      </c>
      <c r="D523" s="2" t="s">
        <v>32</v>
      </c>
      <c r="E523" s="5">
        <v>-30811</v>
      </c>
      <c r="F523" s="3" t="s">
        <v>293</v>
      </c>
      <c r="G523" s="3" t="s">
        <v>377</v>
      </c>
      <c r="H523" s="2" t="s">
        <v>72</v>
      </c>
      <c r="I523" s="2" t="s">
        <v>1542</v>
      </c>
      <c r="J523" s="3" t="str">
        <f>HYPERLINK("https://www.boe.es/gazeta/dias/1815/08/22/pdfs/GMD-1815-103.pdf#page=2","Abrir facsímil")</f>
        <v>Abrir facsímil</v>
      </c>
      <c r="K523" s="3" t="s">
        <v>74</v>
      </c>
    </row>
    <row r="524" spans="1:11" ht="42" customHeight="1">
      <c r="A524" s="2" t="s">
        <v>1543</v>
      </c>
      <c r="B524" s="2" t="s">
        <v>1544</v>
      </c>
      <c r="C524" s="2" t="s">
        <v>31</v>
      </c>
      <c r="D524" s="2" t="s">
        <v>32</v>
      </c>
      <c r="E524" s="5">
        <v>-30893</v>
      </c>
      <c r="F524" s="3" t="s">
        <v>132</v>
      </c>
      <c r="G524" s="3" t="s">
        <v>155</v>
      </c>
      <c r="H524" s="2" t="s">
        <v>72</v>
      </c>
      <c r="I524" s="2" t="s">
        <v>1545</v>
      </c>
      <c r="J524" s="3" t="str">
        <f>HYPERLINK("https://www.boe.es/gazeta/dias/1815/06/01/pdfs/GMD-1815-66.pdf#page=6","Abrir facsímil")</f>
        <v>Abrir facsímil</v>
      </c>
      <c r="K524" s="3" t="s">
        <v>74</v>
      </c>
    </row>
    <row r="525" spans="1:11" ht="42" customHeight="1">
      <c r="A525" s="2" t="s">
        <v>1546</v>
      </c>
      <c r="B525" s="2" t="s">
        <v>1546</v>
      </c>
      <c r="C525" s="2" t="s">
        <v>31</v>
      </c>
      <c r="D525" s="2" t="s">
        <v>32</v>
      </c>
      <c r="E525" s="5">
        <v>-30870</v>
      </c>
      <c r="F525" s="3" t="s">
        <v>122</v>
      </c>
      <c r="G525" s="3" t="s">
        <v>57</v>
      </c>
      <c r="H525" s="2" t="s">
        <v>72</v>
      </c>
      <c r="I525" s="2" t="s">
        <v>1547</v>
      </c>
      <c r="J525" s="3" t="str">
        <f>HYPERLINK("https://www.boe.es/gazeta/dias/1815/06/24/pdfs/GMD-1815-76.pdf#page=5","Abrir facsímil")</f>
        <v>Abrir facsímil</v>
      </c>
      <c r="K525" s="3" t="s">
        <v>74</v>
      </c>
    </row>
    <row r="526" spans="1:11" ht="42" customHeight="1">
      <c r="A526" s="2" t="s">
        <v>1546</v>
      </c>
      <c r="B526" s="2" t="s">
        <v>1546</v>
      </c>
      <c r="C526" s="2" t="s">
        <v>31</v>
      </c>
      <c r="D526" s="2" t="s">
        <v>32</v>
      </c>
      <c r="E526" s="5">
        <v>-30786</v>
      </c>
      <c r="F526" s="3" t="s">
        <v>558</v>
      </c>
      <c r="G526" s="3" t="s">
        <v>1548</v>
      </c>
      <c r="H526" s="2" t="s">
        <v>72</v>
      </c>
      <c r="I526" s="2" t="s">
        <v>1549</v>
      </c>
      <c r="J526" s="3" t="str">
        <f>HYPERLINK("https://www.boe.es/gazeta/dias/1815/09/16/pdfs/GMD-1815-115.pdf#page=2","Abrir facsímil")</f>
        <v>Abrir facsímil</v>
      </c>
      <c r="K526" s="3" t="s">
        <v>74</v>
      </c>
    </row>
    <row r="527" spans="1:11" ht="42" customHeight="1">
      <c r="A527" s="2" t="s">
        <v>1546</v>
      </c>
      <c r="B527" s="2" t="s">
        <v>1546</v>
      </c>
      <c r="C527" s="2" t="s">
        <v>31</v>
      </c>
      <c r="D527" s="2" t="s">
        <v>32</v>
      </c>
      <c r="E527" s="5">
        <v>-30739</v>
      </c>
      <c r="F527" s="3" t="s">
        <v>254</v>
      </c>
      <c r="G527" s="3" t="s">
        <v>377</v>
      </c>
      <c r="H527" s="2" t="s">
        <v>72</v>
      </c>
      <c r="I527" s="2" t="s">
        <v>1550</v>
      </c>
      <c r="J527" s="3" t="str">
        <f>HYPERLINK("https://www.boe.es/gazeta/dias/1815/11/02/pdfs/GMD-1815-137.pdf#page=2","Abrir facsímil")</f>
        <v>Abrir facsímil</v>
      </c>
      <c r="K527" s="3" t="s">
        <v>74</v>
      </c>
    </row>
    <row r="528" spans="1:11" ht="42" customHeight="1">
      <c r="A528" s="2" t="s">
        <v>1551</v>
      </c>
      <c r="B528" s="2" t="s">
        <v>1552</v>
      </c>
      <c r="C528" s="2" t="s">
        <v>49</v>
      </c>
      <c r="D528" s="2" t="s">
        <v>50</v>
      </c>
      <c r="E528" s="5">
        <v>-30870</v>
      </c>
      <c r="F528" s="3" t="s">
        <v>122</v>
      </c>
      <c r="G528" s="3" t="s">
        <v>88</v>
      </c>
      <c r="H528" s="2" t="s">
        <v>72</v>
      </c>
      <c r="I528" s="2" t="s">
        <v>1553</v>
      </c>
      <c r="J528" s="3" t="str">
        <f>HYPERLINK("https://www.boe.es/gazeta/dias/1815/06/24/pdfs/GMD-1815-76.pdf#page=10","Abrir facsímil")</f>
        <v>Abrir facsímil</v>
      </c>
      <c r="K528" s="3" t="s">
        <v>74</v>
      </c>
    </row>
    <row r="529" spans="1:11" ht="42" customHeight="1">
      <c r="A529" s="2" t="s">
        <v>1554</v>
      </c>
      <c r="B529" s="2" t="s">
        <v>1555</v>
      </c>
      <c r="C529" s="2" t="s">
        <v>31</v>
      </c>
      <c r="D529" s="2" t="s">
        <v>32</v>
      </c>
      <c r="E529" s="5">
        <v>-30697</v>
      </c>
      <c r="F529" s="3" t="s">
        <v>381</v>
      </c>
      <c r="G529" s="3" t="s">
        <v>1556</v>
      </c>
      <c r="H529" s="2" t="s">
        <v>72</v>
      </c>
      <c r="I529" s="2" t="s">
        <v>1557</v>
      </c>
      <c r="J529" s="3" t="str">
        <f>HYPERLINK("https://www.boe.es/gazeta/dias/1815/12/14/pdfs/GMD-1815-155.pdf#page=8","Abrir facsímil")</f>
        <v>Abrir facsímil</v>
      </c>
      <c r="K529" s="3" t="s">
        <v>74</v>
      </c>
    </row>
    <row r="530" spans="1:11" ht="42" customHeight="1">
      <c r="A530" s="2" t="s">
        <v>1558</v>
      </c>
      <c r="B530" s="2" t="s">
        <v>1558</v>
      </c>
      <c r="C530" s="2" t="s">
        <v>31</v>
      </c>
      <c r="D530" s="2" t="s">
        <v>32</v>
      </c>
      <c r="E530" s="5">
        <v>-30744</v>
      </c>
      <c r="F530" s="3" t="s">
        <v>391</v>
      </c>
      <c r="G530" s="3" t="s">
        <v>97</v>
      </c>
      <c r="H530" s="2" t="s">
        <v>72</v>
      </c>
      <c r="I530" s="2" t="s">
        <v>1559</v>
      </c>
      <c r="J530" s="3" t="str">
        <f>HYPERLINK("https://www.boe.es/gazeta/dias/1815/10/28/pdfs/GMD-1815-135.pdf#page=3","Abrir facsímil")</f>
        <v>Abrir facsímil</v>
      </c>
      <c r="K530" s="3" t="s">
        <v>74</v>
      </c>
    </row>
    <row r="531" spans="1:11" ht="42" customHeight="1">
      <c r="A531" s="2" t="s">
        <v>1560</v>
      </c>
      <c r="B531" s="2" t="s">
        <v>1561</v>
      </c>
      <c r="C531" s="2" t="s">
        <v>31</v>
      </c>
      <c r="D531" s="2" t="s">
        <v>32</v>
      </c>
      <c r="E531" s="5">
        <v>-31031</v>
      </c>
      <c r="F531" s="3" t="s">
        <v>105</v>
      </c>
      <c r="G531" s="3" t="s">
        <v>97</v>
      </c>
      <c r="H531" s="2" t="s">
        <v>72</v>
      </c>
      <c r="I531" s="2" t="s">
        <v>1562</v>
      </c>
      <c r="J531" s="3" t="str">
        <f>HYPERLINK("https://www.boe.es/gazeta/dias/1815/01/14/pdfs/GMD-1815-6.pdf#page=3","Abrir facsímil")</f>
        <v>Abrir facsímil</v>
      </c>
      <c r="K531" s="3" t="s">
        <v>74</v>
      </c>
    </row>
    <row r="532" spans="1:11" ht="42" customHeight="1">
      <c r="A532" s="2" t="s">
        <v>1563</v>
      </c>
      <c r="B532" s="2" t="s">
        <v>1564</v>
      </c>
      <c r="C532" s="2" t="s">
        <v>195</v>
      </c>
      <c r="D532" s="2" t="s">
        <v>50</v>
      </c>
      <c r="E532" s="5">
        <v>-30874</v>
      </c>
      <c r="F532" s="3" t="s">
        <v>208</v>
      </c>
      <c r="G532" s="3" t="s">
        <v>71</v>
      </c>
      <c r="H532" s="2" t="s">
        <v>72</v>
      </c>
      <c r="I532" s="2" t="s">
        <v>1565</v>
      </c>
      <c r="J532" s="3" t="str">
        <f>HYPERLINK("https://www.boe.es/gazeta/dias/1815/06/20/pdfs/GMD-1815-74.pdf#page=7","Abrir facsímil")</f>
        <v>Abrir facsímil</v>
      </c>
      <c r="K532" s="3" t="s">
        <v>74</v>
      </c>
    </row>
    <row r="533" spans="1:11" ht="42" customHeight="1">
      <c r="A533" s="2" t="s">
        <v>1566</v>
      </c>
      <c r="B533" s="2" t="s">
        <v>1567</v>
      </c>
      <c r="C533" s="2" t="s">
        <v>31</v>
      </c>
      <c r="D533" s="2" t="s">
        <v>32</v>
      </c>
      <c r="E533" s="5">
        <v>-30872</v>
      </c>
      <c r="F533" s="3" t="s">
        <v>167</v>
      </c>
      <c r="G533" s="3" t="s">
        <v>27</v>
      </c>
      <c r="H533" s="2" t="s">
        <v>72</v>
      </c>
      <c r="I533" s="2" t="s">
        <v>1568</v>
      </c>
      <c r="J533" s="3" t="str">
        <f>HYPERLINK("https://www.boe.es/gazeta/dias/1815/06/22/pdfs/GMD-1815-75.pdf#page=6","Abrir facsímil")</f>
        <v>Abrir facsímil</v>
      </c>
      <c r="K533" s="3" t="s">
        <v>74</v>
      </c>
    </row>
    <row r="534" spans="1:11" ht="42" customHeight="1">
      <c r="A534" s="2" t="s">
        <v>1566</v>
      </c>
      <c r="B534" s="2" t="s">
        <v>1567</v>
      </c>
      <c r="C534" s="2" t="s">
        <v>49</v>
      </c>
      <c r="D534" s="2" t="s">
        <v>50</v>
      </c>
      <c r="E534" s="5">
        <v>-30870</v>
      </c>
      <c r="F534" s="3" t="s">
        <v>122</v>
      </c>
      <c r="G534" s="3" t="s">
        <v>71</v>
      </c>
      <c r="H534" s="2" t="s">
        <v>72</v>
      </c>
      <c r="I534" s="2" t="s">
        <v>1569</v>
      </c>
      <c r="J534" s="3" t="str">
        <f>HYPERLINK("https://www.boe.es/gazeta/dias/1815/06/24/pdfs/GMD-1815-76.pdf#page=7","Abrir facsímil")</f>
        <v>Abrir facsímil</v>
      </c>
      <c r="K534" s="3" t="s">
        <v>74</v>
      </c>
    </row>
    <row r="535" spans="1:11" ht="42" customHeight="1">
      <c r="A535" s="2" t="s">
        <v>1570</v>
      </c>
      <c r="B535" s="2" t="s">
        <v>1571</v>
      </c>
      <c r="C535" s="2" t="s">
        <v>17</v>
      </c>
      <c r="D535" s="2" t="s">
        <v>18</v>
      </c>
      <c r="E535" s="5">
        <v>-30951</v>
      </c>
      <c r="F535" s="3" t="s">
        <v>87</v>
      </c>
      <c r="G535" s="3" t="s">
        <v>57</v>
      </c>
      <c r="H535" s="2" t="s">
        <v>21</v>
      </c>
      <c r="I535" s="2" t="s">
        <v>1572</v>
      </c>
      <c r="J535" s="3" t="str">
        <f>HYPERLINK("https://www.boe.es/gazeta/dias/1815/04/04/pdfs/GMD-1815-41.pdf#page=5","Abrir facsímil")</f>
        <v>Abrir facsímil</v>
      </c>
      <c r="K535" s="3" t="s">
        <v>23</v>
      </c>
    </row>
    <row r="536" spans="1:11" ht="42" customHeight="1">
      <c r="A536" s="2" t="s">
        <v>1573</v>
      </c>
      <c r="B536" s="2" t="s">
        <v>1574</v>
      </c>
      <c r="C536" s="2" t="s">
        <v>31</v>
      </c>
      <c r="D536" s="2" t="s">
        <v>32</v>
      </c>
      <c r="E536" s="5">
        <v>-30788</v>
      </c>
      <c r="F536" s="3" t="s">
        <v>96</v>
      </c>
      <c r="G536" s="3" t="s">
        <v>97</v>
      </c>
      <c r="H536" s="2" t="s">
        <v>72</v>
      </c>
      <c r="I536" s="2" t="s">
        <v>1575</v>
      </c>
      <c r="J536" s="3" t="str">
        <f>HYPERLINK("https://www.boe.es/gazeta/dias/1815/09/14/pdfs/GMD-1815-114.pdf#page=3","Abrir facsímil")</f>
        <v>Abrir facsímil</v>
      </c>
      <c r="K536" s="3" t="s">
        <v>74</v>
      </c>
    </row>
    <row r="537" spans="1:11" ht="42" customHeight="1">
      <c r="A537" s="2" t="s">
        <v>1576</v>
      </c>
      <c r="B537" s="2" t="s">
        <v>1577</v>
      </c>
      <c r="C537" s="2" t="s">
        <v>195</v>
      </c>
      <c r="D537" s="2" t="s">
        <v>50</v>
      </c>
      <c r="E537" s="5">
        <v>-31003</v>
      </c>
      <c r="F537" s="3" t="s">
        <v>405</v>
      </c>
      <c r="G537" s="3" t="s">
        <v>1136</v>
      </c>
      <c r="H537" s="2" t="s">
        <v>72</v>
      </c>
      <c r="I537" s="2" t="s">
        <v>1578</v>
      </c>
      <c r="J537" s="3" t="str">
        <f>HYPERLINK("https://www.boe.es/gazeta/dias/1815/02/11/pdfs/GMD-1815-18.pdf#page=7","Abrir facsímil")</f>
        <v>Abrir facsímil</v>
      </c>
      <c r="K537" s="3" t="s">
        <v>74</v>
      </c>
    </row>
    <row r="538" spans="1:11" ht="42" customHeight="1">
      <c r="A538" s="2" t="s">
        <v>1579</v>
      </c>
      <c r="B538" s="2" t="s">
        <v>1580</v>
      </c>
      <c r="C538" s="2" t="s">
        <v>49</v>
      </c>
      <c r="D538" s="2" t="s">
        <v>50</v>
      </c>
      <c r="E538" s="5">
        <v>-31040</v>
      </c>
      <c r="F538" s="3" t="s">
        <v>326</v>
      </c>
      <c r="G538" s="3" t="s">
        <v>27</v>
      </c>
      <c r="H538" s="2" t="s">
        <v>21</v>
      </c>
      <c r="I538" s="2" t="s">
        <v>1581</v>
      </c>
      <c r="J538" s="3" t="str">
        <f>HYPERLINK("https://www.boe.es/gazeta/dias/1815/01/05/pdfs/GMD-1815-2.pdf#page=6","Abrir facsímil")</f>
        <v>Abrir facsímil</v>
      </c>
      <c r="K538" s="3" t="s">
        <v>23</v>
      </c>
    </row>
    <row r="539" spans="1:11" ht="42" customHeight="1">
      <c r="A539" s="2" t="s">
        <v>1582</v>
      </c>
      <c r="B539" s="2" t="s">
        <v>1583</v>
      </c>
      <c r="C539" s="2" t="s">
        <v>17</v>
      </c>
      <c r="D539" s="2" t="s">
        <v>18</v>
      </c>
      <c r="E539" s="5">
        <v>-31007</v>
      </c>
      <c r="F539" s="3" t="s">
        <v>200</v>
      </c>
      <c r="G539" s="3" t="s">
        <v>201</v>
      </c>
      <c r="H539" s="2" t="s">
        <v>72</v>
      </c>
      <c r="I539" s="2" t="s">
        <v>1584</v>
      </c>
      <c r="J539" s="3" t="str">
        <f>HYPERLINK("https://www.boe.es/gazeta/dias/1815/02/07/pdfs/GMD-1815-16.pdf#page=10","Abrir facsímil")</f>
        <v>Abrir facsímil</v>
      </c>
      <c r="K539" s="3" t="s">
        <v>74</v>
      </c>
    </row>
    <row r="540" spans="1:11" ht="42" customHeight="1">
      <c r="A540" s="2" t="s">
        <v>1585</v>
      </c>
      <c r="B540" s="2" t="s">
        <v>1586</v>
      </c>
      <c r="C540" s="2" t="s">
        <v>49</v>
      </c>
      <c r="D540" s="2" t="s">
        <v>50</v>
      </c>
      <c r="E540" s="5">
        <v>-30870</v>
      </c>
      <c r="F540" s="3" t="s">
        <v>122</v>
      </c>
      <c r="G540" s="3" t="s">
        <v>52</v>
      </c>
      <c r="H540" s="2" t="s">
        <v>72</v>
      </c>
      <c r="I540" s="2" t="s">
        <v>1587</v>
      </c>
      <c r="J540" s="3" t="str">
        <f>HYPERLINK("https://www.boe.es/gazeta/dias/1815/06/24/pdfs/GMD-1815-76.pdf#page=11","Abrir facsímil")</f>
        <v>Abrir facsímil</v>
      </c>
      <c r="K540" s="3" t="s">
        <v>74</v>
      </c>
    </row>
    <row r="541" spans="1:11" ht="42" customHeight="1">
      <c r="A541" s="2" t="s">
        <v>1588</v>
      </c>
      <c r="B541" s="2" t="s">
        <v>1589</v>
      </c>
      <c r="C541" s="2" t="s">
        <v>31</v>
      </c>
      <c r="D541" s="2" t="s">
        <v>32</v>
      </c>
      <c r="E541" s="5">
        <v>-30975</v>
      </c>
      <c r="F541" s="3" t="s">
        <v>1194</v>
      </c>
      <c r="G541" s="3" t="s">
        <v>57</v>
      </c>
      <c r="H541" s="2" t="s">
        <v>72</v>
      </c>
      <c r="I541" s="2" t="s">
        <v>1590</v>
      </c>
      <c r="J541" s="3" t="str">
        <f>HYPERLINK("https://www.boe.es/gazeta/dias/1815/03/11/pdfs/GMD-1815-30.pdf#page=5","Abrir facsímil")</f>
        <v>Abrir facsímil</v>
      </c>
      <c r="K541" s="3" t="s">
        <v>74</v>
      </c>
    </row>
    <row r="542" spans="1:11" ht="42" customHeight="1">
      <c r="A542" s="2" t="s">
        <v>1591</v>
      </c>
      <c r="B542" s="2" t="s">
        <v>1592</v>
      </c>
      <c r="C542" s="2" t="s">
        <v>195</v>
      </c>
      <c r="D542" s="2" t="s">
        <v>50</v>
      </c>
      <c r="E542" s="5">
        <v>-31024</v>
      </c>
      <c r="F542" s="3" t="s">
        <v>101</v>
      </c>
      <c r="G542" s="3" t="s">
        <v>258</v>
      </c>
      <c r="H542" s="2" t="s">
        <v>72</v>
      </c>
      <c r="I542" s="2" t="s">
        <v>1593</v>
      </c>
      <c r="J542" s="3" t="str">
        <f>HYPERLINK("https://www.boe.es/gazeta/dias/1815/01/21/pdfs/GMD-1815-9.pdf#page=6","Abrir facsímil")</f>
        <v>Abrir facsímil</v>
      </c>
      <c r="K542" s="3" t="s">
        <v>74</v>
      </c>
    </row>
    <row r="543" spans="1:11" ht="42" customHeight="1">
      <c r="A543" s="2" t="s">
        <v>1594</v>
      </c>
      <c r="B543" s="2" t="s">
        <v>1595</v>
      </c>
      <c r="C543" s="2" t="s">
        <v>49</v>
      </c>
      <c r="D543" s="2" t="s">
        <v>50</v>
      </c>
      <c r="E543" s="5">
        <v>-30886</v>
      </c>
      <c r="F543" s="3" t="s">
        <v>140</v>
      </c>
      <c r="G543" s="3" t="s">
        <v>224</v>
      </c>
      <c r="H543" s="2" t="s">
        <v>72</v>
      </c>
      <c r="I543" s="2" t="s">
        <v>1596</v>
      </c>
      <c r="J543" s="3" t="str">
        <f>HYPERLINK("https://www.boe.es/gazeta/dias/1815/06/08/pdfs/GMD-1815-69.pdf#page=9","Abrir facsímil")</f>
        <v>Abrir facsímil</v>
      </c>
      <c r="K543" s="3" t="s">
        <v>74</v>
      </c>
    </row>
    <row r="544" spans="1:11" ht="42" customHeight="1">
      <c r="A544" s="2" t="s">
        <v>1597</v>
      </c>
      <c r="B544" s="2" t="s">
        <v>1597</v>
      </c>
      <c r="C544" s="2" t="s">
        <v>49</v>
      </c>
      <c r="D544" s="2" t="s">
        <v>50</v>
      </c>
      <c r="E544" s="5">
        <v>-30751</v>
      </c>
      <c r="F544" s="3" t="s">
        <v>819</v>
      </c>
      <c r="G544" s="3" t="s">
        <v>820</v>
      </c>
      <c r="H544" s="2" t="s">
        <v>72</v>
      </c>
      <c r="I544" s="2" t="s">
        <v>1598</v>
      </c>
      <c r="J544" s="3" t="str">
        <f>HYPERLINK("https://www.boe.es/gazeta/dias/1815/10/21/pdfs/GMD-1815-132.pdf#page=4","Abrir facsímil")</f>
        <v>Abrir facsímil</v>
      </c>
      <c r="K544" s="3" t="s">
        <v>74</v>
      </c>
    </row>
    <row r="545" spans="1:11" ht="42" customHeight="1">
      <c r="A545" s="2" t="s">
        <v>1599</v>
      </c>
      <c r="B545" s="2" t="s">
        <v>1599</v>
      </c>
      <c r="C545" s="2" t="s">
        <v>17</v>
      </c>
      <c r="D545" s="2" t="s">
        <v>18</v>
      </c>
      <c r="E545" s="5">
        <v>-30692</v>
      </c>
      <c r="F545" s="3" t="s">
        <v>508</v>
      </c>
      <c r="G545" s="3" t="s">
        <v>1353</v>
      </c>
      <c r="H545" s="2" t="s">
        <v>72</v>
      </c>
      <c r="I545" s="2" t="s">
        <v>1600</v>
      </c>
      <c r="J545" s="3" t="str">
        <f>HYPERLINK("https://www.boe.es/gazeta/dias/1815/12/19/pdfs/GMD-1815-157.pdf#page=7","Abrir facsímil")</f>
        <v>Abrir facsímil</v>
      </c>
      <c r="K545" s="3" t="s">
        <v>74</v>
      </c>
    </row>
    <row r="546" spans="1:11" ht="42" customHeight="1">
      <c r="A546" s="2" t="s">
        <v>1601</v>
      </c>
      <c r="B546" s="2" t="s">
        <v>1601</v>
      </c>
      <c r="C546" s="2" t="s">
        <v>49</v>
      </c>
      <c r="D546" s="2" t="s">
        <v>50</v>
      </c>
      <c r="E546" s="5">
        <v>-30886</v>
      </c>
      <c r="F546" s="3" t="s">
        <v>140</v>
      </c>
      <c r="G546" s="3" t="s">
        <v>71</v>
      </c>
      <c r="H546" s="2" t="s">
        <v>72</v>
      </c>
      <c r="I546" s="2" t="s">
        <v>1602</v>
      </c>
      <c r="J546" s="3" t="str">
        <f>HYPERLINK("https://www.boe.es/gazeta/dias/1815/06/08/pdfs/GMD-1815-69.pdf#page=7","Abrir facsímil")</f>
        <v>Abrir facsímil</v>
      </c>
      <c r="K546" s="3" t="s">
        <v>74</v>
      </c>
    </row>
    <row r="547" spans="1:11" ht="42" customHeight="1">
      <c r="A547" s="2" t="s">
        <v>1601</v>
      </c>
      <c r="B547" s="2" t="s">
        <v>1601</v>
      </c>
      <c r="C547" s="2" t="s">
        <v>49</v>
      </c>
      <c r="D547" s="2" t="s">
        <v>50</v>
      </c>
      <c r="E547" s="5">
        <v>-30828</v>
      </c>
      <c r="F547" s="3" t="s">
        <v>1402</v>
      </c>
      <c r="G547" s="3" t="s">
        <v>57</v>
      </c>
      <c r="H547" s="2" t="s">
        <v>72</v>
      </c>
      <c r="I547" s="2" t="s">
        <v>1603</v>
      </c>
      <c r="J547" s="3" t="str">
        <f>HYPERLINK("https://www.boe.es/gazeta/dias/1815/08/05/pdfs/GMD-1815-96.pdf#page=5","Abrir facsímil")</f>
        <v>Abrir facsímil</v>
      </c>
      <c r="K547" s="3" t="s">
        <v>74</v>
      </c>
    </row>
    <row r="548" spans="1:11" ht="42" customHeight="1">
      <c r="A548" s="2" t="s">
        <v>1604</v>
      </c>
      <c r="B548" s="2" t="s">
        <v>1604</v>
      </c>
      <c r="C548" s="2" t="s">
        <v>31</v>
      </c>
      <c r="D548" s="2" t="s">
        <v>32</v>
      </c>
      <c r="E548" s="5">
        <v>-30879</v>
      </c>
      <c r="F548" s="3" t="s">
        <v>754</v>
      </c>
      <c r="G548" s="3" t="s">
        <v>27</v>
      </c>
      <c r="H548" s="2" t="s">
        <v>72</v>
      </c>
      <c r="I548" s="2" t="s">
        <v>1605</v>
      </c>
      <c r="J548" s="3" t="str">
        <f>HYPERLINK("https://www.boe.es/gazeta/dias/1815/06/15/pdfs/GMD-1815-72.pdf#page=6","Abrir facsímil")</f>
        <v>Abrir facsímil</v>
      </c>
      <c r="K548" s="3" t="s">
        <v>74</v>
      </c>
    </row>
    <row r="549" spans="1:11" ht="42" customHeight="1">
      <c r="A549" s="2" t="s">
        <v>1606</v>
      </c>
      <c r="B549" s="2" t="s">
        <v>1607</v>
      </c>
      <c r="C549" s="2" t="s">
        <v>49</v>
      </c>
      <c r="D549" s="2" t="s">
        <v>50</v>
      </c>
      <c r="E549" s="5">
        <v>-30835</v>
      </c>
      <c r="F549" s="3" t="s">
        <v>544</v>
      </c>
      <c r="G549" s="3" t="s">
        <v>88</v>
      </c>
      <c r="H549" s="2" t="s">
        <v>21</v>
      </c>
      <c r="I549" s="2" t="s">
        <v>1608</v>
      </c>
      <c r="J549" s="3" t="str">
        <f>HYPERLINK("https://www.boe.es/gazeta/dias/1815/07/29/pdfs/GMD-1815-93.pdf#page=10","Abrir facsímil")</f>
        <v>Abrir facsímil</v>
      </c>
      <c r="K549" s="3" t="s">
        <v>23</v>
      </c>
    </row>
    <row r="550" spans="1:11" ht="42" customHeight="1">
      <c r="A550" s="2" t="s">
        <v>1609</v>
      </c>
      <c r="B550" s="2" t="s">
        <v>1610</v>
      </c>
      <c r="C550" s="2" t="s">
        <v>49</v>
      </c>
      <c r="D550" s="2" t="s">
        <v>50</v>
      </c>
      <c r="E550" s="5">
        <v>-30886</v>
      </c>
      <c r="F550" s="3" t="s">
        <v>140</v>
      </c>
      <c r="G550" s="3" t="s">
        <v>38</v>
      </c>
      <c r="H550" s="2" t="s">
        <v>72</v>
      </c>
      <c r="I550" s="2" t="s">
        <v>1611</v>
      </c>
      <c r="J550" s="3" t="str">
        <f>HYPERLINK("https://www.boe.es/gazeta/dias/1815/06/08/pdfs/GMD-1815-69.pdf#page=8","Abrir facsímil")</f>
        <v>Abrir facsímil</v>
      </c>
      <c r="K550" s="3" t="s">
        <v>74</v>
      </c>
    </row>
    <row r="551" spans="1:11" ht="42" customHeight="1">
      <c r="A551" s="2" t="s">
        <v>1612</v>
      </c>
      <c r="B551" s="2" t="s">
        <v>1613</v>
      </c>
      <c r="C551" s="2" t="s">
        <v>31</v>
      </c>
      <c r="D551" s="2" t="s">
        <v>32</v>
      </c>
      <c r="E551" s="5">
        <v>-30870</v>
      </c>
      <c r="F551" s="3" t="s">
        <v>122</v>
      </c>
      <c r="G551" s="3" t="s">
        <v>52</v>
      </c>
      <c r="H551" s="2" t="s">
        <v>72</v>
      </c>
      <c r="I551" s="2" t="s">
        <v>1614</v>
      </c>
      <c r="J551" s="3" t="str">
        <f>HYPERLINK("https://www.boe.es/gazeta/dias/1815/06/24/pdfs/GMD-1815-76.pdf#page=11","Abrir facsímil")</f>
        <v>Abrir facsímil</v>
      </c>
      <c r="K551" s="3" t="s">
        <v>74</v>
      </c>
    </row>
    <row r="552" spans="1:11" ht="42" customHeight="1">
      <c r="A552" s="2" t="s">
        <v>1615</v>
      </c>
      <c r="B552" s="2" t="s">
        <v>1616</v>
      </c>
      <c r="C552" s="2" t="s">
        <v>131</v>
      </c>
      <c r="D552" s="2" t="s">
        <v>50</v>
      </c>
      <c r="E552" s="5">
        <v>-30961</v>
      </c>
      <c r="F552" s="3" t="s">
        <v>1176</v>
      </c>
      <c r="G552" s="3" t="s">
        <v>1177</v>
      </c>
      <c r="H552" s="2" t="s">
        <v>72</v>
      </c>
      <c r="I552" s="2" t="s">
        <v>1617</v>
      </c>
      <c r="J552" s="3" t="str">
        <f>HYPERLINK("https://www.boe.es/gazeta/dias/1815/03/25/pdfs/GMD-1815-36.pdf#page=7","Abrir facsímil")</f>
        <v>Abrir facsímil</v>
      </c>
      <c r="K552" s="3" t="s">
        <v>74</v>
      </c>
    </row>
    <row r="553" spans="1:11" ht="42" customHeight="1">
      <c r="A553" s="2" t="s">
        <v>1618</v>
      </c>
      <c r="B553" s="2" t="s">
        <v>1619</v>
      </c>
      <c r="C553" s="2" t="s">
        <v>31</v>
      </c>
      <c r="D553" s="2" t="s">
        <v>32</v>
      </c>
      <c r="E553" s="5">
        <v>-30958</v>
      </c>
      <c r="F553" s="3" t="s">
        <v>297</v>
      </c>
      <c r="G553" s="3" t="s">
        <v>57</v>
      </c>
      <c r="H553" s="2" t="s">
        <v>72</v>
      </c>
      <c r="I553" s="2" t="s">
        <v>1620</v>
      </c>
      <c r="J553" s="3" t="str">
        <f>HYPERLINK("https://www.boe.es/gazeta/dias/1815/03/28/pdfs/GMD-1815-37.pdf#page=5","Abrir facsímil")</f>
        <v>Abrir facsímil</v>
      </c>
      <c r="K553" s="3" t="s">
        <v>74</v>
      </c>
    </row>
    <row r="554" spans="1:11" ht="42" customHeight="1">
      <c r="A554" s="2" t="s">
        <v>1621</v>
      </c>
      <c r="B554" s="2" t="s">
        <v>1622</v>
      </c>
      <c r="C554" s="2" t="s">
        <v>31</v>
      </c>
      <c r="D554" s="2" t="s">
        <v>32</v>
      </c>
      <c r="E554" s="5">
        <v>-30860</v>
      </c>
      <c r="F554" s="3" t="s">
        <v>184</v>
      </c>
      <c r="G554" s="3" t="s">
        <v>71</v>
      </c>
      <c r="H554" s="2" t="s">
        <v>72</v>
      </c>
      <c r="I554" s="2" t="s">
        <v>1623</v>
      </c>
      <c r="J554" s="3" t="str">
        <f>HYPERLINK("https://www.boe.es/gazeta/dias/1815/07/04/pdfs/GMD-1815-81.pdf#page=7","Abrir facsímil")</f>
        <v>Abrir facsímil</v>
      </c>
      <c r="K554" s="3" t="s">
        <v>74</v>
      </c>
    </row>
    <row r="555" spans="1:11" ht="42" customHeight="1">
      <c r="A555" s="2" t="s">
        <v>1624</v>
      </c>
      <c r="B555" s="2" t="s">
        <v>1625</v>
      </c>
      <c r="C555" s="2" t="s">
        <v>31</v>
      </c>
      <c r="D555" s="2" t="s">
        <v>32</v>
      </c>
      <c r="E555" s="5">
        <v>-30830</v>
      </c>
      <c r="F555" s="3" t="s">
        <v>33</v>
      </c>
      <c r="G555" s="3" t="s">
        <v>71</v>
      </c>
      <c r="H555" s="2" t="s">
        <v>72</v>
      </c>
      <c r="I555" s="2" t="s">
        <v>1626</v>
      </c>
      <c r="J555" s="3" t="str">
        <f>HYPERLINK("https://www.boe.es/gazeta/dias/1815/08/03/pdfs/GMD-1815-95.pdf#page=7","Abrir facsímil")</f>
        <v>Abrir facsímil</v>
      </c>
      <c r="K555" s="3" t="s">
        <v>74</v>
      </c>
    </row>
    <row r="556" spans="1:11" ht="42" customHeight="1">
      <c r="A556" s="2" t="s">
        <v>1627</v>
      </c>
      <c r="B556" s="2" t="s">
        <v>1628</v>
      </c>
      <c r="C556" s="2" t="s">
        <v>195</v>
      </c>
      <c r="D556" s="2" t="s">
        <v>50</v>
      </c>
      <c r="E556" s="5">
        <v>-30720</v>
      </c>
      <c r="F556" s="3" t="s">
        <v>373</v>
      </c>
      <c r="G556" s="3" t="s">
        <v>276</v>
      </c>
      <c r="H556" s="2" t="s">
        <v>72</v>
      </c>
      <c r="I556" s="2" t="s">
        <v>1629</v>
      </c>
      <c r="J556" s="3" t="str">
        <f>HYPERLINK("https://www.boe.es/gazeta/dias/1815/11/21/pdfs/GMD-1815-145.pdf#page=12","Abrir facsímil")</f>
        <v>Abrir facsímil</v>
      </c>
      <c r="K556" s="3" t="s">
        <v>74</v>
      </c>
    </row>
    <row r="557" spans="1:11" ht="42" customHeight="1">
      <c r="A557" s="2" t="s">
        <v>1630</v>
      </c>
      <c r="B557" s="2" t="s">
        <v>1631</v>
      </c>
      <c r="C557" s="2" t="s">
        <v>49</v>
      </c>
      <c r="D557" s="2" t="s">
        <v>50</v>
      </c>
      <c r="E557" s="5">
        <v>-30720</v>
      </c>
      <c r="F557" s="3" t="s">
        <v>373</v>
      </c>
      <c r="G557" s="3" t="s">
        <v>276</v>
      </c>
      <c r="H557" s="2" t="s">
        <v>72</v>
      </c>
      <c r="I557" s="2" t="s">
        <v>1632</v>
      </c>
      <c r="J557" s="3" t="str">
        <f>HYPERLINK("https://www.boe.es/gazeta/dias/1815/11/21/pdfs/GMD-1815-145.pdf#page=12","Abrir facsímil")</f>
        <v>Abrir facsímil</v>
      </c>
      <c r="K557" s="3" t="s">
        <v>74</v>
      </c>
    </row>
    <row r="558" spans="1:11" ht="42" customHeight="1">
      <c r="A558" s="2" t="s">
        <v>1633</v>
      </c>
      <c r="B558" s="2" t="s">
        <v>1634</v>
      </c>
      <c r="C558" s="2" t="s">
        <v>31</v>
      </c>
      <c r="D558" s="2" t="s">
        <v>32</v>
      </c>
      <c r="E558" s="5">
        <v>-30753</v>
      </c>
      <c r="F558" s="3" t="s">
        <v>1635</v>
      </c>
      <c r="G558" s="3" t="s">
        <v>38</v>
      </c>
      <c r="H558" s="2" t="s">
        <v>72</v>
      </c>
      <c r="I558" s="2" t="s">
        <v>1636</v>
      </c>
      <c r="J558" s="3" t="str">
        <f>HYPERLINK("https://www.boe.es/gazeta/dias/1815/10/19/pdfs/GMD-1815-131.pdf#page=8","Abrir facsímil")</f>
        <v>Abrir facsímil</v>
      </c>
      <c r="K558" s="3" t="s">
        <v>74</v>
      </c>
    </row>
    <row r="559" spans="1:11" ht="42" customHeight="1">
      <c r="A559" s="2" t="s">
        <v>1637</v>
      </c>
      <c r="B559" s="2" t="s">
        <v>1638</v>
      </c>
      <c r="C559" s="2" t="s">
        <v>49</v>
      </c>
      <c r="D559" s="2" t="s">
        <v>50</v>
      </c>
      <c r="E559" s="5">
        <v>-30790</v>
      </c>
      <c r="F559" s="3" t="s">
        <v>285</v>
      </c>
      <c r="G559" s="3" t="s">
        <v>20</v>
      </c>
      <c r="H559" s="2" t="s">
        <v>72</v>
      </c>
      <c r="I559" s="2" t="s">
        <v>1639</v>
      </c>
      <c r="J559" s="3" t="str">
        <f>HYPERLINK("https://www.boe.es/gazeta/dias/1815/09/12/pdfs/GMD-1815-113.pdf#page=4","Abrir facsímil")</f>
        <v>Abrir facsímil</v>
      </c>
      <c r="K559" s="3" t="s">
        <v>74</v>
      </c>
    </row>
    <row r="560" spans="1:11" ht="42" customHeight="1">
      <c r="A560" s="2" t="s">
        <v>1640</v>
      </c>
      <c r="B560" s="2" t="s">
        <v>1640</v>
      </c>
      <c r="C560" s="2" t="s">
        <v>31</v>
      </c>
      <c r="D560" s="2" t="s">
        <v>32</v>
      </c>
      <c r="E560" s="5">
        <v>-30769</v>
      </c>
      <c r="F560" s="3" t="s">
        <v>1641</v>
      </c>
      <c r="G560" s="3" t="s">
        <v>377</v>
      </c>
      <c r="H560" s="2" t="s">
        <v>72</v>
      </c>
      <c r="I560" s="2" t="s">
        <v>1642</v>
      </c>
      <c r="J560" s="3" t="str">
        <f>HYPERLINK("https://www.boe.es/gazeta/dias/1815/10/03/pdfs/GMD-1815-124.pdf#page=2","Abrir facsímil")</f>
        <v>Abrir facsímil</v>
      </c>
      <c r="K560" s="3" t="s">
        <v>74</v>
      </c>
    </row>
    <row r="561" spans="1:11" ht="42" customHeight="1">
      <c r="A561" s="2" t="s">
        <v>1643</v>
      </c>
      <c r="B561" s="2" t="s">
        <v>1644</v>
      </c>
      <c r="C561" s="2" t="s">
        <v>195</v>
      </c>
      <c r="D561" s="2" t="s">
        <v>50</v>
      </c>
      <c r="E561" s="5">
        <v>-30928</v>
      </c>
      <c r="F561" s="3" t="s">
        <v>330</v>
      </c>
      <c r="G561" s="3" t="s">
        <v>71</v>
      </c>
      <c r="H561" s="2" t="s">
        <v>72</v>
      </c>
      <c r="I561" s="2" t="s">
        <v>1645</v>
      </c>
      <c r="J561" s="3" t="str">
        <f>HYPERLINK("https://www.boe.es/gazeta/dias/1815/04/27/pdfs/GMD-1815-51.pdf#page=7","Abrir facsímil")</f>
        <v>Abrir facsímil</v>
      </c>
      <c r="K561" s="3" t="s">
        <v>74</v>
      </c>
    </row>
    <row r="562" spans="1:11" ht="42" customHeight="1">
      <c r="A562" s="2" t="s">
        <v>1646</v>
      </c>
      <c r="B562" s="2" t="s">
        <v>1647</v>
      </c>
      <c r="C562" s="2" t="s">
        <v>195</v>
      </c>
      <c r="D562" s="2" t="s">
        <v>50</v>
      </c>
      <c r="E562" s="5">
        <v>-30888</v>
      </c>
      <c r="F562" s="3" t="s">
        <v>368</v>
      </c>
      <c r="G562" s="3" t="s">
        <v>369</v>
      </c>
      <c r="H562" s="2" t="s">
        <v>72</v>
      </c>
      <c r="I562" s="2" t="s">
        <v>1648</v>
      </c>
      <c r="J562" s="3" t="str">
        <f>HYPERLINK("https://www.boe.es/gazeta/dias/1815/06/06/pdfs/GMD-1815-68.pdf#page=7","Abrir facsímil")</f>
        <v>Abrir facsímil</v>
      </c>
      <c r="K562" s="3" t="s">
        <v>74</v>
      </c>
    </row>
    <row r="563" spans="1:11" ht="42" customHeight="1">
      <c r="A563" s="2" t="s">
        <v>1649</v>
      </c>
      <c r="B563" s="2" t="s">
        <v>1650</v>
      </c>
      <c r="C563" s="2" t="s">
        <v>17</v>
      </c>
      <c r="D563" s="2" t="s">
        <v>18</v>
      </c>
      <c r="E563" s="5">
        <v>-30741</v>
      </c>
      <c r="F563" s="3" t="s">
        <v>1000</v>
      </c>
      <c r="G563" s="3" t="s">
        <v>38</v>
      </c>
      <c r="H563" s="2" t="s">
        <v>72</v>
      </c>
      <c r="I563" s="2" t="s">
        <v>1651</v>
      </c>
      <c r="J563" s="3" t="str">
        <f>HYPERLINK("https://www.boe.es/gazeta/dias/1815/10/31/pdfs/GMD-1815-136.pdf#page=8","Abrir facsímil")</f>
        <v>Abrir facsímil</v>
      </c>
      <c r="K563" s="3" t="s">
        <v>74</v>
      </c>
    </row>
    <row r="564" spans="1:11" ht="42" customHeight="1">
      <c r="A564" s="2" t="s">
        <v>1652</v>
      </c>
      <c r="B564" s="2" t="s">
        <v>1653</v>
      </c>
      <c r="C564" s="2" t="s">
        <v>49</v>
      </c>
      <c r="D564" s="2" t="s">
        <v>50</v>
      </c>
      <c r="E564" s="5">
        <v>-30702</v>
      </c>
      <c r="F564" s="3" t="s">
        <v>196</v>
      </c>
      <c r="G564" s="3" t="s">
        <v>38</v>
      </c>
      <c r="H564" s="2" t="s">
        <v>72</v>
      </c>
      <c r="I564" s="2" t="s">
        <v>1654</v>
      </c>
      <c r="J564" s="3" t="str">
        <f>HYPERLINK("https://www.boe.es/gazeta/dias/1815/12/09/pdfs/GMD-1815-153.pdf#page=8","Abrir facsímil")</f>
        <v>Abrir facsímil</v>
      </c>
      <c r="K564" s="3" t="s">
        <v>74</v>
      </c>
    </row>
    <row r="565" spans="1:11" ht="42" customHeight="1">
      <c r="A565" s="2" t="s">
        <v>1655</v>
      </c>
      <c r="B565" s="2" t="s">
        <v>1656</v>
      </c>
      <c r="C565" s="2" t="s">
        <v>49</v>
      </c>
      <c r="D565" s="2" t="s">
        <v>50</v>
      </c>
      <c r="E565" s="5">
        <v>-30886</v>
      </c>
      <c r="F565" s="3" t="s">
        <v>140</v>
      </c>
      <c r="G565" s="3" t="s">
        <v>38</v>
      </c>
      <c r="H565" s="2" t="s">
        <v>72</v>
      </c>
      <c r="I565" s="2" t="s">
        <v>1657</v>
      </c>
      <c r="J565" s="3" t="str">
        <f>HYPERLINK("https://www.boe.es/gazeta/dias/1815/06/08/pdfs/GMD-1815-69.pdf#page=8","Abrir facsímil")</f>
        <v>Abrir facsímil</v>
      </c>
      <c r="K565" s="3" t="s">
        <v>74</v>
      </c>
    </row>
    <row r="566" spans="1:11" ht="42" customHeight="1">
      <c r="A566" s="2" t="s">
        <v>1658</v>
      </c>
      <c r="B566" s="2" t="s">
        <v>1659</v>
      </c>
      <c r="C566" s="2" t="s">
        <v>49</v>
      </c>
      <c r="D566" s="2" t="s">
        <v>50</v>
      </c>
      <c r="E566" s="5">
        <v>-31019</v>
      </c>
      <c r="F566" s="3" t="s">
        <v>1094</v>
      </c>
      <c r="G566" s="3" t="s">
        <v>97</v>
      </c>
      <c r="H566" s="2" t="s">
        <v>72</v>
      </c>
      <c r="I566" s="2" t="s">
        <v>1660</v>
      </c>
      <c r="J566" s="3" t="str">
        <f>HYPERLINK("https://www.boe.es/gazeta/dias/1815/01/26/pdfs/GMD-1815-11.pdf#page=3","Abrir facsímil")</f>
        <v>Abrir facsímil</v>
      </c>
      <c r="K566" s="3" t="s">
        <v>74</v>
      </c>
    </row>
    <row r="567" spans="1:11" ht="42" customHeight="1">
      <c r="A567" s="2" t="s">
        <v>1661</v>
      </c>
      <c r="B567" s="2" t="s">
        <v>1662</v>
      </c>
      <c r="C567" s="2" t="s">
        <v>17</v>
      </c>
      <c r="D567" s="2" t="s">
        <v>18</v>
      </c>
      <c r="E567" s="5">
        <v>-30716</v>
      </c>
      <c r="F567" s="3" t="s">
        <v>589</v>
      </c>
      <c r="G567" s="3" t="s">
        <v>71</v>
      </c>
      <c r="H567" s="2" t="s">
        <v>72</v>
      </c>
      <c r="I567" s="2" t="s">
        <v>1663</v>
      </c>
      <c r="J567" s="3" t="str">
        <f>HYPERLINK("https://www.boe.es/gazeta/dias/1815/11/25/pdfs/GMD-1815-147.pdf#page=7","Abrir facsímil")</f>
        <v>Abrir facsímil</v>
      </c>
      <c r="K567" s="3" t="s">
        <v>74</v>
      </c>
    </row>
    <row r="568" spans="1:11" ht="42" customHeight="1">
      <c r="A568" s="2" t="s">
        <v>1664</v>
      </c>
      <c r="B568" s="2" t="s">
        <v>1665</v>
      </c>
      <c r="C568" s="2" t="s">
        <v>49</v>
      </c>
      <c r="D568" s="2" t="s">
        <v>50</v>
      </c>
      <c r="E568" s="5">
        <v>-30977</v>
      </c>
      <c r="F568" s="3" t="s">
        <v>37</v>
      </c>
      <c r="G568" s="3" t="s">
        <v>71</v>
      </c>
      <c r="H568" s="2" t="s">
        <v>21</v>
      </c>
      <c r="I568" s="2" t="s">
        <v>1666</v>
      </c>
      <c r="J568" s="3" t="str">
        <f>HYPERLINK("https://www.boe.es/gazeta/dias/1815/03/09/pdfs/GMD-1815-29.pdf#page=7","Abrir facsímil")</f>
        <v>Abrir facsímil</v>
      </c>
      <c r="K568" s="3" t="s">
        <v>23</v>
      </c>
    </row>
    <row r="569" spans="1:11" ht="42" customHeight="1">
      <c r="A569" s="2" t="s">
        <v>1667</v>
      </c>
      <c r="B569" s="2" t="s">
        <v>1668</v>
      </c>
      <c r="C569" s="2" t="s">
        <v>31</v>
      </c>
      <c r="D569" s="2" t="s">
        <v>32</v>
      </c>
      <c r="E569" s="5">
        <v>-30907</v>
      </c>
      <c r="F569" s="3" t="s">
        <v>301</v>
      </c>
      <c r="G569" s="3" t="s">
        <v>71</v>
      </c>
      <c r="H569" s="2" t="s">
        <v>72</v>
      </c>
      <c r="I569" s="2" t="s">
        <v>1669</v>
      </c>
      <c r="J569" s="3" t="str">
        <f>HYPERLINK("https://www.boe.es/gazeta/dias/1815/05/18/pdfs/GMD-1815-60.pdf#page=7","Abrir facsímil")</f>
        <v>Abrir facsímil</v>
      </c>
      <c r="K569" s="3" t="s">
        <v>74</v>
      </c>
    </row>
    <row r="570" spans="1:11" ht="42" customHeight="1">
      <c r="A570" s="2" t="s">
        <v>1670</v>
      </c>
      <c r="B570" s="2" t="s">
        <v>1671</v>
      </c>
      <c r="C570" s="2" t="s">
        <v>31</v>
      </c>
      <c r="D570" s="2" t="s">
        <v>32</v>
      </c>
      <c r="E570" s="5">
        <v>-31038</v>
      </c>
      <c r="F570" s="3" t="s">
        <v>395</v>
      </c>
      <c r="G570" s="3" t="s">
        <v>396</v>
      </c>
      <c r="H570" s="2" t="s">
        <v>72</v>
      </c>
      <c r="I570" s="2" t="s">
        <v>1672</v>
      </c>
      <c r="J570" s="3" t="str">
        <f>HYPERLINK("https://www.boe.es/gazeta/dias/1815/01/07/pdfs/GMD-1815-3.pdf#page=5","Abrir facsímil")</f>
        <v>Abrir facsímil</v>
      </c>
      <c r="K570" s="3" t="s">
        <v>74</v>
      </c>
    </row>
    <row r="571" spans="1:11" ht="42" customHeight="1">
      <c r="A571" s="2" t="s">
        <v>1673</v>
      </c>
      <c r="B571" s="2" t="s">
        <v>1673</v>
      </c>
      <c r="C571" s="2" t="s">
        <v>31</v>
      </c>
      <c r="D571" s="2" t="s">
        <v>32</v>
      </c>
      <c r="E571" s="5">
        <v>-30832</v>
      </c>
      <c r="F571" s="3" t="s">
        <v>266</v>
      </c>
      <c r="G571" s="3" t="s">
        <v>27</v>
      </c>
      <c r="H571" s="2" t="s">
        <v>72</v>
      </c>
      <c r="I571" s="2" t="s">
        <v>1674</v>
      </c>
      <c r="J571" s="3" t="str">
        <f>HYPERLINK("https://www.boe.es/gazeta/dias/1815/08/01/pdfs/GMD-1815-94.pdf#page=6","Abrir facsímil")</f>
        <v>Abrir facsímil</v>
      </c>
      <c r="K571" s="3" t="s">
        <v>74</v>
      </c>
    </row>
    <row r="572" spans="1:11" ht="42" customHeight="1">
      <c r="A572" s="2" t="s">
        <v>1675</v>
      </c>
      <c r="B572" s="2" t="s">
        <v>1676</v>
      </c>
      <c r="C572" s="2" t="s">
        <v>31</v>
      </c>
      <c r="D572" s="2" t="s">
        <v>32</v>
      </c>
      <c r="E572" s="5">
        <v>-30872</v>
      </c>
      <c r="F572" s="3" t="s">
        <v>167</v>
      </c>
      <c r="G572" s="3" t="s">
        <v>224</v>
      </c>
      <c r="H572" s="2" t="s">
        <v>72</v>
      </c>
      <c r="I572" s="2" t="s">
        <v>1677</v>
      </c>
      <c r="J572" s="3" t="str">
        <f>HYPERLINK("https://www.boe.es/gazeta/dias/1815/06/22/pdfs/GMD-1815-75.pdf#page=9","Abrir facsímil")</f>
        <v>Abrir facsímil</v>
      </c>
      <c r="K572" s="3" t="s">
        <v>74</v>
      </c>
    </row>
    <row r="573" spans="1:11" ht="42" customHeight="1">
      <c r="A573" s="2" t="s">
        <v>1678</v>
      </c>
      <c r="B573" s="2" t="s">
        <v>1678</v>
      </c>
      <c r="C573" s="2" t="s">
        <v>131</v>
      </c>
      <c r="D573" s="2" t="s">
        <v>50</v>
      </c>
      <c r="E573" s="5">
        <v>-30965</v>
      </c>
      <c r="F573" s="3" t="s">
        <v>1679</v>
      </c>
      <c r="G573" s="3" t="s">
        <v>38</v>
      </c>
      <c r="H573" s="2" t="s">
        <v>72</v>
      </c>
      <c r="I573" s="2" t="s">
        <v>1680</v>
      </c>
      <c r="J573" s="3" t="str">
        <f>HYPERLINK("https://www.boe.es/gazeta/dias/1815/03/21/pdfs/GMD-1815-34.pdf#page=8","Abrir facsímil")</f>
        <v>Abrir facsímil</v>
      </c>
      <c r="K573" s="3" t="s">
        <v>74</v>
      </c>
    </row>
    <row r="574" spans="1:11" ht="42" customHeight="1">
      <c r="A574" s="2" t="s">
        <v>1681</v>
      </c>
      <c r="B574" s="2" t="s">
        <v>1682</v>
      </c>
      <c r="C574" s="2" t="s">
        <v>49</v>
      </c>
      <c r="D574" s="2" t="s">
        <v>50</v>
      </c>
      <c r="E574" s="5">
        <v>-30942</v>
      </c>
      <c r="F574" s="3" t="s">
        <v>730</v>
      </c>
      <c r="G574" s="3" t="s">
        <v>862</v>
      </c>
      <c r="H574" s="2" t="s">
        <v>21</v>
      </c>
      <c r="I574" s="2" t="s">
        <v>1683</v>
      </c>
      <c r="J574" s="3" t="str">
        <f>HYPERLINK("https://www.boe.es/gazeta/dias/1815/04/13/pdfs/GMD-1815-45.pdf#page=6","Abrir facsímil")</f>
        <v>Abrir facsímil</v>
      </c>
      <c r="K574" s="3" t="s">
        <v>23</v>
      </c>
    </row>
    <row r="575" spans="1:11" ht="42" customHeight="1">
      <c r="A575" s="2" t="s">
        <v>1684</v>
      </c>
      <c r="B575" s="2" t="s">
        <v>1685</v>
      </c>
      <c r="C575" s="2" t="s">
        <v>49</v>
      </c>
      <c r="D575" s="2" t="s">
        <v>50</v>
      </c>
      <c r="E575" s="5">
        <v>-30886</v>
      </c>
      <c r="F575" s="3" t="s">
        <v>140</v>
      </c>
      <c r="G575" s="3" t="s">
        <v>224</v>
      </c>
      <c r="H575" s="2" t="s">
        <v>72</v>
      </c>
      <c r="I575" s="2" t="s">
        <v>1686</v>
      </c>
      <c r="J575" s="3" t="str">
        <f>HYPERLINK("https://www.boe.es/gazeta/dias/1815/06/08/pdfs/GMD-1815-69.pdf#page=9","Abrir facsímil")</f>
        <v>Abrir facsímil</v>
      </c>
      <c r="K575" s="3" t="s">
        <v>74</v>
      </c>
    </row>
    <row r="576" spans="1:11" ht="42" customHeight="1">
      <c r="A576" s="2" t="s">
        <v>1687</v>
      </c>
      <c r="B576" s="2" t="s">
        <v>1688</v>
      </c>
      <c r="C576" s="2" t="s">
        <v>31</v>
      </c>
      <c r="D576" s="2" t="s">
        <v>32</v>
      </c>
      <c r="E576" s="5">
        <v>-31042</v>
      </c>
      <c r="F576" s="3" t="s">
        <v>512</v>
      </c>
      <c r="G576" s="3" t="s">
        <v>1689</v>
      </c>
      <c r="H576" s="2" t="s">
        <v>72</v>
      </c>
      <c r="I576" s="2" t="s">
        <v>1690</v>
      </c>
      <c r="J576" s="3" t="str">
        <f>HYPERLINK("https://www.boe.es/gazeta/dias/1815/01/03/pdfs/GMD-1815-1.pdf#page=6","Abrir facsímil")</f>
        <v>Abrir facsímil</v>
      </c>
      <c r="K576" s="3" t="s">
        <v>74</v>
      </c>
    </row>
    <row r="577" spans="1:11" ht="42" customHeight="1">
      <c r="A577" s="2" t="s">
        <v>1691</v>
      </c>
      <c r="B577" s="2" t="s">
        <v>1692</v>
      </c>
      <c r="C577" s="2" t="s">
        <v>17</v>
      </c>
      <c r="D577" s="2" t="s">
        <v>18</v>
      </c>
      <c r="E577" s="5">
        <v>-30683</v>
      </c>
      <c r="F577" s="3" t="s">
        <v>1693</v>
      </c>
      <c r="G577" s="3" t="s">
        <v>71</v>
      </c>
      <c r="H577" s="2" t="s">
        <v>72</v>
      </c>
      <c r="I577" s="2" t="s">
        <v>1694</v>
      </c>
      <c r="J577" s="3" t="str">
        <f>HYPERLINK("https://www.boe.es/gazeta/dias/1815/12/28/pdfs/GMD-1815-161.pdf#page=7","Abrir facsímil")</f>
        <v>Abrir facsímil</v>
      </c>
      <c r="K577" s="3" t="s">
        <v>74</v>
      </c>
    </row>
    <row r="578" spans="1:11" ht="42" customHeight="1">
      <c r="A578" s="2" t="s">
        <v>1695</v>
      </c>
      <c r="B578" s="2" t="s">
        <v>1695</v>
      </c>
      <c r="C578" s="2" t="s">
        <v>31</v>
      </c>
      <c r="D578" s="2" t="s">
        <v>32</v>
      </c>
      <c r="E578" s="5">
        <v>-30832</v>
      </c>
      <c r="F578" s="3" t="s">
        <v>266</v>
      </c>
      <c r="G578" s="3" t="s">
        <v>57</v>
      </c>
      <c r="H578" s="2" t="s">
        <v>72</v>
      </c>
      <c r="I578" s="2" t="s">
        <v>1696</v>
      </c>
      <c r="J578" s="3" t="str">
        <f>HYPERLINK("https://www.boe.es/gazeta/dias/1815/08/01/pdfs/GMD-1815-94.pdf#page=5","Abrir facsímil")</f>
        <v>Abrir facsímil</v>
      </c>
      <c r="K578" s="3" t="s">
        <v>74</v>
      </c>
    </row>
    <row r="579" spans="1:11" ht="42" customHeight="1">
      <c r="A579" s="2" t="s">
        <v>1697</v>
      </c>
      <c r="B579" s="2" t="s">
        <v>1698</v>
      </c>
      <c r="C579" s="2" t="s">
        <v>195</v>
      </c>
      <c r="D579" s="2" t="s">
        <v>50</v>
      </c>
      <c r="E579" s="5">
        <v>-30888</v>
      </c>
      <c r="F579" s="3" t="s">
        <v>368</v>
      </c>
      <c r="G579" s="3" t="s">
        <v>38</v>
      </c>
      <c r="H579" s="2" t="s">
        <v>21</v>
      </c>
      <c r="I579" s="2" t="s">
        <v>1699</v>
      </c>
      <c r="J579" s="3" t="str">
        <f>HYPERLINK("https://www.boe.es/gazeta/dias/1815/06/06/pdfs/GMD-1815-68.pdf#page=8","Abrir facsímil")</f>
        <v>Abrir facsímil</v>
      </c>
      <c r="K579" s="3" t="s">
        <v>23</v>
      </c>
    </row>
    <row r="580" spans="1:11" ht="42" customHeight="1">
      <c r="A580" s="2" t="s">
        <v>1700</v>
      </c>
      <c r="B580" s="2" t="s">
        <v>1701</v>
      </c>
      <c r="C580" s="2" t="s">
        <v>49</v>
      </c>
      <c r="D580" s="2" t="s">
        <v>50</v>
      </c>
      <c r="E580" s="5">
        <v>-30949</v>
      </c>
      <c r="F580" s="3" t="s">
        <v>420</v>
      </c>
      <c r="G580" s="3" t="s">
        <v>27</v>
      </c>
      <c r="H580" s="2" t="s">
        <v>72</v>
      </c>
      <c r="I580" s="2" t="s">
        <v>1702</v>
      </c>
      <c r="J580" s="3" t="str">
        <f>HYPERLINK("https://www.boe.es/gazeta/dias/1815/04/06/pdfs/GMD-1815-42.pdf#page=6","Abrir facsímil")</f>
        <v>Abrir facsímil</v>
      </c>
      <c r="K580" s="3" t="s">
        <v>74</v>
      </c>
    </row>
    <row r="581" spans="1:11" ht="42" customHeight="1">
      <c r="A581" s="2" t="s">
        <v>1703</v>
      </c>
      <c r="B581" s="2" t="s">
        <v>1703</v>
      </c>
      <c r="C581" s="2" t="s">
        <v>31</v>
      </c>
      <c r="D581" s="2" t="s">
        <v>32</v>
      </c>
      <c r="E581" s="5">
        <v>-30793</v>
      </c>
      <c r="F581" s="3" t="s">
        <v>1704</v>
      </c>
      <c r="G581" s="3" t="s">
        <v>410</v>
      </c>
      <c r="H581" s="2" t="s">
        <v>72</v>
      </c>
      <c r="I581" s="2" t="s">
        <v>1705</v>
      </c>
      <c r="J581" s="3" t="str">
        <f>HYPERLINK("https://www.boe.es/gazeta/dias/1815/09/09/pdfs/GMD-1815-112.pdf#page=1","Abrir facsímil")</f>
        <v>Abrir facsímil</v>
      </c>
      <c r="K581" s="3" t="s">
        <v>74</v>
      </c>
    </row>
    <row r="582" spans="1:11" ht="42" customHeight="1">
      <c r="A582" s="2" t="s">
        <v>1706</v>
      </c>
      <c r="B582" s="2" t="s">
        <v>1707</v>
      </c>
      <c r="C582" s="2" t="s">
        <v>31</v>
      </c>
      <c r="D582" s="2" t="s">
        <v>32</v>
      </c>
      <c r="E582" s="5">
        <v>-31028</v>
      </c>
      <c r="F582" s="3" t="s">
        <v>517</v>
      </c>
      <c r="G582" s="3" t="s">
        <v>88</v>
      </c>
      <c r="H582" s="2" t="s">
        <v>72</v>
      </c>
      <c r="I582" s="2" t="s">
        <v>1708</v>
      </c>
      <c r="J582" s="3" t="str">
        <f>HYPERLINK("https://www.boe.es/gazeta/dias/1815/01/17/pdfs/GMD-1815-7.pdf#page=10","Abrir facsímil")</f>
        <v>Abrir facsímil</v>
      </c>
      <c r="K582" s="3" t="s">
        <v>74</v>
      </c>
    </row>
    <row r="583" spans="1:11" ht="42" customHeight="1">
      <c r="A583" s="2" t="s">
        <v>1709</v>
      </c>
      <c r="B583" s="2" t="s">
        <v>1710</v>
      </c>
      <c r="C583" s="2" t="s">
        <v>49</v>
      </c>
      <c r="D583" s="2" t="s">
        <v>50</v>
      </c>
      <c r="E583" s="5">
        <v>-30863</v>
      </c>
      <c r="F583" s="3" t="s">
        <v>110</v>
      </c>
      <c r="G583" s="3" t="s">
        <v>224</v>
      </c>
      <c r="H583" s="2" t="s">
        <v>72</v>
      </c>
      <c r="I583" s="2" t="s">
        <v>1711</v>
      </c>
      <c r="J583" s="3" t="str">
        <f>HYPERLINK("https://www.boe.es/gazeta/dias/1815/07/01/pdfs/GMD-1815-79.pdf#page=9","Abrir facsímil")</f>
        <v>Abrir facsímil</v>
      </c>
      <c r="K583" s="3" t="s">
        <v>74</v>
      </c>
    </row>
    <row r="584" spans="1:11" ht="42" customHeight="1">
      <c r="A584" s="2" t="s">
        <v>1712</v>
      </c>
      <c r="B584" s="2" t="s">
        <v>1712</v>
      </c>
      <c r="C584" s="2" t="s">
        <v>31</v>
      </c>
      <c r="D584" s="2" t="s">
        <v>32</v>
      </c>
      <c r="E584" s="5">
        <v>-30842</v>
      </c>
      <c r="F584" s="3" t="s">
        <v>126</v>
      </c>
      <c r="G584" s="3" t="s">
        <v>20</v>
      </c>
      <c r="H584" s="2" t="s">
        <v>72</v>
      </c>
      <c r="I584" s="2" t="s">
        <v>1713</v>
      </c>
      <c r="J584" s="3" t="str">
        <f>HYPERLINK("https://www.boe.es/gazeta/dias/1815/07/22/pdfs/GMD-1815-90.pdf#page=4","Abrir facsímil")</f>
        <v>Abrir facsímil</v>
      </c>
      <c r="K584" s="3" t="s">
        <v>74</v>
      </c>
    </row>
    <row r="585" spans="1:11" ht="42" customHeight="1">
      <c r="A585" s="2" t="s">
        <v>1714</v>
      </c>
      <c r="B585" s="2" t="s">
        <v>1714</v>
      </c>
      <c r="C585" s="2" t="s">
        <v>31</v>
      </c>
      <c r="D585" s="2" t="s">
        <v>32</v>
      </c>
      <c r="E585" s="5">
        <v>-30842</v>
      </c>
      <c r="F585" s="3" t="s">
        <v>126</v>
      </c>
      <c r="G585" s="3" t="s">
        <v>1715</v>
      </c>
      <c r="H585" s="2" t="s">
        <v>72</v>
      </c>
      <c r="I585" s="2" t="s">
        <v>1716</v>
      </c>
      <c r="J585" s="3" t="str">
        <f>HYPERLINK("https://www.boe.es/gazeta/dias/1815/07/22/pdfs/GMD-1815-90.pdf#page=2","Abrir facsímil")</f>
        <v>Abrir facsímil</v>
      </c>
      <c r="K585" s="3" t="s">
        <v>74</v>
      </c>
    </row>
    <row r="586" spans="1:11" ht="42" customHeight="1">
      <c r="A586" s="2" t="s">
        <v>1714</v>
      </c>
      <c r="B586" s="2" t="s">
        <v>1714</v>
      </c>
      <c r="C586" s="2" t="s">
        <v>31</v>
      </c>
      <c r="D586" s="2" t="s">
        <v>32</v>
      </c>
      <c r="E586" s="5">
        <v>-30842</v>
      </c>
      <c r="F586" s="3" t="s">
        <v>126</v>
      </c>
      <c r="G586" s="3" t="s">
        <v>97</v>
      </c>
      <c r="H586" s="2" t="s">
        <v>72</v>
      </c>
      <c r="I586" s="2" t="s">
        <v>1717</v>
      </c>
      <c r="J586" s="3" t="str">
        <f>HYPERLINK("https://www.boe.es/gazeta/dias/1815/07/22/pdfs/GMD-1815-90.pdf#page=3","Abrir facsímil")</f>
        <v>Abrir facsímil</v>
      </c>
      <c r="K586" s="3" t="s">
        <v>74</v>
      </c>
    </row>
    <row r="587" spans="1:11" ht="42" customHeight="1">
      <c r="A587" s="2" t="s">
        <v>1718</v>
      </c>
      <c r="B587" s="2" t="s">
        <v>1718</v>
      </c>
      <c r="C587" s="2" t="s">
        <v>81</v>
      </c>
      <c r="D587" s="2" t="s">
        <v>50</v>
      </c>
      <c r="E587" s="5">
        <v>-30907</v>
      </c>
      <c r="F587" s="3" t="s">
        <v>301</v>
      </c>
      <c r="G587" s="3" t="s">
        <v>377</v>
      </c>
      <c r="H587" s="2" t="s">
        <v>72</v>
      </c>
      <c r="I587" s="2" t="s">
        <v>1719</v>
      </c>
      <c r="J587" s="3" t="str">
        <f>HYPERLINK("https://www.boe.es/gazeta/dias/1815/05/18/pdfs/GMD-1815-60.pdf#page=2","Abrir facsímil")</f>
        <v>Abrir facsímil</v>
      </c>
      <c r="K587" s="3" t="s">
        <v>74</v>
      </c>
    </row>
    <row r="588" spans="1:11" ht="42" customHeight="1">
      <c r="A588" s="2" t="s">
        <v>1718</v>
      </c>
      <c r="B588" s="2" t="s">
        <v>1718</v>
      </c>
      <c r="C588" s="2" t="s">
        <v>31</v>
      </c>
      <c r="D588" s="2" t="s">
        <v>32</v>
      </c>
      <c r="E588" s="5">
        <v>-30877</v>
      </c>
      <c r="F588" s="3" t="s">
        <v>548</v>
      </c>
      <c r="G588" s="3" t="s">
        <v>1720</v>
      </c>
      <c r="H588" s="2" t="s">
        <v>72</v>
      </c>
      <c r="I588" s="2" t="s">
        <v>1721</v>
      </c>
      <c r="J588" s="3" t="str">
        <f>HYPERLINK("https://www.boe.es/gazeta/dias/1815/06/17/pdfs/GMD-1815-73.pdf#page=4","Abrir facsímil")</f>
        <v>Abrir facsímil</v>
      </c>
      <c r="K588" s="3" t="s">
        <v>74</v>
      </c>
    </row>
    <row r="589" spans="1:11" ht="42" customHeight="1">
      <c r="A589" s="2" t="s">
        <v>1722</v>
      </c>
      <c r="B589" s="2" t="s">
        <v>1722</v>
      </c>
      <c r="C589" s="2" t="s">
        <v>17</v>
      </c>
      <c r="D589" s="2" t="s">
        <v>18</v>
      </c>
      <c r="E589" s="5">
        <v>-30821</v>
      </c>
      <c r="F589" s="3" t="s">
        <v>915</v>
      </c>
      <c r="G589" s="3" t="s">
        <v>1304</v>
      </c>
      <c r="H589" s="2" t="s">
        <v>72</v>
      </c>
      <c r="I589" s="2" t="s">
        <v>1723</v>
      </c>
      <c r="J589" s="3" t="str">
        <f>HYPERLINK("https://www.boe.es/gazeta/dias/1815/08/12/pdfs/GMD-1815-99.pdf#page=4","Abrir facsímil")</f>
        <v>Abrir facsímil</v>
      </c>
      <c r="K589" s="3" t="s">
        <v>74</v>
      </c>
    </row>
    <row r="590" spans="1:11" ht="42" customHeight="1">
      <c r="A590" s="2" t="s">
        <v>1724</v>
      </c>
      <c r="B590" s="2" t="s">
        <v>1725</v>
      </c>
      <c r="C590" s="2" t="s">
        <v>31</v>
      </c>
      <c r="D590" s="2" t="s">
        <v>32</v>
      </c>
      <c r="E590" s="5">
        <v>-30982</v>
      </c>
      <c r="F590" s="3" t="s">
        <v>220</v>
      </c>
      <c r="G590" s="3" t="s">
        <v>57</v>
      </c>
      <c r="H590" s="2" t="s">
        <v>72</v>
      </c>
      <c r="I590" s="2" t="s">
        <v>1726</v>
      </c>
      <c r="J590" s="3" t="str">
        <f>HYPERLINK("https://www.boe.es/gazeta/dias/1815/03/04/pdfs/GMD-1815-27.pdf#page=5","Abrir facsímil")</f>
        <v>Abrir facsímil</v>
      </c>
      <c r="K590" s="3" t="s">
        <v>74</v>
      </c>
    </row>
    <row r="591" spans="1:11" ht="42" customHeight="1">
      <c r="A591" s="2" t="s">
        <v>1727</v>
      </c>
      <c r="B591" s="2" t="s">
        <v>1728</v>
      </c>
      <c r="C591" s="2" t="s">
        <v>31</v>
      </c>
      <c r="D591" s="2" t="s">
        <v>32</v>
      </c>
      <c r="E591" s="5">
        <v>-30739</v>
      </c>
      <c r="F591" s="3" t="s">
        <v>254</v>
      </c>
      <c r="G591" s="3" t="s">
        <v>224</v>
      </c>
      <c r="H591" s="2" t="s">
        <v>72</v>
      </c>
      <c r="I591" s="2" t="s">
        <v>1729</v>
      </c>
      <c r="J591" s="3" t="str">
        <f>HYPERLINK("https://www.boe.es/gazeta/dias/1815/11/02/pdfs/GMD-1815-137.pdf#page=9","Abrir facsímil")</f>
        <v>Abrir facsímil</v>
      </c>
      <c r="K591" s="3" t="s">
        <v>74</v>
      </c>
    </row>
    <row r="592" spans="1:11" ht="42" customHeight="1">
      <c r="A592" s="2" t="s">
        <v>1730</v>
      </c>
      <c r="B592" s="2" t="s">
        <v>1731</v>
      </c>
      <c r="C592" s="2" t="s">
        <v>49</v>
      </c>
      <c r="D592" s="2" t="s">
        <v>50</v>
      </c>
      <c r="E592" s="5">
        <v>-30865</v>
      </c>
      <c r="F592" s="3" t="s">
        <v>163</v>
      </c>
      <c r="G592" s="3" t="s">
        <v>27</v>
      </c>
      <c r="H592" s="2" t="s">
        <v>72</v>
      </c>
      <c r="I592" s="2" t="s">
        <v>1732</v>
      </c>
      <c r="J592" s="3" t="str">
        <f>HYPERLINK("https://www.boe.es/gazeta/dias/1815/06/29/pdfs/GMD-1815-78.pdf#page=6","Abrir facsímil")</f>
        <v>Abrir facsímil</v>
      </c>
      <c r="K592" s="3" t="s">
        <v>74</v>
      </c>
    </row>
    <row r="593" spans="1:11" ht="42" customHeight="1">
      <c r="A593" s="2" t="s">
        <v>1733</v>
      </c>
      <c r="B593" s="2" t="s">
        <v>1734</v>
      </c>
      <c r="C593" s="2" t="s">
        <v>17</v>
      </c>
      <c r="D593" s="2" t="s">
        <v>18</v>
      </c>
      <c r="E593" s="5">
        <v>-30762</v>
      </c>
      <c r="F593" s="3" t="s">
        <v>19</v>
      </c>
      <c r="G593" s="3" t="s">
        <v>20</v>
      </c>
      <c r="H593" s="2" t="s">
        <v>72</v>
      </c>
      <c r="I593" s="2" t="s">
        <v>1735</v>
      </c>
      <c r="J593" s="3" t="str">
        <f>HYPERLINK("https://www.boe.es/gazeta/dias/1815/10/10/pdfs/GMD-1815-127.pdf#page=4","Abrir facsímil")</f>
        <v>Abrir facsímil</v>
      </c>
      <c r="K593" s="3" t="s">
        <v>74</v>
      </c>
    </row>
    <row r="594" spans="1:11" ht="42" customHeight="1">
      <c r="A594" s="2" t="s">
        <v>1736</v>
      </c>
      <c r="B594" s="2" t="s">
        <v>1737</v>
      </c>
      <c r="C594" s="2" t="s">
        <v>17</v>
      </c>
      <c r="D594" s="2" t="s">
        <v>18</v>
      </c>
      <c r="E594" s="5">
        <v>-30872</v>
      </c>
      <c r="F594" s="3" t="s">
        <v>167</v>
      </c>
      <c r="G594" s="3" t="s">
        <v>342</v>
      </c>
      <c r="H594" s="2" t="s">
        <v>72</v>
      </c>
      <c r="I594" s="2" t="s">
        <v>1738</v>
      </c>
      <c r="J594" s="3" t="str">
        <f>HYPERLINK("https://www.boe.es/gazeta/dias/1815/06/22/pdfs/GMD-1815-75.pdf#page=8","Abrir facsímil")</f>
        <v>Abrir facsímil</v>
      </c>
      <c r="K594" s="3" t="s">
        <v>74</v>
      </c>
    </row>
    <row r="595" spans="1:11" ht="42" customHeight="1">
      <c r="A595" s="2" t="s">
        <v>1739</v>
      </c>
      <c r="B595" s="2" t="s">
        <v>1740</v>
      </c>
      <c r="C595" s="2" t="s">
        <v>897</v>
      </c>
      <c r="D595" s="2" t="s">
        <v>50</v>
      </c>
      <c r="E595" s="5">
        <v>-30720</v>
      </c>
      <c r="F595" s="3" t="s">
        <v>373</v>
      </c>
      <c r="G595" s="3" t="s">
        <v>88</v>
      </c>
      <c r="H595" s="2" t="s">
        <v>72</v>
      </c>
      <c r="I595" s="2" t="s">
        <v>1741</v>
      </c>
      <c r="J595" s="3" t="str">
        <f>HYPERLINK("https://www.boe.es/gazeta/dias/1815/11/21/pdfs/GMD-1815-145.pdf#page=10","Abrir facsímil")</f>
        <v>Abrir facsímil</v>
      </c>
      <c r="K595" s="3" t="s">
        <v>74</v>
      </c>
    </row>
    <row r="596" spans="1:11" ht="42" customHeight="1">
      <c r="A596" s="2" t="s">
        <v>1742</v>
      </c>
      <c r="B596" s="2" t="s">
        <v>1743</v>
      </c>
      <c r="C596" s="2" t="s">
        <v>31</v>
      </c>
      <c r="D596" s="2" t="s">
        <v>32</v>
      </c>
      <c r="E596" s="5">
        <v>-31038</v>
      </c>
      <c r="F596" s="3" t="s">
        <v>395</v>
      </c>
      <c r="G596" s="3" t="s">
        <v>396</v>
      </c>
      <c r="H596" s="2" t="s">
        <v>72</v>
      </c>
      <c r="I596" s="2" t="s">
        <v>1744</v>
      </c>
      <c r="J596" s="3" t="str">
        <f>HYPERLINK("https://www.boe.es/gazeta/dias/1815/01/07/pdfs/GMD-1815-3.pdf#page=5","Abrir facsímil")</f>
        <v>Abrir facsímil</v>
      </c>
      <c r="K596" s="3" t="s">
        <v>74</v>
      </c>
    </row>
    <row r="597" spans="1:11" ht="42" customHeight="1">
      <c r="A597" s="2" t="s">
        <v>1745</v>
      </c>
      <c r="B597" s="2" t="s">
        <v>1746</v>
      </c>
      <c r="C597" s="2" t="s">
        <v>31</v>
      </c>
      <c r="D597" s="2" t="s">
        <v>32</v>
      </c>
      <c r="E597" s="5">
        <v>-30772</v>
      </c>
      <c r="F597" s="3" t="s">
        <v>216</v>
      </c>
      <c r="G597" s="3" t="s">
        <v>71</v>
      </c>
      <c r="H597" s="2" t="s">
        <v>21</v>
      </c>
      <c r="I597" s="2" t="s">
        <v>1747</v>
      </c>
      <c r="J597" s="3" t="str">
        <f>HYPERLINK("https://www.boe.es/gazeta/dias/1815/09/30/pdfs/GMD-1815-123.pdf#page=7","Abrir facsímil")</f>
        <v>Abrir facsímil</v>
      </c>
      <c r="K597" s="3" t="s">
        <v>23</v>
      </c>
    </row>
    <row r="598" spans="1:11" ht="42" customHeight="1">
      <c r="A598" s="2" t="s">
        <v>1748</v>
      </c>
      <c r="B598" s="2" t="s">
        <v>1749</v>
      </c>
      <c r="C598" s="2" t="s">
        <v>49</v>
      </c>
      <c r="D598" s="2" t="s">
        <v>50</v>
      </c>
      <c r="E598" s="5">
        <v>-30753</v>
      </c>
      <c r="F598" s="3" t="s">
        <v>1635</v>
      </c>
      <c r="G598" s="3" t="s">
        <v>71</v>
      </c>
      <c r="H598" s="2" t="s">
        <v>21</v>
      </c>
      <c r="I598" s="2" t="s">
        <v>1750</v>
      </c>
      <c r="J598" s="3" t="str">
        <f>HYPERLINK("https://www.boe.es/gazeta/dias/1815/10/19/pdfs/GMD-1815-131.pdf#page=7","Abrir facsímil")</f>
        <v>Abrir facsímil</v>
      </c>
      <c r="K598" s="3" t="s">
        <v>23</v>
      </c>
    </row>
    <row r="599" spans="1:11" ht="42" customHeight="1">
      <c r="A599" s="2" t="s">
        <v>1751</v>
      </c>
      <c r="B599" s="2" t="s">
        <v>1752</v>
      </c>
      <c r="C599" s="2" t="s">
        <v>195</v>
      </c>
      <c r="D599" s="2" t="s">
        <v>50</v>
      </c>
      <c r="E599" s="5">
        <v>-31033</v>
      </c>
      <c r="F599" s="3" t="s">
        <v>493</v>
      </c>
      <c r="G599" s="3" t="s">
        <v>71</v>
      </c>
      <c r="H599" s="2" t="s">
        <v>72</v>
      </c>
      <c r="I599" s="2" t="s">
        <v>1753</v>
      </c>
      <c r="J599" s="3" t="str">
        <f>HYPERLINK("https://www.boe.es/gazeta/dias/1815/01/12/pdfs/GMD-1815-5.pdf#page=7","Abrir facsímil")</f>
        <v>Abrir facsímil</v>
      </c>
      <c r="K599" s="3" t="s">
        <v>74</v>
      </c>
    </row>
    <row r="600" spans="1:11" ht="42" customHeight="1">
      <c r="A600" s="2" t="s">
        <v>1754</v>
      </c>
      <c r="B600" s="2" t="s">
        <v>1755</v>
      </c>
      <c r="C600" s="2" t="s">
        <v>17</v>
      </c>
      <c r="D600" s="2" t="s">
        <v>18</v>
      </c>
      <c r="E600" s="5">
        <v>-30921</v>
      </c>
      <c r="F600" s="3" t="s">
        <v>191</v>
      </c>
      <c r="G600" s="3" t="s">
        <v>27</v>
      </c>
      <c r="H600" s="2" t="s">
        <v>21</v>
      </c>
      <c r="I600" s="2" t="s">
        <v>1756</v>
      </c>
      <c r="J600" s="3" t="str">
        <f>HYPERLINK("https://www.boe.es/gazeta/dias/1815/05/04/pdfs/GMD-1815-54.pdf#page=6","Abrir facsímil")</f>
        <v>Abrir facsímil</v>
      </c>
      <c r="K600" s="3" t="s">
        <v>23</v>
      </c>
    </row>
    <row r="601" spans="1:11" ht="42" customHeight="1">
      <c r="A601" s="2" t="s">
        <v>1757</v>
      </c>
      <c r="B601" s="2" t="s">
        <v>1758</v>
      </c>
      <c r="C601" s="2" t="s">
        <v>49</v>
      </c>
      <c r="D601" s="2" t="s">
        <v>50</v>
      </c>
      <c r="E601" s="5">
        <v>-30863</v>
      </c>
      <c r="F601" s="3" t="s">
        <v>110</v>
      </c>
      <c r="G601" s="3" t="s">
        <v>224</v>
      </c>
      <c r="H601" s="2" t="s">
        <v>72</v>
      </c>
      <c r="I601" s="2" t="s">
        <v>1759</v>
      </c>
      <c r="J601" s="3" t="str">
        <f>HYPERLINK("https://www.boe.es/gazeta/dias/1815/07/01/pdfs/GMD-1815-79.pdf#page=9","Abrir facsímil")</f>
        <v>Abrir facsímil</v>
      </c>
      <c r="K601" s="3" t="s">
        <v>74</v>
      </c>
    </row>
    <row r="602" spans="1:11" ht="42" customHeight="1">
      <c r="A602" s="2" t="s">
        <v>1760</v>
      </c>
      <c r="B602" s="2" t="s">
        <v>1760</v>
      </c>
      <c r="C602" s="2" t="s">
        <v>195</v>
      </c>
      <c r="D602" s="2" t="s">
        <v>50</v>
      </c>
      <c r="E602" s="5">
        <v>-30996</v>
      </c>
      <c r="F602" s="3" t="s">
        <v>289</v>
      </c>
      <c r="G602" s="3" t="s">
        <v>27</v>
      </c>
      <c r="H602" s="2" t="s">
        <v>72</v>
      </c>
      <c r="I602" s="2" t="s">
        <v>1761</v>
      </c>
      <c r="J602" s="3" t="str">
        <f>HYPERLINK("https://www.boe.es/gazeta/dias/1815/02/18/pdfs/GMD-1815-21.pdf#page=6","Abrir facsímil")</f>
        <v>Abrir facsímil</v>
      </c>
      <c r="K602" s="3" t="s">
        <v>74</v>
      </c>
    </row>
    <row r="603" spans="1:11" ht="42" customHeight="1">
      <c r="A603" s="2" t="s">
        <v>1762</v>
      </c>
      <c r="B603" s="2" t="s">
        <v>1763</v>
      </c>
      <c r="C603" s="2" t="s">
        <v>49</v>
      </c>
      <c r="D603" s="2" t="s">
        <v>50</v>
      </c>
      <c r="E603" s="5">
        <v>-31040</v>
      </c>
      <c r="F603" s="3" t="s">
        <v>326</v>
      </c>
      <c r="G603" s="3" t="s">
        <v>27</v>
      </c>
      <c r="H603" s="2" t="s">
        <v>72</v>
      </c>
      <c r="I603" s="2" t="s">
        <v>1764</v>
      </c>
      <c r="J603" s="3" t="str">
        <f>HYPERLINK("https://www.boe.es/gazeta/dias/1815/01/05/pdfs/GMD-1815-2.pdf#page=6","Abrir facsímil")</f>
        <v>Abrir facsímil</v>
      </c>
      <c r="K603" s="3" t="s">
        <v>74</v>
      </c>
    </row>
    <row r="604" spans="1:11" ht="42" customHeight="1">
      <c r="A604" s="2" t="s">
        <v>1765</v>
      </c>
      <c r="B604" s="2" t="s">
        <v>1766</v>
      </c>
      <c r="C604" s="2" t="s">
        <v>17</v>
      </c>
      <c r="D604" s="2" t="s">
        <v>18</v>
      </c>
      <c r="E604" s="5">
        <v>-30804</v>
      </c>
      <c r="F604" s="3" t="s">
        <v>891</v>
      </c>
      <c r="G604" s="3" t="s">
        <v>20</v>
      </c>
      <c r="H604" s="2" t="s">
        <v>21</v>
      </c>
      <c r="I604" s="2" t="s">
        <v>1767</v>
      </c>
      <c r="J604" s="3" t="str">
        <f>HYPERLINK("https://www.boe.es/gazeta/dias/1815/08/29/pdfs/GMD-1815-106.pdf#page=4","Abrir facsímil")</f>
        <v>Abrir facsímil</v>
      </c>
      <c r="K604" s="3" t="s">
        <v>23</v>
      </c>
    </row>
    <row r="605" spans="1:11" ht="42" customHeight="1">
      <c r="A605" s="2" t="s">
        <v>1768</v>
      </c>
      <c r="B605" s="2" t="s">
        <v>1768</v>
      </c>
      <c r="C605" s="2" t="s">
        <v>81</v>
      </c>
      <c r="D605" s="2" t="s">
        <v>50</v>
      </c>
      <c r="E605" s="5">
        <v>-30790</v>
      </c>
      <c r="F605" s="3" t="s">
        <v>285</v>
      </c>
      <c r="G605" s="3" t="s">
        <v>71</v>
      </c>
      <c r="H605" s="2" t="s">
        <v>72</v>
      </c>
      <c r="I605" s="2" t="s">
        <v>1769</v>
      </c>
      <c r="J605" s="3" t="str">
        <f>HYPERLINK("https://www.boe.es/gazeta/dias/1815/09/12/pdfs/GMD-1815-113.pdf#page=7","Abrir facsímil")</f>
        <v>Abrir facsímil</v>
      </c>
      <c r="K605" s="3" t="s">
        <v>74</v>
      </c>
    </row>
    <row r="606" spans="1:11" ht="42" customHeight="1">
      <c r="A606" s="2" t="s">
        <v>1770</v>
      </c>
      <c r="B606" s="2" t="s">
        <v>1771</v>
      </c>
      <c r="C606" s="2" t="s">
        <v>195</v>
      </c>
      <c r="D606" s="2" t="s">
        <v>50</v>
      </c>
      <c r="E606" s="5">
        <v>-31000</v>
      </c>
      <c r="F606" s="3" t="s">
        <v>70</v>
      </c>
      <c r="G606" s="3" t="s">
        <v>847</v>
      </c>
      <c r="H606" s="2" t="s">
        <v>72</v>
      </c>
      <c r="I606" s="2" t="s">
        <v>1772</v>
      </c>
      <c r="J606" s="3" t="str">
        <f>HYPERLINK("https://www.boe.es/gazeta/dias/1815/02/14/pdfs/GMD-1815-19.pdf#page=6","Abrir facsímil")</f>
        <v>Abrir facsímil</v>
      </c>
      <c r="K606" s="3" t="s">
        <v>74</v>
      </c>
    </row>
    <row r="607" spans="1:11" ht="42" customHeight="1">
      <c r="A607" s="2" t="s">
        <v>1773</v>
      </c>
      <c r="B607" s="2" t="s">
        <v>1774</v>
      </c>
      <c r="C607" s="2" t="s">
        <v>17</v>
      </c>
      <c r="D607" s="2" t="s">
        <v>18</v>
      </c>
      <c r="E607" s="5">
        <v>-30755</v>
      </c>
      <c r="F607" s="3" t="s">
        <v>598</v>
      </c>
      <c r="G607" s="3" t="s">
        <v>276</v>
      </c>
      <c r="H607" s="2" t="s">
        <v>72</v>
      </c>
      <c r="I607" s="2" t="s">
        <v>1775</v>
      </c>
      <c r="J607" s="3" t="str">
        <f>HYPERLINK("https://www.boe.es/gazeta/dias/1815/10/17/pdfs/GMD-1815-130.pdf#page=12","Abrir facsímil")</f>
        <v>Abrir facsímil</v>
      </c>
      <c r="K607" s="3" t="s">
        <v>74</v>
      </c>
    </row>
    <row r="608" spans="1:11" ht="42" customHeight="1">
      <c r="A608" s="2" t="s">
        <v>1776</v>
      </c>
      <c r="B608" s="2" t="s">
        <v>1777</v>
      </c>
      <c r="C608" s="2" t="s">
        <v>31</v>
      </c>
      <c r="D608" s="2" t="s">
        <v>32</v>
      </c>
      <c r="E608" s="5">
        <v>-30907</v>
      </c>
      <c r="F608" s="3" t="s">
        <v>301</v>
      </c>
      <c r="G608" s="3" t="s">
        <v>71</v>
      </c>
      <c r="H608" s="2" t="s">
        <v>21</v>
      </c>
      <c r="I608" s="2" t="s">
        <v>1778</v>
      </c>
      <c r="J608" s="3" t="str">
        <f>HYPERLINK("https://www.boe.es/gazeta/dias/1815/05/18/pdfs/GMD-1815-60.pdf#page=7","Abrir facsímil")</f>
        <v>Abrir facsímil</v>
      </c>
      <c r="K608" s="3" t="s">
        <v>23</v>
      </c>
    </row>
    <row r="609" spans="1:11" ht="42" customHeight="1">
      <c r="A609" s="2" t="s">
        <v>1779</v>
      </c>
      <c r="B609" s="2" t="s">
        <v>1780</v>
      </c>
      <c r="C609" s="2" t="s">
        <v>17</v>
      </c>
      <c r="D609" s="2" t="s">
        <v>18</v>
      </c>
      <c r="E609" s="5">
        <v>-30767</v>
      </c>
      <c r="F609" s="3" t="s">
        <v>228</v>
      </c>
      <c r="G609" s="3" t="s">
        <v>88</v>
      </c>
      <c r="H609" s="2" t="s">
        <v>72</v>
      </c>
      <c r="I609" s="2" t="s">
        <v>1781</v>
      </c>
      <c r="J609" s="3" t="str">
        <f>HYPERLINK("https://www.boe.es/gazeta/dias/1815/10/05/pdfs/GMD-1815-125.pdf#page=10","Abrir facsímil")</f>
        <v>Abrir facsímil</v>
      </c>
      <c r="K609" s="3" t="s">
        <v>74</v>
      </c>
    </row>
    <row r="610" spans="1:11" ht="42" customHeight="1">
      <c r="A610" s="2" t="s">
        <v>1782</v>
      </c>
      <c r="B610" s="2" t="s">
        <v>1783</v>
      </c>
      <c r="C610" s="2" t="s">
        <v>49</v>
      </c>
      <c r="D610" s="2" t="s">
        <v>50</v>
      </c>
      <c r="E610" s="5">
        <v>-30818</v>
      </c>
      <c r="F610" s="3" t="s">
        <v>334</v>
      </c>
      <c r="G610" s="3" t="s">
        <v>224</v>
      </c>
      <c r="H610" s="2" t="s">
        <v>72</v>
      </c>
      <c r="I610" s="2" t="s">
        <v>1784</v>
      </c>
      <c r="J610" s="3" t="str">
        <f>HYPERLINK("https://www.boe.es/gazeta/dias/1815/08/15/pdfs/GMD-1815-100.pdf#page=9","Abrir facsímil")</f>
        <v>Abrir facsímil</v>
      </c>
      <c r="K610" s="3" t="s">
        <v>74</v>
      </c>
    </row>
    <row r="611" spans="1:11" ht="42" customHeight="1">
      <c r="A611" s="2" t="s">
        <v>1785</v>
      </c>
      <c r="B611" s="2" t="s">
        <v>1785</v>
      </c>
      <c r="C611" s="2" t="s">
        <v>31</v>
      </c>
      <c r="D611" s="2" t="s">
        <v>32</v>
      </c>
      <c r="E611" s="5">
        <v>-30937</v>
      </c>
      <c r="F611" s="3" t="s">
        <v>322</v>
      </c>
      <c r="G611" s="3" t="s">
        <v>97</v>
      </c>
      <c r="H611" s="2" t="s">
        <v>72</v>
      </c>
      <c r="I611" s="2" t="s">
        <v>1786</v>
      </c>
      <c r="J611" s="3" t="str">
        <f>HYPERLINK("https://www.boe.es/gazeta/dias/1815/04/18/pdfs/GMD-1815-47.pdf#page=3","Abrir facsímil")</f>
        <v>Abrir facsímil</v>
      </c>
      <c r="K611" s="3" t="s">
        <v>74</v>
      </c>
    </row>
    <row r="612" spans="1:11" ht="42" customHeight="1">
      <c r="A612" s="2" t="s">
        <v>1785</v>
      </c>
      <c r="B612" s="2" t="s">
        <v>1785</v>
      </c>
      <c r="C612" s="2" t="s">
        <v>31</v>
      </c>
      <c r="D612" s="2" t="s">
        <v>32</v>
      </c>
      <c r="E612" s="5">
        <v>-30807</v>
      </c>
      <c r="F612" s="3" t="s">
        <v>586</v>
      </c>
      <c r="G612" s="3" t="s">
        <v>410</v>
      </c>
      <c r="H612" s="2" t="s">
        <v>72</v>
      </c>
      <c r="I612" s="2" t="s">
        <v>1787</v>
      </c>
      <c r="J612" s="3" t="str">
        <f>HYPERLINK("https://www.boe.es/gazeta/dias/1815/08/26/pdfs/GMD-1815-105.pdf#page=1","Abrir facsímil")</f>
        <v>Abrir facsímil</v>
      </c>
      <c r="K612" s="3" t="s">
        <v>74</v>
      </c>
    </row>
    <row r="613" spans="1:11" ht="42" customHeight="1">
      <c r="A613" s="2" t="s">
        <v>1785</v>
      </c>
      <c r="B613" s="2" t="s">
        <v>1785</v>
      </c>
      <c r="C613" s="2" t="s">
        <v>31</v>
      </c>
      <c r="D613" s="2" t="s">
        <v>32</v>
      </c>
      <c r="E613" s="5">
        <v>-30711</v>
      </c>
      <c r="F613" s="3" t="s">
        <v>438</v>
      </c>
      <c r="G613" s="3" t="s">
        <v>410</v>
      </c>
      <c r="H613" s="2" t="s">
        <v>72</v>
      </c>
      <c r="I613" s="2" t="s">
        <v>1788</v>
      </c>
      <c r="J613" s="3" t="str">
        <f>HYPERLINK("https://www.boe.es/gazeta/dias/1815/11/30/pdfs/GMD-1815-149.pdf#page=1","Abrir facsímil")</f>
        <v>Abrir facsímil</v>
      </c>
      <c r="K613" s="3" t="s">
        <v>74</v>
      </c>
    </row>
    <row r="614" spans="1:11" ht="42" customHeight="1">
      <c r="A614" s="2" t="s">
        <v>1789</v>
      </c>
      <c r="B614" s="2" t="s">
        <v>1789</v>
      </c>
      <c r="C614" s="2" t="s">
        <v>31</v>
      </c>
      <c r="D614" s="2" t="s">
        <v>32</v>
      </c>
      <c r="E614" s="5">
        <v>-30972</v>
      </c>
      <c r="F614" s="3" t="s">
        <v>1382</v>
      </c>
      <c r="G614" s="3" t="s">
        <v>97</v>
      </c>
      <c r="H614" s="2" t="s">
        <v>72</v>
      </c>
      <c r="I614" s="2" t="s">
        <v>1790</v>
      </c>
      <c r="J614" s="3" t="str">
        <f>HYPERLINK("https://www.boe.es/gazeta/dias/1815/03/14/pdfs/GMD-1815-31.pdf#page=3","Abrir facsímil")</f>
        <v>Abrir facsímil</v>
      </c>
      <c r="K614" s="3" t="s">
        <v>74</v>
      </c>
    </row>
    <row r="615" spans="1:11" ht="42" customHeight="1">
      <c r="A615" s="2" t="s">
        <v>1789</v>
      </c>
      <c r="B615" s="2" t="s">
        <v>1789</v>
      </c>
      <c r="C615" s="2" t="s">
        <v>31</v>
      </c>
      <c r="D615" s="2" t="s">
        <v>32</v>
      </c>
      <c r="E615" s="5">
        <v>-30893</v>
      </c>
      <c r="F615" s="3" t="s">
        <v>132</v>
      </c>
      <c r="G615" s="3" t="s">
        <v>97</v>
      </c>
      <c r="H615" s="2" t="s">
        <v>72</v>
      </c>
      <c r="I615" s="2" t="s">
        <v>1791</v>
      </c>
      <c r="J615" s="3" t="str">
        <f>HYPERLINK("https://www.boe.es/gazeta/dias/1815/06/01/pdfs/GMD-1815-66.pdf#page=3","Abrir facsímil")</f>
        <v>Abrir facsímil</v>
      </c>
      <c r="K615" s="3" t="s">
        <v>74</v>
      </c>
    </row>
    <row r="616" spans="1:11" ht="42" customHeight="1">
      <c r="A616" s="2" t="s">
        <v>1792</v>
      </c>
      <c r="B616" s="2" t="s">
        <v>1792</v>
      </c>
      <c r="C616" s="2" t="s">
        <v>31</v>
      </c>
      <c r="D616" s="2" t="s">
        <v>32</v>
      </c>
      <c r="E616" s="5">
        <v>-30935</v>
      </c>
      <c r="F616" s="3" t="s">
        <v>519</v>
      </c>
      <c r="G616" s="3" t="s">
        <v>1793</v>
      </c>
      <c r="H616" s="2" t="s">
        <v>72</v>
      </c>
      <c r="I616" s="2" t="s">
        <v>1794</v>
      </c>
      <c r="J616" s="3" t="str">
        <f>HYPERLINK("https://www.boe.es/gazeta/dias/1815/04/20/pdfs/GMD-1815-48.pdf#page=2","Abrir facsímil")</f>
        <v>Abrir facsímil</v>
      </c>
      <c r="K616" s="3" t="s">
        <v>74</v>
      </c>
    </row>
    <row r="617" spans="1:11" ht="42" customHeight="1">
      <c r="A617" s="2" t="s">
        <v>1795</v>
      </c>
      <c r="B617" s="2" t="s">
        <v>1796</v>
      </c>
      <c r="C617" s="2" t="s">
        <v>31</v>
      </c>
      <c r="D617" s="2" t="s">
        <v>32</v>
      </c>
      <c r="E617" s="5">
        <v>-30970</v>
      </c>
      <c r="F617" s="3" t="s">
        <v>436</v>
      </c>
      <c r="G617" s="3" t="s">
        <v>97</v>
      </c>
      <c r="H617" s="2" t="s">
        <v>72</v>
      </c>
      <c r="I617" s="2" t="s">
        <v>1797</v>
      </c>
      <c r="J617" s="3" t="str">
        <f>HYPERLINK("https://www.boe.es/gazeta/dias/1815/03/16/pdfs/GMD-1815-32.pdf#page=3","Abrir facsímil")</f>
        <v>Abrir facsímil</v>
      </c>
      <c r="K617" s="3" t="s">
        <v>74</v>
      </c>
    </row>
    <row r="618" spans="1:11" ht="42" customHeight="1">
      <c r="A618" s="2" t="s">
        <v>1798</v>
      </c>
      <c r="B618" s="2" t="s">
        <v>1799</v>
      </c>
      <c r="C618" s="2" t="s">
        <v>31</v>
      </c>
      <c r="D618" s="2" t="s">
        <v>32</v>
      </c>
      <c r="E618" s="5">
        <v>-30825</v>
      </c>
      <c r="F618" s="3" t="s">
        <v>669</v>
      </c>
      <c r="G618" s="3" t="s">
        <v>224</v>
      </c>
      <c r="H618" s="2" t="s">
        <v>72</v>
      </c>
      <c r="I618" s="2" t="s">
        <v>1800</v>
      </c>
      <c r="J618" s="3" t="str">
        <f>HYPERLINK("https://www.boe.es/gazeta/dias/1815/08/08/pdfs/GMD-1815-97.pdf#page=9","Abrir facsímil")</f>
        <v>Abrir facsímil</v>
      </c>
      <c r="K618" s="3" t="s">
        <v>74</v>
      </c>
    </row>
    <row r="619" spans="1:11" ht="42" customHeight="1">
      <c r="A619" s="2" t="s">
        <v>1801</v>
      </c>
      <c r="B619" s="2" t="s">
        <v>1801</v>
      </c>
      <c r="C619" s="2" t="s">
        <v>31</v>
      </c>
      <c r="D619" s="2" t="s">
        <v>32</v>
      </c>
      <c r="E619" s="5">
        <v>-31035</v>
      </c>
      <c r="F619" s="3" t="s">
        <v>42</v>
      </c>
      <c r="G619" s="3" t="s">
        <v>71</v>
      </c>
      <c r="H619" s="2" t="s">
        <v>72</v>
      </c>
      <c r="I619" s="2" t="s">
        <v>1802</v>
      </c>
      <c r="J619" s="3" t="str">
        <f>HYPERLINK("https://www.boe.es/gazeta/dias/1815/01/10/pdfs/GMD-1815-4.pdf#page=7","Abrir facsímil")</f>
        <v>Abrir facsímil</v>
      </c>
      <c r="K619" s="3" t="s">
        <v>74</v>
      </c>
    </row>
    <row r="620" spans="1:11" ht="42" customHeight="1">
      <c r="A620" s="2" t="s">
        <v>1801</v>
      </c>
      <c r="B620" s="2" t="s">
        <v>1801</v>
      </c>
      <c r="C620" s="2" t="s">
        <v>31</v>
      </c>
      <c r="D620" s="2" t="s">
        <v>32</v>
      </c>
      <c r="E620" s="5">
        <v>-30916</v>
      </c>
      <c r="F620" s="3" t="s">
        <v>147</v>
      </c>
      <c r="G620" s="3" t="s">
        <v>148</v>
      </c>
      <c r="H620" s="2" t="s">
        <v>72</v>
      </c>
      <c r="I620" s="2" t="s">
        <v>1803</v>
      </c>
      <c r="J620" s="3" t="str">
        <f>HYPERLINK("https://www.boe.es/gazeta/dias/1815/05/09/pdfs/GMD-1815-56.pdf#page=7","Abrir facsímil")</f>
        <v>Abrir facsímil</v>
      </c>
      <c r="K620" s="3" t="s">
        <v>74</v>
      </c>
    </row>
    <row r="621" spans="1:11" ht="42" customHeight="1">
      <c r="A621" s="2" t="s">
        <v>1801</v>
      </c>
      <c r="B621" s="2" t="s">
        <v>1801</v>
      </c>
      <c r="C621" s="2" t="s">
        <v>49</v>
      </c>
      <c r="D621" s="2" t="s">
        <v>50</v>
      </c>
      <c r="E621" s="5">
        <v>-30916</v>
      </c>
      <c r="F621" s="3" t="s">
        <v>147</v>
      </c>
      <c r="G621" s="3" t="s">
        <v>38</v>
      </c>
      <c r="H621" s="2" t="s">
        <v>72</v>
      </c>
      <c r="I621" s="2" t="s">
        <v>1804</v>
      </c>
      <c r="J621" s="3" t="str">
        <f>HYPERLINK("https://www.boe.es/gazeta/dias/1815/05/09/pdfs/GMD-1815-56.pdf#page=8","Abrir facsímil")</f>
        <v>Abrir facsímil</v>
      </c>
      <c r="K621" s="3" t="s">
        <v>74</v>
      </c>
    </row>
    <row r="622" spans="1:11" ht="42" customHeight="1">
      <c r="A622" s="2" t="s">
        <v>1801</v>
      </c>
      <c r="B622" s="2" t="s">
        <v>1801</v>
      </c>
      <c r="C622" s="2" t="s">
        <v>195</v>
      </c>
      <c r="D622" s="2" t="s">
        <v>50</v>
      </c>
      <c r="E622" s="5">
        <v>-30888</v>
      </c>
      <c r="F622" s="3" t="s">
        <v>368</v>
      </c>
      <c r="G622" s="3" t="s">
        <v>369</v>
      </c>
      <c r="H622" s="2" t="s">
        <v>72</v>
      </c>
      <c r="I622" s="2" t="s">
        <v>1805</v>
      </c>
      <c r="J622" s="3" t="str">
        <f>HYPERLINK("https://www.boe.es/gazeta/dias/1815/06/06/pdfs/GMD-1815-68.pdf#page=7","Abrir facsímil")</f>
        <v>Abrir facsímil</v>
      </c>
      <c r="K622" s="3" t="s">
        <v>74</v>
      </c>
    </row>
    <row r="623" spans="1:11" ht="42" customHeight="1">
      <c r="A623" s="2" t="s">
        <v>1801</v>
      </c>
      <c r="B623" s="2" t="s">
        <v>1801</v>
      </c>
      <c r="C623" s="2" t="s">
        <v>31</v>
      </c>
      <c r="D623" s="2" t="s">
        <v>32</v>
      </c>
      <c r="E623" s="5">
        <v>-30818</v>
      </c>
      <c r="F623" s="3" t="s">
        <v>334</v>
      </c>
      <c r="G623" s="3" t="s">
        <v>88</v>
      </c>
      <c r="H623" s="2" t="s">
        <v>72</v>
      </c>
      <c r="I623" s="2" t="s">
        <v>1806</v>
      </c>
      <c r="J623" s="3" t="str">
        <f>HYPERLINK("https://www.boe.es/gazeta/dias/1815/08/15/pdfs/GMD-1815-100.pdf#page=10","Abrir facsímil")</f>
        <v>Abrir facsímil</v>
      </c>
      <c r="K623" s="3" t="s">
        <v>74</v>
      </c>
    </row>
    <row r="624" spans="1:11" ht="42" customHeight="1">
      <c r="A624" s="2" t="s">
        <v>1807</v>
      </c>
      <c r="B624" s="2" t="s">
        <v>1808</v>
      </c>
      <c r="C624" s="2" t="s">
        <v>49</v>
      </c>
      <c r="D624" s="2" t="s">
        <v>50</v>
      </c>
      <c r="E624" s="5">
        <v>-30933</v>
      </c>
      <c r="F624" s="3" t="s">
        <v>725</v>
      </c>
      <c r="G624" s="3" t="s">
        <v>57</v>
      </c>
      <c r="H624" s="2" t="s">
        <v>72</v>
      </c>
      <c r="I624" s="2" t="s">
        <v>1809</v>
      </c>
      <c r="J624" s="3" t="str">
        <f>HYPERLINK("https://www.boe.es/gazeta/dias/1815/04/22/pdfs/GMD-1815-49.pdf#page=5","Abrir facsímil")</f>
        <v>Abrir facsímil</v>
      </c>
      <c r="K624" s="3" t="s">
        <v>74</v>
      </c>
    </row>
    <row r="625" spans="1:11" ht="42" customHeight="1">
      <c r="A625" s="2" t="s">
        <v>1810</v>
      </c>
      <c r="B625" s="2" t="s">
        <v>1811</v>
      </c>
      <c r="C625" s="2" t="s">
        <v>31</v>
      </c>
      <c r="D625" s="2" t="s">
        <v>32</v>
      </c>
      <c r="E625" s="5">
        <v>-30951</v>
      </c>
      <c r="F625" s="3" t="s">
        <v>87</v>
      </c>
      <c r="G625" s="3" t="s">
        <v>57</v>
      </c>
      <c r="H625" s="2" t="s">
        <v>72</v>
      </c>
      <c r="I625" s="2" t="s">
        <v>1812</v>
      </c>
      <c r="J625" s="3" t="str">
        <f>HYPERLINK("https://www.boe.es/gazeta/dias/1815/04/04/pdfs/GMD-1815-41.pdf#page=5","Abrir facsímil")</f>
        <v>Abrir facsímil</v>
      </c>
      <c r="K625" s="3" t="s">
        <v>74</v>
      </c>
    </row>
    <row r="626" spans="1:11" ht="42" customHeight="1">
      <c r="A626" s="2" t="s">
        <v>1813</v>
      </c>
      <c r="B626" s="2" t="s">
        <v>1814</v>
      </c>
      <c r="C626" s="2" t="s">
        <v>894</v>
      </c>
      <c r="D626" s="2" t="s">
        <v>18</v>
      </c>
      <c r="E626" s="5">
        <v>-30713</v>
      </c>
      <c r="F626" s="3" t="s">
        <v>895</v>
      </c>
      <c r="G626" s="3" t="s">
        <v>71</v>
      </c>
      <c r="H626" s="2" t="s">
        <v>72</v>
      </c>
      <c r="I626" s="2" t="s">
        <v>1815</v>
      </c>
      <c r="J626" s="3" t="str">
        <f>HYPERLINK("https://www.boe.es/gazeta/dias/1815/11/28/pdfs/GMD-1815-148.pdf#page=7","Abrir facsímil")</f>
        <v>Abrir facsímil</v>
      </c>
      <c r="K626" s="3" t="s">
        <v>74</v>
      </c>
    </row>
    <row r="627" spans="1:11" ht="42" customHeight="1">
      <c r="A627" s="2" t="s">
        <v>1816</v>
      </c>
      <c r="B627" s="2" t="s">
        <v>1816</v>
      </c>
      <c r="C627" s="2" t="s">
        <v>31</v>
      </c>
      <c r="D627" s="2" t="s">
        <v>32</v>
      </c>
      <c r="E627" s="5">
        <v>-30723</v>
      </c>
      <c r="F627" s="3" t="s">
        <v>77</v>
      </c>
      <c r="G627" s="3" t="s">
        <v>57</v>
      </c>
      <c r="H627" s="2" t="s">
        <v>72</v>
      </c>
      <c r="I627" s="2" t="s">
        <v>1817</v>
      </c>
      <c r="J627" s="3" t="str">
        <f>HYPERLINK("https://www.boe.es/gazeta/dias/1815/11/18/pdfs/GMD-1815-144.pdf#page=5","Abrir facsímil")</f>
        <v>Abrir facsímil</v>
      </c>
      <c r="K627" s="3" t="s">
        <v>74</v>
      </c>
    </row>
    <row r="628" spans="1:11" ht="42" customHeight="1">
      <c r="A628" s="2" t="s">
        <v>1818</v>
      </c>
      <c r="B628" s="2" t="s">
        <v>1819</v>
      </c>
      <c r="C628" s="2" t="s">
        <v>195</v>
      </c>
      <c r="D628" s="2" t="s">
        <v>50</v>
      </c>
      <c r="E628" s="5">
        <v>-30874</v>
      </c>
      <c r="F628" s="3" t="s">
        <v>208</v>
      </c>
      <c r="G628" s="3" t="s">
        <v>27</v>
      </c>
      <c r="H628" s="2" t="s">
        <v>72</v>
      </c>
      <c r="I628" s="2" t="s">
        <v>1820</v>
      </c>
      <c r="J628" s="3" t="str">
        <f>HYPERLINK("https://www.boe.es/gazeta/dias/1815/06/20/pdfs/GMD-1815-74.pdf#page=6","Abrir facsímil")</f>
        <v>Abrir facsímil</v>
      </c>
      <c r="K628" s="3" t="s">
        <v>74</v>
      </c>
    </row>
    <row r="629" spans="1:11" ht="42" customHeight="1">
      <c r="A629" s="2" t="s">
        <v>1821</v>
      </c>
      <c r="B629" s="2" t="s">
        <v>1822</v>
      </c>
      <c r="C629" s="2" t="s">
        <v>61</v>
      </c>
      <c r="D629" s="2" t="s">
        <v>50</v>
      </c>
      <c r="E629" s="5">
        <v>-30986</v>
      </c>
      <c r="F629" s="3" t="s">
        <v>46</v>
      </c>
      <c r="G629" s="3" t="s">
        <v>276</v>
      </c>
      <c r="H629" s="2" t="s">
        <v>72</v>
      </c>
      <c r="I629" s="2" t="s">
        <v>1823</v>
      </c>
      <c r="J629" s="3" t="str">
        <f>HYPERLINK("https://www.boe.es/gazeta/dias/1815/02/28/pdfs/GMD-1815-25.pdf#page=12","Abrir facsímil")</f>
        <v>Abrir facsímil</v>
      </c>
      <c r="K629" s="3" t="s">
        <v>74</v>
      </c>
    </row>
    <row r="630" spans="1:11" ht="42" customHeight="1">
      <c r="A630" s="2" t="s">
        <v>1824</v>
      </c>
      <c r="B630" s="2" t="s">
        <v>1825</v>
      </c>
      <c r="C630" s="2" t="s">
        <v>31</v>
      </c>
      <c r="D630" s="2" t="s">
        <v>32</v>
      </c>
      <c r="E630" s="5">
        <v>-30860</v>
      </c>
      <c r="F630" s="3" t="s">
        <v>184</v>
      </c>
      <c r="G630" s="3" t="s">
        <v>20</v>
      </c>
      <c r="H630" s="2" t="s">
        <v>72</v>
      </c>
      <c r="I630" s="2" t="s">
        <v>1826</v>
      </c>
      <c r="J630" s="3" t="str">
        <f>HYPERLINK("https://www.boe.es/gazeta/dias/1815/07/04/pdfs/GMD-1815-81.pdf#page=4","Abrir facsímil")</f>
        <v>Abrir facsímil</v>
      </c>
      <c r="K630" s="3" t="s">
        <v>74</v>
      </c>
    </row>
    <row r="631" spans="1:11" ht="42" customHeight="1">
      <c r="A631" s="2" t="s">
        <v>1827</v>
      </c>
      <c r="B631" s="2" t="s">
        <v>1828</v>
      </c>
      <c r="C631" s="2" t="s">
        <v>49</v>
      </c>
      <c r="D631" s="2" t="s">
        <v>50</v>
      </c>
      <c r="E631" s="5">
        <v>-30991</v>
      </c>
      <c r="F631" s="3" t="s">
        <v>318</v>
      </c>
      <c r="G631" s="3" t="s">
        <v>1829</v>
      </c>
      <c r="H631" s="2" t="s">
        <v>72</v>
      </c>
      <c r="I631" s="2" t="s">
        <v>1830</v>
      </c>
      <c r="J631" s="3" t="str">
        <f>HYPERLINK("https://www.boe.es/gazeta/dias/1815/02/23/pdfs/GMD-1815-23.pdf#page=8","Abrir facsímil")</f>
        <v>Abrir facsímil</v>
      </c>
      <c r="K631" s="3" t="s">
        <v>74</v>
      </c>
    </row>
    <row r="632" spans="1:11" ht="42" customHeight="1">
      <c r="A632" s="2" t="s">
        <v>1827</v>
      </c>
      <c r="B632" s="2" t="s">
        <v>1828</v>
      </c>
      <c r="C632" s="2" t="s">
        <v>61</v>
      </c>
      <c r="D632" s="2" t="s">
        <v>50</v>
      </c>
      <c r="E632" s="5">
        <v>-30956</v>
      </c>
      <c r="F632" s="3" t="s">
        <v>495</v>
      </c>
      <c r="G632" s="3" t="s">
        <v>38</v>
      </c>
      <c r="H632" s="2" t="s">
        <v>72</v>
      </c>
      <c r="I632" s="2" t="s">
        <v>1831</v>
      </c>
      <c r="J632" s="3" t="str">
        <f>HYPERLINK("https://www.boe.es/gazeta/dias/1815/03/30/pdfs/GMD-1815-38.pdf#page=8","Abrir facsímil")</f>
        <v>Abrir facsímil</v>
      </c>
      <c r="K632" s="3" t="s">
        <v>74</v>
      </c>
    </row>
    <row r="633" spans="1:11" ht="42" customHeight="1">
      <c r="A633" s="2" t="s">
        <v>1832</v>
      </c>
      <c r="B633" s="2" t="s">
        <v>1833</v>
      </c>
      <c r="C633" s="2" t="s">
        <v>49</v>
      </c>
      <c r="D633" s="2" t="s">
        <v>50</v>
      </c>
      <c r="E633" s="5">
        <v>-30870</v>
      </c>
      <c r="F633" s="3" t="s">
        <v>122</v>
      </c>
      <c r="G633" s="3" t="s">
        <v>52</v>
      </c>
      <c r="H633" s="2" t="s">
        <v>72</v>
      </c>
      <c r="I633" s="2" t="s">
        <v>1834</v>
      </c>
      <c r="J633" s="3" t="str">
        <f>HYPERLINK("https://www.boe.es/gazeta/dias/1815/06/24/pdfs/GMD-1815-76.pdf#page=11","Abrir facsímil")</f>
        <v>Abrir facsímil</v>
      </c>
      <c r="K633" s="3" t="s">
        <v>74</v>
      </c>
    </row>
    <row r="634" spans="1:11" ht="42" customHeight="1">
      <c r="A634" s="2" t="s">
        <v>1835</v>
      </c>
      <c r="B634" s="2" t="s">
        <v>1836</v>
      </c>
      <c r="C634" s="2" t="s">
        <v>49</v>
      </c>
      <c r="D634" s="2" t="s">
        <v>50</v>
      </c>
      <c r="E634" s="5">
        <v>-30984</v>
      </c>
      <c r="F634" s="3" t="s">
        <v>748</v>
      </c>
      <c r="G634" s="3" t="s">
        <v>38</v>
      </c>
      <c r="H634" s="2" t="s">
        <v>72</v>
      </c>
      <c r="I634" s="2" t="s">
        <v>1837</v>
      </c>
      <c r="J634" s="3" t="str">
        <f>HYPERLINK("https://www.boe.es/gazeta/dias/1815/03/02/pdfs/GMD-1815-26.pdf#page=8","Abrir facsímil")</f>
        <v>Abrir facsímil</v>
      </c>
      <c r="K634" s="3" t="s">
        <v>74</v>
      </c>
    </row>
    <row r="635" spans="1:11" ht="42" customHeight="1">
      <c r="A635" s="2" t="s">
        <v>1838</v>
      </c>
      <c r="B635" s="2" t="s">
        <v>1839</v>
      </c>
      <c r="C635" s="2" t="s">
        <v>31</v>
      </c>
      <c r="D635" s="2" t="s">
        <v>32</v>
      </c>
      <c r="E635" s="5">
        <v>-30823</v>
      </c>
      <c r="F635" s="3" t="s">
        <v>305</v>
      </c>
      <c r="G635" s="3" t="s">
        <v>88</v>
      </c>
      <c r="H635" s="2" t="s">
        <v>72</v>
      </c>
      <c r="I635" s="2" t="s">
        <v>1840</v>
      </c>
      <c r="J635" s="3" t="str">
        <f>HYPERLINK("https://www.boe.es/gazeta/dias/1815/08/10/pdfs/GMD-1815-98.pdf#page=10","Abrir facsímil")</f>
        <v>Abrir facsímil</v>
      </c>
      <c r="K635" s="3" t="s">
        <v>74</v>
      </c>
    </row>
    <row r="636" spans="1:11" ht="42" customHeight="1">
      <c r="A636" s="2" t="s">
        <v>1838</v>
      </c>
      <c r="B636" s="2" t="s">
        <v>1839</v>
      </c>
      <c r="C636" s="2" t="s">
        <v>49</v>
      </c>
      <c r="D636" s="2" t="s">
        <v>50</v>
      </c>
      <c r="E636" s="5">
        <v>-30823</v>
      </c>
      <c r="F636" s="3" t="s">
        <v>305</v>
      </c>
      <c r="G636" s="3" t="s">
        <v>52</v>
      </c>
      <c r="H636" s="2" t="s">
        <v>72</v>
      </c>
      <c r="I636" s="2" t="s">
        <v>1841</v>
      </c>
      <c r="J636" s="3" t="str">
        <f>HYPERLINK("https://www.boe.es/gazeta/dias/1815/08/10/pdfs/GMD-1815-98.pdf#page=11","Abrir facsímil")</f>
        <v>Abrir facsímil</v>
      </c>
      <c r="K636" s="3" t="s">
        <v>74</v>
      </c>
    </row>
    <row r="637" spans="1:11" ht="42" customHeight="1">
      <c r="A637" s="2" t="s">
        <v>1842</v>
      </c>
      <c r="B637" s="2" t="s">
        <v>1843</v>
      </c>
      <c r="C637" s="2" t="s">
        <v>31</v>
      </c>
      <c r="D637" s="2" t="s">
        <v>32</v>
      </c>
      <c r="E637" s="5">
        <v>-31038</v>
      </c>
      <c r="F637" s="3" t="s">
        <v>395</v>
      </c>
      <c r="G637" s="3" t="s">
        <v>396</v>
      </c>
      <c r="H637" s="2" t="s">
        <v>72</v>
      </c>
      <c r="I637" s="2" t="s">
        <v>1844</v>
      </c>
      <c r="J637" s="3" t="str">
        <f>HYPERLINK("https://www.boe.es/gazeta/dias/1815/01/07/pdfs/GMD-1815-3.pdf#page=5","Abrir facsímil")</f>
        <v>Abrir facsímil</v>
      </c>
      <c r="K637" s="3" t="s">
        <v>74</v>
      </c>
    </row>
    <row r="638" spans="1:11" ht="42" customHeight="1">
      <c r="A638" s="2" t="s">
        <v>1845</v>
      </c>
      <c r="B638" s="2" t="s">
        <v>1846</v>
      </c>
      <c r="C638" s="2" t="s">
        <v>49</v>
      </c>
      <c r="D638" s="2" t="s">
        <v>50</v>
      </c>
      <c r="E638" s="5">
        <v>-30886</v>
      </c>
      <c r="F638" s="3" t="s">
        <v>140</v>
      </c>
      <c r="G638" s="3" t="s">
        <v>224</v>
      </c>
      <c r="H638" s="2" t="s">
        <v>72</v>
      </c>
      <c r="I638" s="2" t="s">
        <v>1847</v>
      </c>
      <c r="J638" s="3" t="str">
        <f>HYPERLINK("https://www.boe.es/gazeta/dias/1815/06/08/pdfs/GMD-1815-69.pdf#page=9","Abrir facsímil")</f>
        <v>Abrir facsímil</v>
      </c>
      <c r="K638" s="3" t="s">
        <v>74</v>
      </c>
    </row>
    <row r="639" spans="1:11" ht="42" customHeight="1">
      <c r="A639" s="2" t="s">
        <v>1848</v>
      </c>
      <c r="B639" s="2" t="s">
        <v>1848</v>
      </c>
      <c r="C639" s="2" t="s">
        <v>131</v>
      </c>
      <c r="D639" s="2" t="s">
        <v>50</v>
      </c>
      <c r="E639" s="5">
        <v>-30965</v>
      </c>
      <c r="F639" s="3" t="s">
        <v>1679</v>
      </c>
      <c r="G639" s="3" t="s">
        <v>38</v>
      </c>
      <c r="H639" s="2" t="s">
        <v>72</v>
      </c>
      <c r="I639" s="2" t="s">
        <v>1849</v>
      </c>
      <c r="J639" s="3" t="str">
        <f>HYPERLINK("https://www.boe.es/gazeta/dias/1815/03/21/pdfs/GMD-1815-34.pdf#page=8","Abrir facsímil")</f>
        <v>Abrir facsímil</v>
      </c>
      <c r="K639" s="3" t="s">
        <v>74</v>
      </c>
    </row>
    <row r="640" spans="1:11" ht="42" customHeight="1">
      <c r="A640" s="2" t="s">
        <v>1850</v>
      </c>
      <c r="B640" s="2" t="s">
        <v>1851</v>
      </c>
      <c r="C640" s="2" t="s">
        <v>31</v>
      </c>
      <c r="D640" s="2" t="s">
        <v>32</v>
      </c>
      <c r="E640" s="5">
        <v>-30942</v>
      </c>
      <c r="F640" s="3" t="s">
        <v>730</v>
      </c>
      <c r="G640" s="3" t="s">
        <v>71</v>
      </c>
      <c r="H640" s="2" t="s">
        <v>72</v>
      </c>
      <c r="I640" s="2" t="s">
        <v>1852</v>
      </c>
      <c r="J640" s="3" t="str">
        <f>HYPERLINK("https://www.boe.es/gazeta/dias/1815/04/13/pdfs/GMD-1815-45.pdf#page=7","Abrir facsímil")</f>
        <v>Abrir facsímil</v>
      </c>
      <c r="K640" s="3" t="s">
        <v>74</v>
      </c>
    </row>
    <row r="641" spans="1:11" ht="42" customHeight="1">
      <c r="A641" s="2" t="s">
        <v>1853</v>
      </c>
      <c r="B641" s="2" t="s">
        <v>1853</v>
      </c>
      <c r="C641" s="2" t="s">
        <v>49</v>
      </c>
      <c r="D641" s="2" t="s">
        <v>50</v>
      </c>
      <c r="E641" s="5">
        <v>-30863</v>
      </c>
      <c r="F641" s="3" t="s">
        <v>110</v>
      </c>
      <c r="G641" s="3" t="s">
        <v>224</v>
      </c>
      <c r="H641" s="2" t="s">
        <v>72</v>
      </c>
      <c r="I641" s="2" t="s">
        <v>1854</v>
      </c>
      <c r="J641" s="3" t="str">
        <f>HYPERLINK("https://www.boe.es/gazeta/dias/1815/07/01/pdfs/GMD-1815-79.pdf#page=9","Abrir facsímil")</f>
        <v>Abrir facsímil</v>
      </c>
      <c r="K641" s="3" t="s">
        <v>74</v>
      </c>
    </row>
    <row r="642" spans="1:11" ht="42" customHeight="1">
      <c r="A642" s="2" t="s">
        <v>1855</v>
      </c>
      <c r="B642" s="2" t="s">
        <v>1856</v>
      </c>
      <c r="C642" s="2" t="s">
        <v>49</v>
      </c>
      <c r="D642" s="2" t="s">
        <v>50</v>
      </c>
      <c r="E642" s="5">
        <v>-30886</v>
      </c>
      <c r="F642" s="3" t="s">
        <v>140</v>
      </c>
      <c r="G642" s="3" t="s">
        <v>38</v>
      </c>
      <c r="H642" s="2" t="s">
        <v>72</v>
      </c>
      <c r="I642" s="2" t="s">
        <v>1857</v>
      </c>
      <c r="J642" s="3" t="str">
        <f>HYPERLINK("https://www.boe.es/gazeta/dias/1815/06/08/pdfs/GMD-1815-69.pdf#page=8","Abrir facsímil")</f>
        <v>Abrir facsímil</v>
      </c>
      <c r="K642" s="3" t="s">
        <v>74</v>
      </c>
    </row>
    <row r="643" spans="1:11" ht="42" customHeight="1">
      <c r="A643" s="2" t="s">
        <v>1858</v>
      </c>
      <c r="B643" s="2" t="s">
        <v>1859</v>
      </c>
      <c r="C643" s="2" t="s">
        <v>17</v>
      </c>
      <c r="D643" s="2" t="s">
        <v>18</v>
      </c>
      <c r="E643" s="5">
        <v>-30842</v>
      </c>
      <c r="F643" s="3" t="s">
        <v>126</v>
      </c>
      <c r="G643" s="3" t="s">
        <v>88</v>
      </c>
      <c r="H643" s="2" t="s">
        <v>72</v>
      </c>
      <c r="I643" s="2" t="s">
        <v>1860</v>
      </c>
      <c r="J643" s="3" t="str">
        <f>HYPERLINK("https://www.boe.es/gazeta/dias/1815/07/22/pdfs/GMD-1815-90.pdf#page=10","Abrir facsímil")</f>
        <v>Abrir facsímil</v>
      </c>
      <c r="K643" s="3" t="s">
        <v>74</v>
      </c>
    </row>
    <row r="644" spans="1:11" ht="42" customHeight="1">
      <c r="A644" s="2" t="s">
        <v>1861</v>
      </c>
      <c r="B644" s="2" t="s">
        <v>1862</v>
      </c>
      <c r="C644" s="2" t="s">
        <v>17</v>
      </c>
      <c r="D644" s="2" t="s">
        <v>18</v>
      </c>
      <c r="E644" s="5">
        <v>-30928</v>
      </c>
      <c r="F644" s="3" t="s">
        <v>330</v>
      </c>
      <c r="G644" s="3" t="s">
        <v>71</v>
      </c>
      <c r="H644" s="2" t="s">
        <v>72</v>
      </c>
      <c r="I644" s="2" t="s">
        <v>1863</v>
      </c>
      <c r="J644" s="3" t="str">
        <f>HYPERLINK("https://www.boe.es/gazeta/dias/1815/04/27/pdfs/GMD-1815-51.pdf#page=7","Abrir facsímil")</f>
        <v>Abrir facsímil</v>
      </c>
      <c r="K644" s="3" t="s">
        <v>74</v>
      </c>
    </row>
    <row r="645" spans="1:11" ht="42" customHeight="1">
      <c r="A645" s="2" t="s">
        <v>1864</v>
      </c>
      <c r="B645" s="2" t="s">
        <v>1865</v>
      </c>
      <c r="C645" s="2" t="s">
        <v>49</v>
      </c>
      <c r="D645" s="2" t="s">
        <v>50</v>
      </c>
      <c r="E645" s="5">
        <v>-30839</v>
      </c>
      <c r="F645" s="3" t="s">
        <v>616</v>
      </c>
      <c r="G645" s="3" t="s">
        <v>71</v>
      </c>
      <c r="H645" s="2" t="s">
        <v>72</v>
      </c>
      <c r="I645" s="2" t="s">
        <v>1866</v>
      </c>
      <c r="J645" s="3" t="str">
        <f>HYPERLINK("https://www.boe.es/gazeta/dias/1815/07/25/pdfs/GMD-1815-91.pdf#page=7","Abrir facsímil")</f>
        <v>Abrir facsímil</v>
      </c>
      <c r="K645" s="3" t="s">
        <v>74</v>
      </c>
    </row>
    <row r="646" spans="1:11" ht="42" customHeight="1">
      <c r="A646" s="2" t="s">
        <v>1867</v>
      </c>
      <c r="B646" s="2" t="s">
        <v>1868</v>
      </c>
      <c r="C646" s="2" t="s">
        <v>49</v>
      </c>
      <c r="D646" s="2" t="s">
        <v>50</v>
      </c>
      <c r="E646" s="5">
        <v>-30734</v>
      </c>
      <c r="F646" s="3" t="s">
        <v>376</v>
      </c>
      <c r="G646" s="3" t="s">
        <v>57</v>
      </c>
      <c r="H646" s="2" t="s">
        <v>72</v>
      </c>
      <c r="I646" s="2" t="s">
        <v>1869</v>
      </c>
      <c r="J646" s="3" t="str">
        <f>HYPERLINK("https://www.boe.es/gazeta/dias/1815/11/07/pdfs/GMD-1815-139.pdf#page=5","Abrir facsímil")</f>
        <v>Abrir facsímil</v>
      </c>
      <c r="K646" s="3" t="s">
        <v>74</v>
      </c>
    </row>
    <row r="647" spans="1:11" ht="42" customHeight="1">
      <c r="A647" s="2" t="s">
        <v>1870</v>
      </c>
      <c r="B647" s="2" t="s">
        <v>1871</v>
      </c>
      <c r="C647" s="2" t="s">
        <v>31</v>
      </c>
      <c r="D647" s="2" t="s">
        <v>32</v>
      </c>
      <c r="E647" s="5">
        <v>-30753</v>
      </c>
      <c r="F647" s="3" t="s">
        <v>1635</v>
      </c>
      <c r="G647" s="3" t="s">
        <v>38</v>
      </c>
      <c r="H647" s="2" t="s">
        <v>21</v>
      </c>
      <c r="I647" s="2" t="s">
        <v>1872</v>
      </c>
      <c r="J647" s="3" t="str">
        <f>HYPERLINK("https://www.boe.es/gazeta/dias/1815/10/19/pdfs/GMD-1815-131.pdf#page=8","Abrir facsímil")</f>
        <v>Abrir facsímil</v>
      </c>
      <c r="K647" s="3" t="s">
        <v>23</v>
      </c>
    </row>
    <row r="648" spans="1:11" ht="42" customHeight="1">
      <c r="A648" s="2" t="s">
        <v>1873</v>
      </c>
      <c r="B648" s="2" t="s">
        <v>1874</v>
      </c>
      <c r="C648" s="2" t="s">
        <v>195</v>
      </c>
      <c r="D648" s="2" t="s">
        <v>50</v>
      </c>
      <c r="E648" s="5">
        <v>-30888</v>
      </c>
      <c r="F648" s="3" t="s">
        <v>368</v>
      </c>
      <c r="G648" s="3" t="s">
        <v>38</v>
      </c>
      <c r="H648" s="2" t="s">
        <v>72</v>
      </c>
      <c r="I648" s="2" t="s">
        <v>1875</v>
      </c>
      <c r="J648" s="3" t="str">
        <f>HYPERLINK("https://www.boe.es/gazeta/dias/1815/06/06/pdfs/GMD-1815-68.pdf#page=8","Abrir facsímil")</f>
        <v>Abrir facsímil</v>
      </c>
      <c r="K648" s="3" t="s">
        <v>74</v>
      </c>
    </row>
    <row r="649" spans="1:11" ht="42" customHeight="1">
      <c r="A649" s="2" t="s">
        <v>1876</v>
      </c>
      <c r="B649" s="2" t="s">
        <v>1876</v>
      </c>
      <c r="C649" s="2" t="s">
        <v>49</v>
      </c>
      <c r="D649" s="2" t="s">
        <v>50</v>
      </c>
      <c r="E649" s="5">
        <v>-30720</v>
      </c>
      <c r="F649" s="3" t="s">
        <v>373</v>
      </c>
      <c r="G649" s="3" t="s">
        <v>52</v>
      </c>
      <c r="H649" s="2" t="s">
        <v>72</v>
      </c>
      <c r="I649" s="2" t="s">
        <v>1877</v>
      </c>
      <c r="J649" s="3" t="str">
        <f>HYPERLINK("https://www.boe.es/gazeta/dias/1815/11/21/pdfs/GMD-1815-145.pdf#page=11","Abrir facsímil")</f>
        <v>Abrir facsímil</v>
      </c>
      <c r="K649" s="3" t="s">
        <v>74</v>
      </c>
    </row>
    <row r="650" spans="1:11" ht="42" customHeight="1">
      <c r="A650" s="2" t="s">
        <v>1878</v>
      </c>
      <c r="B650" s="2" t="s">
        <v>1878</v>
      </c>
      <c r="C650" s="2" t="s">
        <v>897</v>
      </c>
      <c r="D650" s="2" t="s">
        <v>50</v>
      </c>
      <c r="E650" s="5">
        <v>-30818</v>
      </c>
      <c r="F650" s="3" t="s">
        <v>334</v>
      </c>
      <c r="G650" s="3" t="s">
        <v>88</v>
      </c>
      <c r="H650" s="2" t="s">
        <v>72</v>
      </c>
      <c r="I650" s="2" t="s">
        <v>1879</v>
      </c>
      <c r="J650" s="3" t="str">
        <f>HYPERLINK("https://www.boe.es/gazeta/dias/1815/08/15/pdfs/GMD-1815-100.pdf#page=10","Abrir facsímil")</f>
        <v>Abrir facsímil</v>
      </c>
      <c r="K650" s="3" t="s">
        <v>74</v>
      </c>
    </row>
    <row r="651" spans="1:11" ht="42" customHeight="1">
      <c r="A651" s="2" t="s">
        <v>1880</v>
      </c>
      <c r="B651" s="2" t="s">
        <v>1881</v>
      </c>
      <c r="C651" s="2" t="s">
        <v>31</v>
      </c>
      <c r="D651" s="2" t="s">
        <v>32</v>
      </c>
      <c r="E651" s="5">
        <v>-30844</v>
      </c>
      <c r="F651" s="3" t="s">
        <v>114</v>
      </c>
      <c r="G651" s="3" t="s">
        <v>38</v>
      </c>
      <c r="H651" s="2" t="s">
        <v>72</v>
      </c>
      <c r="I651" s="2" t="s">
        <v>1882</v>
      </c>
      <c r="J651" s="3" t="str">
        <f>HYPERLINK("https://www.boe.es/gazeta/dias/1815/07/20/pdfs/GMD-1815-89.pdf#page=8","Abrir facsímil")</f>
        <v>Abrir facsímil</v>
      </c>
      <c r="K651" s="3" t="s">
        <v>74</v>
      </c>
    </row>
    <row r="652" spans="1:11" ht="42" customHeight="1">
      <c r="A652" s="2" t="s">
        <v>1883</v>
      </c>
      <c r="B652" s="2" t="s">
        <v>1884</v>
      </c>
      <c r="C652" s="2" t="s">
        <v>31</v>
      </c>
      <c r="D652" s="2" t="s">
        <v>32</v>
      </c>
      <c r="E652" s="5">
        <v>-30739</v>
      </c>
      <c r="F652" s="3" t="s">
        <v>254</v>
      </c>
      <c r="G652" s="3" t="s">
        <v>88</v>
      </c>
      <c r="H652" s="2" t="s">
        <v>72</v>
      </c>
      <c r="I652" s="2" t="s">
        <v>1885</v>
      </c>
      <c r="J652" s="3" t="str">
        <f>HYPERLINK("https://www.boe.es/gazeta/dias/1815/11/02/pdfs/GMD-1815-137.pdf#page=10","Abrir facsímil")</f>
        <v>Abrir facsímil</v>
      </c>
      <c r="K652" s="3" t="s">
        <v>74</v>
      </c>
    </row>
    <row r="653" spans="1:11" ht="42" customHeight="1">
      <c r="A653" s="2" t="s">
        <v>1886</v>
      </c>
      <c r="B653" s="2" t="s">
        <v>1886</v>
      </c>
      <c r="C653" s="2" t="s">
        <v>31</v>
      </c>
      <c r="D653" s="2" t="s">
        <v>32</v>
      </c>
      <c r="E653" s="5">
        <v>-30849</v>
      </c>
      <c r="F653" s="3" t="s">
        <v>501</v>
      </c>
      <c r="G653" s="3" t="s">
        <v>88</v>
      </c>
      <c r="H653" s="2" t="s">
        <v>72</v>
      </c>
      <c r="I653" s="2" t="s">
        <v>1887</v>
      </c>
      <c r="J653" s="3" t="str">
        <f>HYPERLINK("https://www.boe.es/gazeta/dias/1815/07/15/pdfs/GMD-1815-87.pdf#page=10","Abrir facsímil")</f>
        <v>Abrir facsímil</v>
      </c>
      <c r="K653" s="3" t="s">
        <v>74</v>
      </c>
    </row>
    <row r="654" spans="1:11" ht="42" customHeight="1">
      <c r="A654" s="2" t="s">
        <v>1888</v>
      </c>
      <c r="B654" s="2" t="s">
        <v>1889</v>
      </c>
      <c r="C654" s="2" t="s">
        <v>17</v>
      </c>
      <c r="D654" s="2" t="s">
        <v>18</v>
      </c>
      <c r="E654" s="5">
        <v>-31007</v>
      </c>
      <c r="F654" s="3" t="s">
        <v>200</v>
      </c>
      <c r="G654" s="3" t="s">
        <v>201</v>
      </c>
      <c r="H654" s="2" t="s">
        <v>72</v>
      </c>
      <c r="I654" s="2" t="s">
        <v>1890</v>
      </c>
      <c r="J654" s="3" t="str">
        <f>HYPERLINK("https://www.boe.es/gazeta/dias/1815/02/07/pdfs/GMD-1815-16.pdf#page=10","Abrir facsímil")</f>
        <v>Abrir facsímil</v>
      </c>
      <c r="K654" s="3" t="s">
        <v>74</v>
      </c>
    </row>
    <row r="655" spans="1:11" ht="42" customHeight="1">
      <c r="A655" s="2" t="s">
        <v>1891</v>
      </c>
      <c r="B655" s="2" t="s">
        <v>1891</v>
      </c>
      <c r="C655" s="2" t="s">
        <v>195</v>
      </c>
      <c r="D655" s="2" t="s">
        <v>50</v>
      </c>
      <c r="E655" s="5">
        <v>-30851</v>
      </c>
      <c r="F655" s="3" t="s">
        <v>442</v>
      </c>
      <c r="G655" s="3" t="s">
        <v>20</v>
      </c>
      <c r="H655" s="2" t="s">
        <v>72</v>
      </c>
      <c r="I655" s="2" t="s">
        <v>1892</v>
      </c>
      <c r="J655" s="3" t="str">
        <f>HYPERLINK("https://www.boe.es/gazeta/dias/1815/07/13/pdfs/GMD-1815-86.pdf#page=4","Abrir facsímil")</f>
        <v>Abrir facsímil</v>
      </c>
      <c r="K655" s="3" t="s">
        <v>74</v>
      </c>
    </row>
    <row r="656" spans="1:11" ht="42" customHeight="1">
      <c r="A656" s="2" t="s">
        <v>1893</v>
      </c>
      <c r="B656" s="2" t="s">
        <v>1893</v>
      </c>
      <c r="C656" s="2" t="s">
        <v>17</v>
      </c>
      <c r="D656" s="2" t="s">
        <v>18</v>
      </c>
      <c r="E656" s="5">
        <v>-30881</v>
      </c>
      <c r="F656" s="3" t="s">
        <v>446</v>
      </c>
      <c r="G656" s="3" t="s">
        <v>410</v>
      </c>
      <c r="H656" s="2" t="s">
        <v>72</v>
      </c>
      <c r="I656" s="2" t="s">
        <v>1894</v>
      </c>
      <c r="J656" s="3" t="str">
        <f>HYPERLINK("https://www.boe.es/gazeta/dias/1815/06/13/pdfs/GMD-1815-71.pdf#page=1","Abrir facsímil")</f>
        <v>Abrir facsímil</v>
      </c>
      <c r="K656" s="3" t="s">
        <v>74</v>
      </c>
    </row>
    <row r="657" spans="1:11" ht="42" customHeight="1">
      <c r="A657" s="2" t="s">
        <v>1895</v>
      </c>
      <c r="B657" s="2" t="s">
        <v>1896</v>
      </c>
      <c r="C657" s="2" t="s">
        <v>195</v>
      </c>
      <c r="D657" s="2" t="s">
        <v>50</v>
      </c>
      <c r="E657" s="5">
        <v>-30874</v>
      </c>
      <c r="F657" s="3" t="s">
        <v>208</v>
      </c>
      <c r="G657" s="3" t="s">
        <v>71</v>
      </c>
      <c r="H657" s="2" t="s">
        <v>72</v>
      </c>
      <c r="I657" s="2" t="s">
        <v>1897</v>
      </c>
      <c r="J657" s="3" t="str">
        <f>HYPERLINK("https://www.boe.es/gazeta/dias/1815/06/20/pdfs/GMD-1815-74.pdf#page=7","Abrir facsímil")</f>
        <v>Abrir facsímil</v>
      </c>
      <c r="K657" s="3" t="s">
        <v>74</v>
      </c>
    </row>
    <row r="658" spans="1:11" ht="42" customHeight="1">
      <c r="A658" s="2" t="s">
        <v>1898</v>
      </c>
      <c r="B658" s="2" t="s">
        <v>1898</v>
      </c>
      <c r="C658" s="2" t="s">
        <v>31</v>
      </c>
      <c r="D658" s="2" t="s">
        <v>32</v>
      </c>
      <c r="E658" s="5">
        <v>-30940</v>
      </c>
      <c r="F658" s="3" t="s">
        <v>610</v>
      </c>
      <c r="G658" s="3" t="s">
        <v>377</v>
      </c>
      <c r="H658" s="2" t="s">
        <v>72</v>
      </c>
      <c r="I658" s="2" t="s">
        <v>1899</v>
      </c>
      <c r="J658" s="3" t="str">
        <f>HYPERLINK("https://www.boe.es/gazeta/dias/1815/04/15/pdfs/GMD-1815-46.pdf#page=2","Abrir facsímil")</f>
        <v>Abrir facsímil</v>
      </c>
      <c r="K658" s="3" t="s">
        <v>74</v>
      </c>
    </row>
    <row r="659" spans="1:11" ht="42" customHeight="1">
      <c r="A659" s="2" t="s">
        <v>1898</v>
      </c>
      <c r="B659" s="2" t="s">
        <v>1898</v>
      </c>
      <c r="C659" s="2" t="s">
        <v>31</v>
      </c>
      <c r="D659" s="2" t="s">
        <v>32</v>
      </c>
      <c r="E659" s="5">
        <v>-30849</v>
      </c>
      <c r="F659" s="3" t="s">
        <v>501</v>
      </c>
      <c r="G659" s="3" t="s">
        <v>57</v>
      </c>
      <c r="H659" s="2" t="s">
        <v>72</v>
      </c>
      <c r="I659" s="2" t="s">
        <v>1900</v>
      </c>
      <c r="J659" s="3" t="str">
        <f>HYPERLINK("https://www.boe.es/gazeta/dias/1815/07/15/pdfs/GMD-1815-87.pdf#page=5","Abrir facsímil")</f>
        <v>Abrir facsímil</v>
      </c>
      <c r="K659" s="3" t="s">
        <v>74</v>
      </c>
    </row>
    <row r="660" spans="1:11" ht="42" customHeight="1">
      <c r="A660" s="2" t="s">
        <v>1901</v>
      </c>
      <c r="B660" s="2" t="s">
        <v>1901</v>
      </c>
      <c r="C660" s="2" t="s">
        <v>31</v>
      </c>
      <c r="D660" s="2" t="s">
        <v>32</v>
      </c>
      <c r="E660" s="5">
        <v>-30825</v>
      </c>
      <c r="F660" s="3" t="s">
        <v>669</v>
      </c>
      <c r="G660" s="3" t="s">
        <v>57</v>
      </c>
      <c r="H660" s="2" t="s">
        <v>72</v>
      </c>
      <c r="I660" s="2" t="s">
        <v>1902</v>
      </c>
      <c r="J660" s="3" t="str">
        <f>HYPERLINK("https://www.boe.es/gazeta/dias/1815/08/08/pdfs/GMD-1815-97.pdf#page=5","Abrir facsímil")</f>
        <v>Abrir facsímil</v>
      </c>
      <c r="K660" s="3" t="s">
        <v>74</v>
      </c>
    </row>
    <row r="661" spans="1:11" ht="42" customHeight="1">
      <c r="A661" s="2" t="s">
        <v>1898</v>
      </c>
      <c r="B661" s="2" t="s">
        <v>1898</v>
      </c>
      <c r="C661" s="2" t="s">
        <v>31</v>
      </c>
      <c r="D661" s="2" t="s">
        <v>32</v>
      </c>
      <c r="E661" s="5">
        <v>-30816</v>
      </c>
      <c r="F661" s="3" t="s">
        <v>1253</v>
      </c>
      <c r="G661" s="3" t="s">
        <v>377</v>
      </c>
      <c r="H661" s="2" t="s">
        <v>72</v>
      </c>
      <c r="I661" s="2" t="s">
        <v>1903</v>
      </c>
      <c r="J661" s="3" t="str">
        <f>HYPERLINK("https://www.boe.es/gazeta/dias/1815/08/17/pdfs/GMD-1815-101.pdf#page=2","Abrir facsímil")</f>
        <v>Abrir facsímil</v>
      </c>
      <c r="K661" s="3" t="s">
        <v>74</v>
      </c>
    </row>
    <row r="662" spans="1:11" ht="42" customHeight="1">
      <c r="A662" s="2" t="s">
        <v>1904</v>
      </c>
      <c r="B662" s="2" t="s">
        <v>1905</v>
      </c>
      <c r="C662" s="2" t="s">
        <v>195</v>
      </c>
      <c r="D662" s="2" t="s">
        <v>50</v>
      </c>
      <c r="E662" s="5">
        <v>-30874</v>
      </c>
      <c r="F662" s="3" t="s">
        <v>208</v>
      </c>
      <c r="G662" s="3" t="s">
        <v>71</v>
      </c>
      <c r="H662" s="2" t="s">
        <v>72</v>
      </c>
      <c r="I662" s="2" t="s">
        <v>1906</v>
      </c>
      <c r="J662" s="3" t="str">
        <f>HYPERLINK("https://www.boe.es/gazeta/dias/1815/06/20/pdfs/GMD-1815-74.pdf#page=7","Abrir facsímil")</f>
        <v>Abrir facsímil</v>
      </c>
      <c r="K662" s="3" t="s">
        <v>74</v>
      </c>
    </row>
    <row r="663" spans="1:11" ht="42" customHeight="1">
      <c r="A663" s="2" t="s">
        <v>1907</v>
      </c>
      <c r="B663" s="2" t="s">
        <v>1907</v>
      </c>
      <c r="C663" s="2" t="s">
        <v>31</v>
      </c>
      <c r="D663" s="2" t="s">
        <v>32</v>
      </c>
      <c r="E663" s="5">
        <v>-31028</v>
      </c>
      <c r="F663" s="3" t="s">
        <v>517</v>
      </c>
      <c r="G663" s="3" t="s">
        <v>52</v>
      </c>
      <c r="H663" s="2" t="s">
        <v>72</v>
      </c>
      <c r="I663" s="2" t="s">
        <v>1908</v>
      </c>
      <c r="J663" s="3" t="str">
        <f>HYPERLINK("https://www.boe.es/gazeta/dias/1815/01/17/pdfs/GMD-1815-7.pdf#page=11","Abrir facsímil")</f>
        <v>Abrir facsímil</v>
      </c>
      <c r="K663" s="3" t="s">
        <v>74</v>
      </c>
    </row>
    <row r="664" spans="1:11" ht="42" customHeight="1">
      <c r="A664" s="2" t="s">
        <v>1909</v>
      </c>
      <c r="B664" s="2" t="s">
        <v>1910</v>
      </c>
      <c r="C664" s="2" t="s">
        <v>49</v>
      </c>
      <c r="D664" s="2" t="s">
        <v>50</v>
      </c>
      <c r="E664" s="5">
        <v>-30886</v>
      </c>
      <c r="F664" s="3" t="s">
        <v>140</v>
      </c>
      <c r="G664" s="3" t="s">
        <v>224</v>
      </c>
      <c r="H664" s="2" t="s">
        <v>72</v>
      </c>
      <c r="I664" s="2" t="s">
        <v>1911</v>
      </c>
      <c r="J664" s="3" t="str">
        <f>HYPERLINK("https://www.boe.es/gazeta/dias/1815/06/08/pdfs/GMD-1815-69.pdf#page=9","Abrir facsímil")</f>
        <v>Abrir facsímil</v>
      </c>
      <c r="K664" s="3" t="s">
        <v>74</v>
      </c>
    </row>
    <row r="665" spans="1:11" ht="42" customHeight="1">
      <c r="A665" s="2" t="s">
        <v>1912</v>
      </c>
      <c r="B665" s="2" t="s">
        <v>1913</v>
      </c>
      <c r="C665" s="2" t="s">
        <v>49</v>
      </c>
      <c r="D665" s="2" t="s">
        <v>50</v>
      </c>
      <c r="E665" s="5">
        <v>-30916</v>
      </c>
      <c r="F665" s="3" t="s">
        <v>147</v>
      </c>
      <c r="G665" s="3" t="s">
        <v>38</v>
      </c>
      <c r="H665" s="2" t="s">
        <v>72</v>
      </c>
      <c r="I665" s="2" t="s">
        <v>1914</v>
      </c>
      <c r="J665" s="3" t="str">
        <f>HYPERLINK("https://www.boe.es/gazeta/dias/1815/05/09/pdfs/GMD-1815-56.pdf#page=8","Abrir facsímil")</f>
        <v>Abrir facsímil</v>
      </c>
      <c r="K665" s="3" t="s">
        <v>74</v>
      </c>
    </row>
    <row r="666" spans="1:11" ht="42" customHeight="1">
      <c r="A666" s="2" t="s">
        <v>1915</v>
      </c>
      <c r="B666" s="2" t="s">
        <v>1916</v>
      </c>
      <c r="C666" s="2" t="s">
        <v>31</v>
      </c>
      <c r="D666" s="2" t="s">
        <v>32</v>
      </c>
      <c r="E666" s="5">
        <v>-30856</v>
      </c>
      <c r="F666" s="3" t="s">
        <v>92</v>
      </c>
      <c r="G666" s="3" t="s">
        <v>71</v>
      </c>
      <c r="H666" s="2" t="s">
        <v>72</v>
      </c>
      <c r="I666" s="2" t="s">
        <v>1917</v>
      </c>
      <c r="J666" s="3" t="str">
        <f>HYPERLINK("https://www.boe.es/gazeta/dias/1815/07/08/pdfs/GMD-1815-84.pdf#page=7","Abrir facsímil")</f>
        <v>Abrir facsímil</v>
      </c>
      <c r="K666" s="3" t="s">
        <v>74</v>
      </c>
    </row>
    <row r="667" spans="1:11" ht="42" customHeight="1">
      <c r="A667" s="2" t="s">
        <v>1918</v>
      </c>
      <c r="B667" s="2" t="s">
        <v>1918</v>
      </c>
      <c r="C667" s="2" t="s">
        <v>31</v>
      </c>
      <c r="D667" s="2" t="s">
        <v>32</v>
      </c>
      <c r="E667" s="5">
        <v>-30879</v>
      </c>
      <c r="F667" s="3" t="s">
        <v>754</v>
      </c>
      <c r="G667" s="3" t="s">
        <v>20</v>
      </c>
      <c r="H667" s="2" t="s">
        <v>72</v>
      </c>
      <c r="I667" s="2" t="s">
        <v>1919</v>
      </c>
      <c r="J667" s="3" t="str">
        <f>HYPERLINK("https://www.boe.es/gazeta/dias/1815/06/15/pdfs/GMD-1815-72.pdf#page=4","Abrir facsímil")</f>
        <v>Abrir facsímil</v>
      </c>
      <c r="K667" s="3" t="s">
        <v>74</v>
      </c>
    </row>
    <row r="668" spans="1:11" ht="42" customHeight="1">
      <c r="A668" s="2" t="s">
        <v>1920</v>
      </c>
      <c r="B668" s="2" t="s">
        <v>1920</v>
      </c>
      <c r="C668" s="2" t="s">
        <v>31</v>
      </c>
      <c r="D668" s="2" t="s">
        <v>32</v>
      </c>
      <c r="E668" s="5">
        <v>-30912</v>
      </c>
      <c r="F668" s="3" t="s">
        <v>579</v>
      </c>
      <c r="G668" s="3" t="s">
        <v>20</v>
      </c>
      <c r="H668" s="2" t="s">
        <v>72</v>
      </c>
      <c r="I668" s="2" t="s">
        <v>1921</v>
      </c>
      <c r="J668" s="3" t="str">
        <f>HYPERLINK("https://www.boe.es/gazeta/dias/1815/05/13/pdfs/GMD-1815-58.pdf#page=4","Abrir facsímil")</f>
        <v>Abrir facsímil</v>
      </c>
      <c r="K668" s="3" t="s">
        <v>74</v>
      </c>
    </row>
    <row r="669" spans="1:11" ht="42" customHeight="1">
      <c r="A669" s="2" t="s">
        <v>1920</v>
      </c>
      <c r="B669" s="2" t="s">
        <v>1920</v>
      </c>
      <c r="C669" s="2" t="s">
        <v>31</v>
      </c>
      <c r="D669" s="2" t="s">
        <v>32</v>
      </c>
      <c r="E669" s="5">
        <v>-30909</v>
      </c>
      <c r="F669" s="3" t="s">
        <v>581</v>
      </c>
      <c r="G669" s="3" t="s">
        <v>410</v>
      </c>
      <c r="H669" s="2" t="s">
        <v>72</v>
      </c>
      <c r="I669" s="2" t="s">
        <v>1922</v>
      </c>
      <c r="J669" s="3" t="str">
        <f>HYPERLINK("https://www.boe.es/gazeta/dias/1815/05/16/pdfs/GMD-1815-59.pdf#page=1","Abrir facsímil")</f>
        <v>Abrir facsímil</v>
      </c>
      <c r="K669" s="3" t="s">
        <v>74</v>
      </c>
    </row>
    <row r="670" spans="1:11" ht="42" customHeight="1">
      <c r="A670" s="2" t="s">
        <v>1920</v>
      </c>
      <c r="B670" s="2" t="s">
        <v>1920</v>
      </c>
      <c r="C670" s="2" t="s">
        <v>31</v>
      </c>
      <c r="D670" s="2" t="s">
        <v>32</v>
      </c>
      <c r="E670" s="5">
        <v>-30891</v>
      </c>
      <c r="F670" s="3" t="s">
        <v>498</v>
      </c>
      <c r="G670" s="3" t="s">
        <v>97</v>
      </c>
      <c r="H670" s="2" t="s">
        <v>72</v>
      </c>
      <c r="I670" s="2" t="s">
        <v>1923</v>
      </c>
      <c r="J670" s="3" t="str">
        <f>HYPERLINK("https://www.boe.es/gazeta/dias/1815/06/03/pdfs/GMD-1815-67.pdf#page=3","Abrir facsímil")</f>
        <v>Abrir facsímil</v>
      </c>
      <c r="K670" s="3" t="s">
        <v>74</v>
      </c>
    </row>
    <row r="671" spans="1:11" ht="42" customHeight="1">
      <c r="A671" s="2" t="s">
        <v>1920</v>
      </c>
      <c r="B671" s="2" t="s">
        <v>1920</v>
      </c>
      <c r="C671" s="2" t="s">
        <v>31</v>
      </c>
      <c r="D671" s="2" t="s">
        <v>32</v>
      </c>
      <c r="E671" s="5">
        <v>-30888</v>
      </c>
      <c r="F671" s="3" t="s">
        <v>368</v>
      </c>
      <c r="G671" s="3" t="s">
        <v>377</v>
      </c>
      <c r="H671" s="2" t="s">
        <v>72</v>
      </c>
      <c r="I671" s="2" t="s">
        <v>1924</v>
      </c>
      <c r="J671" s="3" t="str">
        <f>HYPERLINK("https://www.boe.es/gazeta/dias/1815/06/06/pdfs/GMD-1815-68.pdf#page=2","Abrir facsímil")</f>
        <v>Abrir facsímil</v>
      </c>
      <c r="K671" s="3" t="s">
        <v>74</v>
      </c>
    </row>
    <row r="672" spans="1:11" ht="42" customHeight="1">
      <c r="A672" s="2" t="s">
        <v>1920</v>
      </c>
      <c r="B672" s="2" t="s">
        <v>1920</v>
      </c>
      <c r="C672" s="2" t="s">
        <v>31</v>
      </c>
      <c r="D672" s="2" t="s">
        <v>32</v>
      </c>
      <c r="E672" s="5">
        <v>-30884</v>
      </c>
      <c r="F672" s="3" t="s">
        <v>136</v>
      </c>
      <c r="G672" s="3" t="s">
        <v>97</v>
      </c>
      <c r="H672" s="2" t="s">
        <v>72</v>
      </c>
      <c r="I672" s="2" t="s">
        <v>1925</v>
      </c>
      <c r="J672" s="3" t="str">
        <f>HYPERLINK("https://www.boe.es/gazeta/dias/1815/06/10/pdfs/GMD-1815-70.pdf#page=3","Abrir facsímil")</f>
        <v>Abrir facsímil</v>
      </c>
      <c r="K672" s="3" t="s">
        <v>74</v>
      </c>
    </row>
    <row r="673" spans="1:11" ht="42" customHeight="1">
      <c r="A673" s="2" t="s">
        <v>1920</v>
      </c>
      <c r="B673" s="2" t="s">
        <v>1920</v>
      </c>
      <c r="C673" s="2" t="s">
        <v>31</v>
      </c>
      <c r="D673" s="2" t="s">
        <v>32</v>
      </c>
      <c r="E673" s="5">
        <v>-30860</v>
      </c>
      <c r="F673" s="3" t="s">
        <v>184</v>
      </c>
      <c r="G673" s="3" t="s">
        <v>410</v>
      </c>
      <c r="H673" s="2" t="s">
        <v>72</v>
      </c>
      <c r="I673" s="2" t="s">
        <v>1926</v>
      </c>
      <c r="J673" s="3" t="str">
        <f>HYPERLINK("https://www.boe.es/gazeta/dias/1815/07/04/pdfs/GMD-1815-81.pdf#page=1","Abrir facsímil")</f>
        <v>Abrir facsímil</v>
      </c>
      <c r="K673" s="3" t="s">
        <v>74</v>
      </c>
    </row>
    <row r="674" spans="1:11" ht="42" customHeight="1">
      <c r="A674" s="2" t="s">
        <v>1920</v>
      </c>
      <c r="B674" s="2" t="s">
        <v>1920</v>
      </c>
      <c r="C674" s="2" t="s">
        <v>31</v>
      </c>
      <c r="D674" s="2" t="s">
        <v>32</v>
      </c>
      <c r="E674" s="5">
        <v>-30860</v>
      </c>
      <c r="F674" s="3" t="s">
        <v>184</v>
      </c>
      <c r="G674" s="3" t="s">
        <v>97</v>
      </c>
      <c r="H674" s="2" t="s">
        <v>72</v>
      </c>
      <c r="I674" s="2" t="s">
        <v>1927</v>
      </c>
      <c r="J674" s="3" t="str">
        <f>HYPERLINK("https://www.boe.es/gazeta/dias/1815/07/04/pdfs/GMD-1815-81.pdf#page=3","Abrir facsímil")</f>
        <v>Abrir facsímil</v>
      </c>
      <c r="K674" s="3" t="s">
        <v>74</v>
      </c>
    </row>
    <row r="675" spans="1:11" ht="42" customHeight="1">
      <c r="A675" s="2" t="s">
        <v>1920</v>
      </c>
      <c r="B675" s="2" t="s">
        <v>1920</v>
      </c>
      <c r="C675" s="2" t="s">
        <v>31</v>
      </c>
      <c r="D675" s="2" t="s">
        <v>32</v>
      </c>
      <c r="E675" s="5">
        <v>-30858</v>
      </c>
      <c r="F675" s="3" t="s">
        <v>1928</v>
      </c>
      <c r="G675" s="3" t="s">
        <v>1929</v>
      </c>
      <c r="H675" s="2" t="s">
        <v>72</v>
      </c>
      <c r="I675" s="2" t="s">
        <v>1930</v>
      </c>
      <c r="J675" s="3" t="str">
        <f>HYPERLINK("https://www.boe.es/gazeta/dias/1815/07/06/pdfs/GMD-1815-83.pdf#page=3","Abrir facsímil")</f>
        <v>Abrir facsímil</v>
      </c>
      <c r="K675" s="3" t="s">
        <v>74</v>
      </c>
    </row>
    <row r="676" spans="1:11" ht="42" customHeight="1">
      <c r="A676" s="2" t="s">
        <v>1920</v>
      </c>
      <c r="B676" s="2" t="s">
        <v>1920</v>
      </c>
      <c r="C676" s="2" t="s">
        <v>31</v>
      </c>
      <c r="D676" s="2" t="s">
        <v>32</v>
      </c>
      <c r="E676" s="5">
        <v>-30858</v>
      </c>
      <c r="F676" s="3" t="s">
        <v>1928</v>
      </c>
      <c r="G676" s="3" t="s">
        <v>377</v>
      </c>
      <c r="H676" s="2" t="s">
        <v>72</v>
      </c>
      <c r="I676" s="2" t="s">
        <v>1931</v>
      </c>
      <c r="J676" s="3" t="str">
        <f>HYPERLINK("https://www.boe.es/gazeta/dias/1815/07/06/pdfs/GMD-1815-83.pdf#page=2","Abrir facsímil")</f>
        <v>Abrir facsímil</v>
      </c>
      <c r="K676" s="3" t="s">
        <v>74</v>
      </c>
    </row>
    <row r="677" spans="1:11" ht="42" customHeight="1">
      <c r="A677" s="2" t="s">
        <v>1920</v>
      </c>
      <c r="B677" s="2" t="s">
        <v>1920</v>
      </c>
      <c r="C677" s="2" t="s">
        <v>31</v>
      </c>
      <c r="D677" s="2" t="s">
        <v>32</v>
      </c>
      <c r="E677" s="5">
        <v>-30737</v>
      </c>
      <c r="F677" s="3" t="s">
        <v>1932</v>
      </c>
      <c r="G677" s="3" t="s">
        <v>377</v>
      </c>
      <c r="H677" s="2" t="s">
        <v>72</v>
      </c>
      <c r="I677" s="2" t="s">
        <v>1933</v>
      </c>
      <c r="J677" s="3" t="str">
        <f>HYPERLINK("https://www.boe.es/gazeta/dias/1815/11/04/pdfs/GMD-1815-138.pdf#page=2","Abrir facsímil")</f>
        <v>Abrir facsímil</v>
      </c>
      <c r="K677" s="3" t="s">
        <v>74</v>
      </c>
    </row>
    <row r="678" spans="1:11" ht="42" customHeight="1">
      <c r="A678" s="2" t="s">
        <v>1934</v>
      </c>
      <c r="B678" s="2" t="s">
        <v>1934</v>
      </c>
      <c r="C678" s="2" t="s">
        <v>31</v>
      </c>
      <c r="D678" s="2" t="s">
        <v>32</v>
      </c>
      <c r="E678" s="5">
        <v>-30886</v>
      </c>
      <c r="F678" s="3" t="s">
        <v>140</v>
      </c>
      <c r="G678" s="3" t="s">
        <v>410</v>
      </c>
      <c r="H678" s="2" t="s">
        <v>72</v>
      </c>
      <c r="I678" s="2" t="s">
        <v>1935</v>
      </c>
      <c r="J678" s="3" t="str">
        <f>HYPERLINK("https://www.boe.es/gazeta/dias/1815/06/08/pdfs/GMD-1815-69.pdf#page=1","Abrir facsímil")</f>
        <v>Abrir facsímil</v>
      </c>
      <c r="K678" s="3" t="s">
        <v>74</v>
      </c>
    </row>
    <row r="679" spans="1:11" ht="42" customHeight="1">
      <c r="A679" s="2" t="s">
        <v>1936</v>
      </c>
      <c r="B679" s="2" t="s">
        <v>1937</v>
      </c>
      <c r="C679" s="2" t="s">
        <v>31</v>
      </c>
      <c r="D679" s="2" t="s">
        <v>32</v>
      </c>
      <c r="E679" s="5">
        <v>-30870</v>
      </c>
      <c r="F679" s="3" t="s">
        <v>122</v>
      </c>
      <c r="G679" s="3" t="s">
        <v>52</v>
      </c>
      <c r="H679" s="2" t="s">
        <v>72</v>
      </c>
      <c r="I679" s="2" t="s">
        <v>1938</v>
      </c>
      <c r="J679" s="3" t="str">
        <f>HYPERLINK("https://www.boe.es/gazeta/dias/1815/06/24/pdfs/GMD-1815-76.pdf#page=11","Abrir facsímil")</f>
        <v>Abrir facsímil</v>
      </c>
      <c r="K679" s="3" t="s">
        <v>74</v>
      </c>
    </row>
    <row r="680" spans="1:11" ht="42" customHeight="1">
      <c r="A680" s="2" t="s">
        <v>1939</v>
      </c>
      <c r="B680" s="2" t="s">
        <v>1940</v>
      </c>
      <c r="C680" s="2" t="s">
        <v>17</v>
      </c>
      <c r="D680" s="2" t="s">
        <v>18</v>
      </c>
      <c r="E680" s="5">
        <v>-30767</v>
      </c>
      <c r="F680" s="3" t="s">
        <v>228</v>
      </c>
      <c r="G680" s="3" t="s">
        <v>224</v>
      </c>
      <c r="H680" s="2" t="s">
        <v>72</v>
      </c>
      <c r="I680" s="2" t="s">
        <v>1941</v>
      </c>
      <c r="J680" s="3" t="str">
        <f>HYPERLINK("https://www.boe.es/gazeta/dias/1815/10/05/pdfs/GMD-1815-125.pdf#page=9","Abrir facsímil")</f>
        <v>Abrir facsímil</v>
      </c>
      <c r="K680" s="3" t="s">
        <v>74</v>
      </c>
    </row>
    <row r="681" spans="1:11" ht="42" customHeight="1">
      <c r="A681" s="2" t="s">
        <v>1942</v>
      </c>
      <c r="B681" s="2" t="s">
        <v>1942</v>
      </c>
      <c r="C681" s="2" t="s">
        <v>31</v>
      </c>
      <c r="D681" s="2" t="s">
        <v>32</v>
      </c>
      <c r="E681" s="5">
        <v>-30849</v>
      </c>
      <c r="F681" s="3" t="s">
        <v>501</v>
      </c>
      <c r="G681" s="3" t="s">
        <v>71</v>
      </c>
      <c r="H681" s="2" t="s">
        <v>72</v>
      </c>
      <c r="I681" s="2" t="s">
        <v>1943</v>
      </c>
      <c r="J681" s="3" t="str">
        <f>HYPERLINK("https://www.boe.es/gazeta/dias/1815/07/15/pdfs/GMD-1815-87.pdf#page=7","Abrir facsímil")</f>
        <v>Abrir facsímil</v>
      </c>
      <c r="K681" s="3" t="s">
        <v>74</v>
      </c>
    </row>
    <row r="682" spans="1:11" ht="42" customHeight="1">
      <c r="A682" s="2" t="s">
        <v>1944</v>
      </c>
      <c r="B682" s="2" t="s">
        <v>1945</v>
      </c>
      <c r="C682" s="2" t="s">
        <v>49</v>
      </c>
      <c r="D682" s="2" t="s">
        <v>50</v>
      </c>
      <c r="E682" s="5">
        <v>-31024</v>
      </c>
      <c r="F682" s="3" t="s">
        <v>101</v>
      </c>
      <c r="G682" s="3" t="s">
        <v>377</v>
      </c>
      <c r="H682" s="2" t="s">
        <v>72</v>
      </c>
      <c r="I682" s="2" t="s">
        <v>1946</v>
      </c>
      <c r="J682" s="3" t="str">
        <f>HYPERLINK("https://www.boe.es/gazeta/dias/1815/01/21/pdfs/GMD-1815-9.pdf#page=2","Abrir facsímil")</f>
        <v>Abrir facsímil</v>
      </c>
      <c r="K682" s="3" t="s">
        <v>74</v>
      </c>
    </row>
    <row r="683" spans="1:11" ht="42" customHeight="1">
      <c r="A683" s="2" t="s">
        <v>1947</v>
      </c>
      <c r="B683" s="2" t="s">
        <v>1947</v>
      </c>
      <c r="C683" s="2" t="s">
        <v>31</v>
      </c>
      <c r="D683" s="2" t="s">
        <v>32</v>
      </c>
      <c r="E683" s="5">
        <v>-30937</v>
      </c>
      <c r="F683" s="3" t="s">
        <v>322</v>
      </c>
      <c r="G683" s="3" t="s">
        <v>97</v>
      </c>
      <c r="H683" s="2" t="s">
        <v>72</v>
      </c>
      <c r="I683" s="2" t="s">
        <v>1948</v>
      </c>
      <c r="J683" s="3" t="str">
        <f>HYPERLINK("https://www.boe.es/gazeta/dias/1815/04/18/pdfs/GMD-1815-47.pdf#page=3","Abrir facsímil")</f>
        <v>Abrir facsímil</v>
      </c>
      <c r="K683" s="3" t="s">
        <v>74</v>
      </c>
    </row>
    <row r="684" spans="1:11" ht="42" customHeight="1">
      <c r="A684" s="2" t="s">
        <v>1947</v>
      </c>
      <c r="B684" s="2" t="s">
        <v>1947</v>
      </c>
      <c r="C684" s="2" t="s">
        <v>49</v>
      </c>
      <c r="D684" s="2" t="s">
        <v>50</v>
      </c>
      <c r="E684" s="5">
        <v>-30928</v>
      </c>
      <c r="F684" s="3" t="s">
        <v>330</v>
      </c>
      <c r="G684" s="3" t="s">
        <v>97</v>
      </c>
      <c r="H684" s="2" t="s">
        <v>72</v>
      </c>
      <c r="I684" s="2" t="s">
        <v>1949</v>
      </c>
      <c r="J684" s="3" t="str">
        <f>HYPERLINK("https://www.boe.es/gazeta/dias/1815/04/27/pdfs/GMD-1815-51.pdf#page=3","Abrir facsímil")</f>
        <v>Abrir facsímil</v>
      </c>
      <c r="K684" s="3" t="s">
        <v>74</v>
      </c>
    </row>
    <row r="685" spans="1:11" ht="42" customHeight="1">
      <c r="A685" s="2" t="s">
        <v>1950</v>
      </c>
      <c r="B685" s="2" t="s">
        <v>1951</v>
      </c>
      <c r="C685" s="2" t="s">
        <v>31</v>
      </c>
      <c r="D685" s="2" t="s">
        <v>32</v>
      </c>
      <c r="E685" s="5">
        <v>-30744</v>
      </c>
      <c r="F685" s="3" t="s">
        <v>391</v>
      </c>
      <c r="G685" s="3" t="s">
        <v>377</v>
      </c>
      <c r="H685" s="2" t="s">
        <v>72</v>
      </c>
      <c r="I685" s="2" t="s">
        <v>1952</v>
      </c>
      <c r="J685" s="3" t="str">
        <f>HYPERLINK("https://www.boe.es/gazeta/dias/1815/10/28/pdfs/GMD-1815-135.pdf#page=2","Abrir facsímil")</f>
        <v>Abrir facsímil</v>
      </c>
      <c r="K685" s="3" t="s">
        <v>74</v>
      </c>
    </row>
    <row r="686" spans="1:11" ht="42" customHeight="1">
      <c r="A686" s="2" t="s">
        <v>1953</v>
      </c>
      <c r="B686" s="2" t="s">
        <v>1954</v>
      </c>
      <c r="C686" s="2" t="s">
        <v>195</v>
      </c>
      <c r="D686" s="2" t="s">
        <v>50</v>
      </c>
      <c r="E686" s="5">
        <v>-31012</v>
      </c>
      <c r="F686" s="3" t="s">
        <v>529</v>
      </c>
      <c r="G686" s="3" t="s">
        <v>57</v>
      </c>
      <c r="H686" s="2" t="s">
        <v>72</v>
      </c>
      <c r="I686" s="2" t="s">
        <v>1955</v>
      </c>
      <c r="J686" s="3" t="str">
        <f>HYPERLINK("https://www.boe.es/gazeta/dias/1815/02/02/pdfs/GMD-1815-14.pdf#page=5","Abrir facsímil")</f>
        <v>Abrir facsímil</v>
      </c>
      <c r="K686" s="3" t="s">
        <v>74</v>
      </c>
    </row>
    <row r="687" spans="1:11" ht="42" customHeight="1">
      <c r="A687" s="2" t="s">
        <v>1956</v>
      </c>
      <c r="B687" s="2" t="s">
        <v>1956</v>
      </c>
      <c r="C687" s="2" t="s">
        <v>31</v>
      </c>
      <c r="D687" s="2" t="s">
        <v>179</v>
      </c>
      <c r="E687" s="5">
        <v>-30860</v>
      </c>
      <c r="F687" s="3" t="s">
        <v>180</v>
      </c>
      <c r="G687" s="3" t="s">
        <v>27</v>
      </c>
      <c r="H687" s="2" t="s">
        <v>72</v>
      </c>
      <c r="I687" s="2" t="s">
        <v>1957</v>
      </c>
      <c r="J687" s="3" t="str">
        <f>HYPERLINK("https://www.boe.es/gazeta/dias/1815/07/04/pdfs/GMD-1815-82E.pdf#page=6","Abrir facsímil")</f>
        <v>Abrir facsímil</v>
      </c>
      <c r="K687" s="3" t="s">
        <v>74</v>
      </c>
    </row>
    <row r="688" spans="1:11" ht="42" customHeight="1">
      <c r="A688" s="2" t="s">
        <v>1958</v>
      </c>
      <c r="B688" s="2" t="s">
        <v>1959</v>
      </c>
      <c r="C688" s="2" t="s">
        <v>49</v>
      </c>
      <c r="D688" s="2" t="s">
        <v>50</v>
      </c>
      <c r="E688" s="5">
        <v>-30776</v>
      </c>
      <c r="F688" s="3" t="s">
        <v>118</v>
      </c>
      <c r="G688" s="3" t="s">
        <v>410</v>
      </c>
      <c r="H688" s="2" t="s">
        <v>72</v>
      </c>
      <c r="I688" s="2" t="s">
        <v>1960</v>
      </c>
      <c r="J688" s="3" t="str">
        <f>HYPERLINK("https://www.boe.es/gazeta/dias/1815/09/26/pdfs/GMD-1815-119.pdf#page=1","Abrir facsímil")</f>
        <v>Abrir facsímil</v>
      </c>
      <c r="K688" s="3" t="s">
        <v>74</v>
      </c>
    </row>
    <row r="689" spans="1:11" ht="42" customHeight="1">
      <c r="A689" s="2" t="s">
        <v>1961</v>
      </c>
      <c r="B689" s="2" t="s">
        <v>1962</v>
      </c>
      <c r="C689" s="2" t="s">
        <v>31</v>
      </c>
      <c r="D689" s="2" t="s">
        <v>32</v>
      </c>
      <c r="E689" s="5">
        <v>-30898</v>
      </c>
      <c r="F689" s="3" t="s">
        <v>212</v>
      </c>
      <c r="G689" s="3" t="s">
        <v>27</v>
      </c>
      <c r="H689" s="2" t="s">
        <v>72</v>
      </c>
      <c r="I689" s="2" t="s">
        <v>1963</v>
      </c>
      <c r="J689" s="3" t="str">
        <f>HYPERLINK("https://www.boe.es/gazeta/dias/1815/05/27/pdfs/GMD-1815-64.pdf#page=6","Abrir facsímil")</f>
        <v>Abrir facsímil</v>
      </c>
      <c r="K689" s="3" t="s">
        <v>74</v>
      </c>
    </row>
    <row r="690" spans="1:11" ht="42" customHeight="1">
      <c r="A690" s="2" t="s">
        <v>1961</v>
      </c>
      <c r="B690" s="2" t="s">
        <v>1962</v>
      </c>
      <c r="C690" s="2" t="s">
        <v>31</v>
      </c>
      <c r="D690" s="2" t="s">
        <v>32</v>
      </c>
      <c r="E690" s="5">
        <v>-30758</v>
      </c>
      <c r="F690" s="3" t="s">
        <v>1964</v>
      </c>
      <c r="G690" s="3" t="s">
        <v>27</v>
      </c>
      <c r="H690" s="2" t="s">
        <v>72</v>
      </c>
      <c r="I690" s="2" t="s">
        <v>1965</v>
      </c>
      <c r="J690" s="3" t="str">
        <f>HYPERLINK("https://www.boe.es/gazeta/dias/1815/10/14/pdfs/GMD-1815-129.pdf#page=6","Abrir facsímil")</f>
        <v>Abrir facsímil</v>
      </c>
      <c r="K690" s="3" t="s">
        <v>74</v>
      </c>
    </row>
    <row r="691" spans="1:11" ht="42" customHeight="1">
      <c r="A691" s="2" t="s">
        <v>1961</v>
      </c>
      <c r="B691" s="2" t="s">
        <v>1962</v>
      </c>
      <c r="C691" s="2" t="s">
        <v>31</v>
      </c>
      <c r="D691" s="2" t="s">
        <v>32</v>
      </c>
      <c r="E691" s="5">
        <v>-30753</v>
      </c>
      <c r="F691" s="3" t="s">
        <v>1635</v>
      </c>
      <c r="G691" s="3" t="s">
        <v>38</v>
      </c>
      <c r="H691" s="2" t="s">
        <v>72</v>
      </c>
      <c r="I691" s="2" t="s">
        <v>1966</v>
      </c>
      <c r="J691" s="3" t="str">
        <f>HYPERLINK("https://www.boe.es/gazeta/dias/1815/10/19/pdfs/GMD-1815-131.pdf#page=8","Abrir facsímil")</f>
        <v>Abrir facsímil</v>
      </c>
      <c r="K691" s="3" t="s">
        <v>74</v>
      </c>
    </row>
    <row r="692" spans="1:11" ht="42" customHeight="1">
      <c r="A692" s="2" t="s">
        <v>1967</v>
      </c>
      <c r="B692" s="2" t="s">
        <v>1967</v>
      </c>
      <c r="C692" s="2" t="s">
        <v>31</v>
      </c>
      <c r="D692" s="2" t="s">
        <v>32</v>
      </c>
      <c r="E692" s="5">
        <v>-30865</v>
      </c>
      <c r="F692" s="3" t="s">
        <v>163</v>
      </c>
      <c r="G692" s="3" t="s">
        <v>276</v>
      </c>
      <c r="H692" s="2" t="s">
        <v>72</v>
      </c>
      <c r="I692" s="2" t="s">
        <v>1968</v>
      </c>
      <c r="J692" s="3" t="str">
        <f>HYPERLINK("https://www.boe.es/gazeta/dias/1815/06/29/pdfs/GMD-1815-78.pdf#page=12","Abrir facsímil")</f>
        <v>Abrir facsímil</v>
      </c>
      <c r="K692" s="3" t="s">
        <v>74</v>
      </c>
    </row>
    <row r="693" spans="1:11" ht="42" customHeight="1">
      <c r="A693" s="2" t="s">
        <v>1969</v>
      </c>
      <c r="B693" s="2" t="s">
        <v>1970</v>
      </c>
      <c r="C693" s="2" t="s">
        <v>195</v>
      </c>
      <c r="D693" s="2" t="s">
        <v>50</v>
      </c>
      <c r="E693" s="5">
        <v>-30874</v>
      </c>
      <c r="F693" s="3" t="s">
        <v>208</v>
      </c>
      <c r="G693" s="3" t="s">
        <v>38</v>
      </c>
      <c r="H693" s="2" t="s">
        <v>72</v>
      </c>
      <c r="I693" s="2" t="s">
        <v>1971</v>
      </c>
      <c r="J693" s="3" t="str">
        <f>HYPERLINK("https://www.boe.es/gazeta/dias/1815/06/20/pdfs/GMD-1815-74.pdf#page=8","Abrir facsímil")</f>
        <v>Abrir facsímil</v>
      </c>
      <c r="K693" s="3" t="s">
        <v>74</v>
      </c>
    </row>
    <row r="694" spans="1:11" ht="42" customHeight="1">
      <c r="A694" s="2" t="s">
        <v>1972</v>
      </c>
      <c r="B694" s="2" t="s">
        <v>1973</v>
      </c>
      <c r="C694" s="2" t="s">
        <v>49</v>
      </c>
      <c r="D694" s="2" t="s">
        <v>50</v>
      </c>
      <c r="E694" s="5">
        <v>-30916</v>
      </c>
      <c r="F694" s="3" t="s">
        <v>147</v>
      </c>
      <c r="G694" s="3" t="s">
        <v>38</v>
      </c>
      <c r="H694" s="2" t="s">
        <v>72</v>
      </c>
      <c r="I694" s="2" t="s">
        <v>1974</v>
      </c>
      <c r="J694" s="3" t="str">
        <f>HYPERLINK("https://www.boe.es/gazeta/dias/1815/05/09/pdfs/GMD-1815-56.pdf#page=8","Abrir facsímil")</f>
        <v>Abrir facsímil</v>
      </c>
      <c r="K694" s="3" t="s">
        <v>74</v>
      </c>
    </row>
    <row r="695" spans="1:11" ht="42" customHeight="1">
      <c r="A695" s="2" t="s">
        <v>1975</v>
      </c>
      <c r="B695" s="2" t="s">
        <v>1976</v>
      </c>
      <c r="C695" s="2" t="s">
        <v>49</v>
      </c>
      <c r="D695" s="2" t="s">
        <v>50</v>
      </c>
      <c r="E695" s="5">
        <v>-30874</v>
      </c>
      <c r="F695" s="3" t="s">
        <v>208</v>
      </c>
      <c r="G695" s="3" t="s">
        <v>224</v>
      </c>
      <c r="H695" s="2" t="s">
        <v>21</v>
      </c>
      <c r="I695" s="2" t="s">
        <v>1977</v>
      </c>
      <c r="J695" s="3" t="str">
        <f>HYPERLINK("https://www.boe.es/gazeta/dias/1815/06/20/pdfs/GMD-1815-74.pdf#page=9","Abrir facsímil")</f>
        <v>Abrir facsímil</v>
      </c>
      <c r="K695" s="3" t="s">
        <v>23</v>
      </c>
    </row>
    <row r="696" spans="1:11" ht="42" customHeight="1">
      <c r="A696" s="2" t="s">
        <v>1978</v>
      </c>
      <c r="B696" s="2" t="s">
        <v>1979</v>
      </c>
      <c r="C696" s="2" t="s">
        <v>49</v>
      </c>
      <c r="D696" s="2" t="s">
        <v>50</v>
      </c>
      <c r="E696" s="5">
        <v>-30767</v>
      </c>
      <c r="F696" s="3" t="s">
        <v>228</v>
      </c>
      <c r="G696" s="3" t="s">
        <v>88</v>
      </c>
      <c r="H696" s="2" t="s">
        <v>72</v>
      </c>
      <c r="I696" s="2" t="s">
        <v>1980</v>
      </c>
      <c r="J696" s="3" t="str">
        <f>HYPERLINK("https://www.boe.es/gazeta/dias/1815/10/05/pdfs/GMD-1815-125.pdf#page=10","Abrir facsímil")</f>
        <v>Abrir facsímil</v>
      </c>
      <c r="K696" s="3" t="s">
        <v>74</v>
      </c>
    </row>
    <row r="697" spans="1:11" ht="42" customHeight="1">
      <c r="A697" s="2" t="s">
        <v>1981</v>
      </c>
      <c r="B697" s="2" t="s">
        <v>1982</v>
      </c>
      <c r="C697" s="2" t="s">
        <v>31</v>
      </c>
      <c r="D697" s="2" t="s">
        <v>32</v>
      </c>
      <c r="E697" s="5">
        <v>-30699</v>
      </c>
      <c r="F697" s="3" t="s">
        <v>810</v>
      </c>
      <c r="G697" s="3" t="s">
        <v>38</v>
      </c>
      <c r="H697" s="2" t="s">
        <v>72</v>
      </c>
      <c r="I697" s="2" t="s">
        <v>1983</v>
      </c>
      <c r="J697" s="3" t="str">
        <f>HYPERLINK("https://www.boe.es/gazeta/dias/1815/12/12/pdfs/GMD-1815-154.pdf#page=8","Abrir facsímil")</f>
        <v>Abrir facsímil</v>
      </c>
      <c r="K697" s="3" t="s">
        <v>74</v>
      </c>
    </row>
    <row r="698" spans="1:11" ht="42" customHeight="1">
      <c r="A698" s="2" t="s">
        <v>1984</v>
      </c>
      <c r="B698" s="2" t="s">
        <v>1985</v>
      </c>
      <c r="C698" s="2" t="s">
        <v>49</v>
      </c>
      <c r="D698" s="2" t="s">
        <v>50</v>
      </c>
      <c r="E698" s="5">
        <v>-30916</v>
      </c>
      <c r="F698" s="3" t="s">
        <v>147</v>
      </c>
      <c r="G698" s="3" t="s">
        <v>148</v>
      </c>
      <c r="H698" s="2" t="s">
        <v>72</v>
      </c>
      <c r="I698" s="2" t="s">
        <v>1986</v>
      </c>
      <c r="J698" s="3" t="str">
        <f>HYPERLINK("https://www.boe.es/gazeta/dias/1815/05/09/pdfs/GMD-1815-56.pdf#page=7","Abrir facsímil")</f>
        <v>Abrir facsímil</v>
      </c>
      <c r="K698" s="3" t="s">
        <v>74</v>
      </c>
    </row>
    <row r="699" spans="1:11" ht="42" customHeight="1">
      <c r="A699" s="2" t="s">
        <v>1987</v>
      </c>
      <c r="B699" s="2" t="s">
        <v>1988</v>
      </c>
      <c r="C699" s="2" t="s">
        <v>31</v>
      </c>
      <c r="D699" s="2" t="s">
        <v>32</v>
      </c>
      <c r="E699" s="5">
        <v>-30823</v>
      </c>
      <c r="F699" s="3" t="s">
        <v>305</v>
      </c>
      <c r="G699" s="3" t="s">
        <v>306</v>
      </c>
      <c r="H699" s="2" t="s">
        <v>72</v>
      </c>
      <c r="I699" s="2" t="s">
        <v>1989</v>
      </c>
      <c r="J699" s="3" t="str">
        <f>HYPERLINK("https://www.boe.es/gazeta/dias/1815/08/10/pdfs/GMD-1815-98.pdf#page=7","Abrir facsímil")</f>
        <v>Abrir facsímil</v>
      </c>
      <c r="K699" s="3" t="s">
        <v>74</v>
      </c>
    </row>
    <row r="700" spans="1:11" ht="42" customHeight="1">
      <c r="A700" s="2" t="s">
        <v>1990</v>
      </c>
      <c r="B700" s="2" t="s">
        <v>1991</v>
      </c>
      <c r="C700" s="2" t="s">
        <v>49</v>
      </c>
      <c r="D700" s="2" t="s">
        <v>50</v>
      </c>
      <c r="E700" s="5">
        <v>-30870</v>
      </c>
      <c r="F700" s="3" t="s">
        <v>122</v>
      </c>
      <c r="G700" s="3" t="s">
        <v>88</v>
      </c>
      <c r="H700" s="2" t="s">
        <v>72</v>
      </c>
      <c r="I700" s="2" t="s">
        <v>1992</v>
      </c>
      <c r="J700" s="3" t="str">
        <f>HYPERLINK("https://www.boe.es/gazeta/dias/1815/06/24/pdfs/GMD-1815-76.pdf#page=10","Abrir facsímil")</f>
        <v>Abrir facsímil</v>
      </c>
      <c r="K700" s="3" t="s">
        <v>74</v>
      </c>
    </row>
    <row r="701" spans="1:11" ht="42" customHeight="1">
      <c r="A701" s="2" t="s">
        <v>1993</v>
      </c>
      <c r="B701" s="2" t="s">
        <v>1994</v>
      </c>
      <c r="C701" s="2" t="s">
        <v>131</v>
      </c>
      <c r="D701" s="2" t="s">
        <v>50</v>
      </c>
      <c r="E701" s="5">
        <v>-30772</v>
      </c>
      <c r="F701" s="3" t="s">
        <v>216</v>
      </c>
      <c r="G701" s="3" t="s">
        <v>27</v>
      </c>
      <c r="H701" s="2" t="s">
        <v>72</v>
      </c>
      <c r="I701" s="2" t="s">
        <v>1995</v>
      </c>
      <c r="J701" s="3" t="str">
        <f>HYPERLINK("https://www.boe.es/gazeta/dias/1815/09/30/pdfs/GMD-1815-123.pdf#page=6","Abrir facsímil")</f>
        <v>Abrir facsímil</v>
      </c>
      <c r="K701" s="3" t="s">
        <v>74</v>
      </c>
    </row>
    <row r="702" spans="1:11" ht="42" customHeight="1">
      <c r="A702" s="2" t="s">
        <v>1996</v>
      </c>
      <c r="B702" s="2" t="s">
        <v>1997</v>
      </c>
      <c r="C702" s="2" t="s">
        <v>31</v>
      </c>
      <c r="D702" s="2" t="s">
        <v>32</v>
      </c>
      <c r="E702" s="5">
        <v>-30844</v>
      </c>
      <c r="F702" s="3" t="s">
        <v>114</v>
      </c>
      <c r="G702" s="3" t="s">
        <v>38</v>
      </c>
      <c r="H702" s="2" t="s">
        <v>72</v>
      </c>
      <c r="I702" s="2" t="s">
        <v>1998</v>
      </c>
      <c r="J702" s="3" t="str">
        <f>HYPERLINK("https://www.boe.es/gazeta/dias/1815/07/20/pdfs/GMD-1815-89.pdf#page=8","Abrir facsímil")</f>
        <v>Abrir facsímil</v>
      </c>
      <c r="K702" s="3" t="s">
        <v>74</v>
      </c>
    </row>
    <row r="703" spans="1:11" ht="42" customHeight="1">
      <c r="A703" s="2" t="s">
        <v>1999</v>
      </c>
      <c r="B703" s="2" t="s">
        <v>1999</v>
      </c>
      <c r="C703" s="2" t="s">
        <v>49</v>
      </c>
      <c r="D703" s="2" t="s">
        <v>50</v>
      </c>
      <c r="E703" s="5">
        <v>-30774</v>
      </c>
      <c r="F703" s="3" t="s">
        <v>1143</v>
      </c>
      <c r="G703" s="3" t="s">
        <v>20</v>
      </c>
      <c r="H703" s="2" t="s">
        <v>72</v>
      </c>
      <c r="I703" s="2" t="s">
        <v>2000</v>
      </c>
      <c r="J703" s="3" t="str">
        <f>HYPERLINK("https://www.boe.es/gazeta/dias/1815/09/28/pdfs/GMD-1815-121.pdf#page=4","Abrir facsímil")</f>
        <v>Abrir facsímil</v>
      </c>
      <c r="K703" s="3" t="s">
        <v>74</v>
      </c>
    </row>
    <row r="704" spans="1:11" ht="42" customHeight="1">
      <c r="A704" s="2" t="s">
        <v>2001</v>
      </c>
      <c r="B704" s="2" t="s">
        <v>2002</v>
      </c>
      <c r="C704" s="2" t="s">
        <v>49</v>
      </c>
      <c r="D704" s="2" t="s">
        <v>50</v>
      </c>
      <c r="E704" s="5">
        <v>-30870</v>
      </c>
      <c r="F704" s="3" t="s">
        <v>122</v>
      </c>
      <c r="G704" s="3" t="s">
        <v>88</v>
      </c>
      <c r="H704" s="2" t="s">
        <v>72</v>
      </c>
      <c r="I704" s="2" t="s">
        <v>2003</v>
      </c>
      <c r="J704" s="3" t="str">
        <f>HYPERLINK("https://www.boe.es/gazeta/dias/1815/06/24/pdfs/GMD-1815-76.pdf#page=10","Abrir facsímil")</f>
        <v>Abrir facsímil</v>
      </c>
      <c r="K704" s="3" t="s">
        <v>74</v>
      </c>
    </row>
    <row r="705" spans="1:11" ht="42" customHeight="1">
      <c r="A705" s="2" t="s">
        <v>2004</v>
      </c>
      <c r="B705" s="2" t="s">
        <v>2004</v>
      </c>
      <c r="C705" s="2" t="s">
        <v>31</v>
      </c>
      <c r="D705" s="2" t="s">
        <v>32</v>
      </c>
      <c r="E705" s="5">
        <v>-30849</v>
      </c>
      <c r="F705" s="3" t="s">
        <v>501</v>
      </c>
      <c r="G705" s="3" t="s">
        <v>224</v>
      </c>
      <c r="H705" s="2" t="s">
        <v>72</v>
      </c>
      <c r="I705" s="2" t="s">
        <v>2005</v>
      </c>
      <c r="J705" s="3" t="str">
        <f>HYPERLINK("https://www.boe.es/gazeta/dias/1815/07/15/pdfs/GMD-1815-87.pdf#page=9","Abrir facsímil")</f>
        <v>Abrir facsímil</v>
      </c>
      <c r="K705" s="3" t="s">
        <v>74</v>
      </c>
    </row>
    <row r="706" spans="1:11" ht="42" customHeight="1">
      <c r="A706" s="2" t="s">
        <v>2006</v>
      </c>
      <c r="B706" s="2" t="s">
        <v>2007</v>
      </c>
      <c r="C706" s="2" t="s">
        <v>195</v>
      </c>
      <c r="D706" s="2" t="s">
        <v>50</v>
      </c>
      <c r="E706" s="5">
        <v>-30874</v>
      </c>
      <c r="F706" s="3" t="s">
        <v>208</v>
      </c>
      <c r="G706" s="3" t="s">
        <v>38</v>
      </c>
      <c r="H706" s="2" t="s">
        <v>72</v>
      </c>
      <c r="I706" s="2" t="s">
        <v>2008</v>
      </c>
      <c r="J706" s="3" t="str">
        <f>HYPERLINK("https://www.boe.es/gazeta/dias/1815/06/20/pdfs/GMD-1815-74.pdf#page=8","Abrir facsímil")</f>
        <v>Abrir facsímil</v>
      </c>
      <c r="K706" s="3" t="s">
        <v>74</v>
      </c>
    </row>
    <row r="707" spans="1:11" ht="42" customHeight="1">
      <c r="A707" s="2" t="s">
        <v>2009</v>
      </c>
      <c r="B707" s="2" t="s">
        <v>2009</v>
      </c>
      <c r="C707" s="2" t="s">
        <v>31</v>
      </c>
      <c r="D707" s="2" t="s">
        <v>32</v>
      </c>
      <c r="E707" s="5">
        <v>-30907</v>
      </c>
      <c r="F707" s="3" t="s">
        <v>301</v>
      </c>
      <c r="G707" s="3" t="s">
        <v>57</v>
      </c>
      <c r="H707" s="2" t="s">
        <v>72</v>
      </c>
      <c r="I707" s="2" t="s">
        <v>2010</v>
      </c>
      <c r="J707" s="3" t="str">
        <f>HYPERLINK("https://www.boe.es/gazeta/dias/1815/05/18/pdfs/GMD-1815-60.pdf#page=5","Abrir facsímil")</f>
        <v>Abrir facsímil</v>
      </c>
      <c r="K707" s="3" t="s">
        <v>74</v>
      </c>
    </row>
    <row r="708" spans="1:11" ht="42" customHeight="1">
      <c r="A708" s="2" t="s">
        <v>2009</v>
      </c>
      <c r="B708" s="2" t="s">
        <v>2009</v>
      </c>
      <c r="C708" s="2" t="s">
        <v>31</v>
      </c>
      <c r="D708" s="2" t="s">
        <v>32</v>
      </c>
      <c r="E708" s="5">
        <v>-30830</v>
      </c>
      <c r="F708" s="3" t="s">
        <v>33</v>
      </c>
      <c r="G708" s="3" t="s">
        <v>377</v>
      </c>
      <c r="H708" s="2" t="s">
        <v>72</v>
      </c>
      <c r="I708" s="2" t="s">
        <v>2011</v>
      </c>
      <c r="J708" s="3" t="str">
        <f>HYPERLINK("https://www.boe.es/gazeta/dias/1815/08/03/pdfs/GMD-1815-95.pdf#page=2","Abrir facsímil")</f>
        <v>Abrir facsímil</v>
      </c>
      <c r="K708" s="3" t="s">
        <v>74</v>
      </c>
    </row>
    <row r="709" spans="1:11" ht="42" customHeight="1">
      <c r="A709" s="2" t="s">
        <v>2012</v>
      </c>
      <c r="B709" s="2" t="s">
        <v>2013</v>
      </c>
      <c r="C709" s="2" t="s">
        <v>49</v>
      </c>
      <c r="D709" s="2" t="s">
        <v>50</v>
      </c>
      <c r="E709" s="5">
        <v>-30886</v>
      </c>
      <c r="F709" s="3" t="s">
        <v>140</v>
      </c>
      <c r="G709" s="3" t="s">
        <v>38</v>
      </c>
      <c r="H709" s="2" t="s">
        <v>72</v>
      </c>
      <c r="I709" s="2" t="s">
        <v>2014</v>
      </c>
      <c r="J709" s="3" t="str">
        <f>HYPERLINK("https://www.boe.es/gazeta/dias/1815/06/08/pdfs/GMD-1815-69.pdf#page=8","Abrir facsímil")</f>
        <v>Abrir facsímil</v>
      </c>
      <c r="K709" s="3" t="s">
        <v>74</v>
      </c>
    </row>
    <row r="710" spans="1:11" ht="42" customHeight="1">
      <c r="A710" s="2" t="s">
        <v>2015</v>
      </c>
      <c r="B710" s="2" t="s">
        <v>2015</v>
      </c>
      <c r="C710" s="2" t="s">
        <v>31</v>
      </c>
      <c r="D710" s="2" t="s">
        <v>32</v>
      </c>
      <c r="E710" s="5">
        <v>-30727</v>
      </c>
      <c r="F710" s="3" t="s">
        <v>262</v>
      </c>
      <c r="G710" s="3" t="s">
        <v>377</v>
      </c>
      <c r="H710" s="2" t="s">
        <v>72</v>
      </c>
      <c r="I710" s="2" t="s">
        <v>2016</v>
      </c>
      <c r="J710" s="3" t="str">
        <f>HYPERLINK("https://www.boe.es/gazeta/dias/1815/11/14/pdfs/GMD-1815-142.pdf#page=2","Abrir facsímil")</f>
        <v>Abrir facsímil</v>
      </c>
      <c r="K710" s="3" t="s">
        <v>74</v>
      </c>
    </row>
    <row r="711" spans="1:11" ht="42" customHeight="1">
      <c r="A711" s="2" t="s">
        <v>2017</v>
      </c>
      <c r="B711" s="2" t="s">
        <v>2017</v>
      </c>
      <c r="C711" s="2" t="s">
        <v>31</v>
      </c>
      <c r="D711" s="2" t="s">
        <v>32</v>
      </c>
      <c r="E711" s="5">
        <v>-30926</v>
      </c>
      <c r="F711" s="3" t="s">
        <v>2018</v>
      </c>
      <c r="G711" s="3" t="s">
        <v>410</v>
      </c>
      <c r="H711" s="2" t="s">
        <v>72</v>
      </c>
      <c r="I711" s="2" t="s">
        <v>2019</v>
      </c>
      <c r="J711" s="3" t="str">
        <f>HYPERLINK("https://www.boe.es/gazeta/dias/1815/04/29/pdfs/GMD-1815-52.pdf#page=1","Abrir facsímil")</f>
        <v>Abrir facsímil</v>
      </c>
      <c r="K711" s="3" t="s">
        <v>74</v>
      </c>
    </row>
    <row r="712" spans="1:11" ht="42" customHeight="1">
      <c r="A712" s="2" t="s">
        <v>2017</v>
      </c>
      <c r="B712" s="2" t="s">
        <v>2017</v>
      </c>
      <c r="C712" s="2" t="s">
        <v>31</v>
      </c>
      <c r="D712" s="2" t="s">
        <v>32</v>
      </c>
      <c r="E712" s="5">
        <v>-30891</v>
      </c>
      <c r="F712" s="3" t="s">
        <v>498</v>
      </c>
      <c r="G712" s="3" t="s">
        <v>97</v>
      </c>
      <c r="H712" s="2" t="s">
        <v>72</v>
      </c>
      <c r="I712" s="2" t="s">
        <v>2020</v>
      </c>
      <c r="J712" s="3" t="str">
        <f>HYPERLINK("https://www.boe.es/gazeta/dias/1815/06/03/pdfs/GMD-1815-67.pdf#page=3","Abrir facsímil")</f>
        <v>Abrir facsímil</v>
      </c>
      <c r="K712" s="3" t="s">
        <v>74</v>
      </c>
    </row>
    <row r="713" spans="1:11" ht="42" customHeight="1">
      <c r="A713" s="2" t="s">
        <v>2017</v>
      </c>
      <c r="B713" s="2" t="s">
        <v>2017</v>
      </c>
      <c r="C713" s="2" t="s">
        <v>31</v>
      </c>
      <c r="D713" s="2" t="s">
        <v>32</v>
      </c>
      <c r="E713" s="5">
        <v>-30881</v>
      </c>
      <c r="F713" s="3" t="s">
        <v>446</v>
      </c>
      <c r="G713" s="3" t="s">
        <v>2021</v>
      </c>
      <c r="H713" s="2" t="s">
        <v>72</v>
      </c>
      <c r="I713" s="2" t="s">
        <v>2022</v>
      </c>
      <c r="J713" s="3" t="str">
        <f>HYPERLINK("https://www.boe.es/gazeta/dias/1815/06/13/pdfs/GMD-1815-71.pdf#page=3","Abrir facsímil")</f>
        <v>Abrir facsímil</v>
      </c>
      <c r="K713" s="3" t="s">
        <v>74</v>
      </c>
    </row>
    <row r="714" spans="1:11" ht="42" customHeight="1">
      <c r="A714" s="2" t="s">
        <v>2017</v>
      </c>
      <c r="B714" s="2" t="s">
        <v>2017</v>
      </c>
      <c r="C714" s="2" t="s">
        <v>31</v>
      </c>
      <c r="D714" s="2" t="s">
        <v>32</v>
      </c>
      <c r="E714" s="5">
        <v>-30870</v>
      </c>
      <c r="F714" s="3" t="s">
        <v>122</v>
      </c>
      <c r="G714" s="3" t="s">
        <v>97</v>
      </c>
      <c r="H714" s="2" t="s">
        <v>72</v>
      </c>
      <c r="I714" s="2" t="s">
        <v>2023</v>
      </c>
      <c r="J714" s="3" t="str">
        <f>HYPERLINK("https://www.boe.es/gazeta/dias/1815/06/24/pdfs/GMD-1815-76.pdf#page=3","Abrir facsímil")</f>
        <v>Abrir facsímil</v>
      </c>
      <c r="K714" s="3" t="s">
        <v>74</v>
      </c>
    </row>
    <row r="715" spans="1:11" ht="42" customHeight="1">
      <c r="A715" s="2" t="s">
        <v>2017</v>
      </c>
      <c r="B715" s="2" t="s">
        <v>2017</v>
      </c>
      <c r="C715" s="2" t="s">
        <v>31</v>
      </c>
      <c r="D715" s="2" t="s">
        <v>179</v>
      </c>
      <c r="E715" s="5">
        <v>-30863</v>
      </c>
      <c r="F715" s="3" t="s">
        <v>2024</v>
      </c>
      <c r="G715" s="3" t="s">
        <v>410</v>
      </c>
      <c r="H715" s="2" t="s">
        <v>72</v>
      </c>
      <c r="I715" s="2" t="s">
        <v>2025</v>
      </c>
      <c r="J715" s="3" t="str">
        <f>HYPERLINK("https://www.boe.es/gazeta/dias/1815/07/01/pdfs/GMD-1815-80E.pdf#page=1","Abrir facsímil")</f>
        <v>Abrir facsímil</v>
      </c>
      <c r="K715" s="3" t="s">
        <v>74</v>
      </c>
    </row>
    <row r="716" spans="1:11" ht="42" customHeight="1">
      <c r="A716" s="2" t="s">
        <v>2017</v>
      </c>
      <c r="B716" s="2" t="s">
        <v>2017</v>
      </c>
      <c r="C716" s="2" t="s">
        <v>31</v>
      </c>
      <c r="D716" s="2" t="s">
        <v>179</v>
      </c>
      <c r="E716" s="5">
        <v>-30860</v>
      </c>
      <c r="F716" s="3" t="s">
        <v>180</v>
      </c>
      <c r="G716" s="3" t="s">
        <v>2026</v>
      </c>
      <c r="H716" s="2" t="s">
        <v>72</v>
      </c>
      <c r="I716" s="2" t="s">
        <v>2027</v>
      </c>
      <c r="J716" s="3" t="str">
        <f>HYPERLINK("https://www.boe.es/gazeta/dias/1815/07/04/pdfs/GMD-1815-82E.pdf#page=5","Abrir facsímil")</f>
        <v>Abrir facsímil</v>
      </c>
      <c r="K716" s="3" t="s">
        <v>74</v>
      </c>
    </row>
    <row r="717" spans="1:11" ht="42" customHeight="1">
      <c r="A717" s="2" t="s">
        <v>2017</v>
      </c>
      <c r="B717" s="2" t="s">
        <v>2017</v>
      </c>
      <c r="C717" s="2" t="s">
        <v>31</v>
      </c>
      <c r="D717" s="2" t="s">
        <v>179</v>
      </c>
      <c r="E717" s="5">
        <v>-30860</v>
      </c>
      <c r="F717" s="3" t="s">
        <v>180</v>
      </c>
      <c r="G717" s="3" t="s">
        <v>410</v>
      </c>
      <c r="H717" s="2" t="s">
        <v>72</v>
      </c>
      <c r="I717" s="2" t="s">
        <v>2028</v>
      </c>
      <c r="J717" s="3" t="str">
        <f>HYPERLINK("https://www.boe.es/gazeta/dias/1815/07/04/pdfs/GMD-1815-82E.pdf#page=1","Abrir facsímil")</f>
        <v>Abrir facsímil</v>
      </c>
      <c r="K717" s="3" t="s">
        <v>74</v>
      </c>
    </row>
    <row r="718" spans="1:11" ht="42" customHeight="1">
      <c r="A718" s="2" t="s">
        <v>2017</v>
      </c>
      <c r="B718" s="2" t="s">
        <v>2017</v>
      </c>
      <c r="C718" s="2" t="s">
        <v>31</v>
      </c>
      <c r="D718" s="2" t="s">
        <v>179</v>
      </c>
      <c r="E718" s="5">
        <v>-30860</v>
      </c>
      <c r="F718" s="3" t="s">
        <v>180</v>
      </c>
      <c r="G718" s="3" t="s">
        <v>377</v>
      </c>
      <c r="H718" s="2" t="s">
        <v>72</v>
      </c>
      <c r="I718" s="2" t="s">
        <v>2029</v>
      </c>
      <c r="J718" s="3" t="str">
        <f>HYPERLINK("https://www.boe.es/gazeta/dias/1815/07/04/pdfs/GMD-1815-82E.pdf#page=2","Abrir facsímil")</f>
        <v>Abrir facsímil</v>
      </c>
      <c r="K718" s="3" t="s">
        <v>74</v>
      </c>
    </row>
    <row r="719" spans="1:11" ht="42" customHeight="1">
      <c r="A719" s="2" t="s">
        <v>2017</v>
      </c>
      <c r="B719" s="2" t="s">
        <v>2017</v>
      </c>
      <c r="C719" s="2" t="s">
        <v>31</v>
      </c>
      <c r="D719" s="2" t="s">
        <v>179</v>
      </c>
      <c r="E719" s="5">
        <v>-30860</v>
      </c>
      <c r="F719" s="3" t="s">
        <v>180</v>
      </c>
      <c r="G719" s="3" t="s">
        <v>97</v>
      </c>
      <c r="H719" s="2" t="s">
        <v>72</v>
      </c>
      <c r="I719" s="2" t="s">
        <v>2030</v>
      </c>
      <c r="J719" s="3" t="str">
        <f>HYPERLINK("https://www.boe.es/gazeta/dias/1815/07/04/pdfs/GMD-1815-82E.pdf#page=3","Abrir facsímil")</f>
        <v>Abrir facsímil</v>
      </c>
      <c r="K719" s="3" t="s">
        <v>74</v>
      </c>
    </row>
    <row r="720" spans="1:11" ht="42" customHeight="1">
      <c r="A720" s="2" t="s">
        <v>2017</v>
      </c>
      <c r="B720" s="2" t="s">
        <v>2017</v>
      </c>
      <c r="C720" s="2" t="s">
        <v>31</v>
      </c>
      <c r="D720" s="2" t="s">
        <v>179</v>
      </c>
      <c r="E720" s="5">
        <v>-30860</v>
      </c>
      <c r="F720" s="3" t="s">
        <v>180</v>
      </c>
      <c r="G720" s="3" t="s">
        <v>20</v>
      </c>
      <c r="H720" s="2" t="s">
        <v>72</v>
      </c>
      <c r="I720" s="2" t="s">
        <v>2031</v>
      </c>
      <c r="J720" s="3" t="str">
        <f>HYPERLINK("https://www.boe.es/gazeta/dias/1815/07/04/pdfs/GMD-1815-82E.pdf#page=4","Abrir facsímil")</f>
        <v>Abrir facsímil</v>
      </c>
      <c r="K720" s="3" t="s">
        <v>74</v>
      </c>
    </row>
    <row r="721" spans="1:11" ht="42" customHeight="1">
      <c r="A721" s="2" t="s">
        <v>2017</v>
      </c>
      <c r="B721" s="2" t="s">
        <v>2017</v>
      </c>
      <c r="C721" s="2" t="s">
        <v>31</v>
      </c>
      <c r="D721" s="2" t="s">
        <v>32</v>
      </c>
      <c r="E721" s="5">
        <v>-30849</v>
      </c>
      <c r="F721" s="3" t="s">
        <v>501</v>
      </c>
      <c r="G721" s="3" t="s">
        <v>410</v>
      </c>
      <c r="H721" s="2" t="s">
        <v>72</v>
      </c>
      <c r="I721" s="2" t="s">
        <v>2032</v>
      </c>
      <c r="J721" s="3" t="str">
        <f>HYPERLINK("https://www.boe.es/gazeta/dias/1815/07/15/pdfs/GMD-1815-87.pdf#page=1","Abrir facsímil")</f>
        <v>Abrir facsímil</v>
      </c>
      <c r="K721" s="3" t="s">
        <v>74</v>
      </c>
    </row>
    <row r="722" spans="1:11" ht="42" customHeight="1">
      <c r="A722" s="2" t="s">
        <v>2017</v>
      </c>
      <c r="B722" s="2" t="s">
        <v>2017</v>
      </c>
      <c r="C722" s="2" t="s">
        <v>31</v>
      </c>
      <c r="D722" s="2" t="s">
        <v>32</v>
      </c>
      <c r="E722" s="5">
        <v>-30849</v>
      </c>
      <c r="F722" s="3" t="s">
        <v>501</v>
      </c>
      <c r="G722" s="3" t="s">
        <v>97</v>
      </c>
      <c r="H722" s="2" t="s">
        <v>72</v>
      </c>
      <c r="I722" s="2" t="s">
        <v>2033</v>
      </c>
      <c r="J722" s="3" t="str">
        <f>HYPERLINK("https://www.boe.es/gazeta/dias/1815/07/15/pdfs/GMD-1815-87.pdf#page=3","Abrir facsímil")</f>
        <v>Abrir facsímil</v>
      </c>
      <c r="K722" s="3" t="s">
        <v>74</v>
      </c>
    </row>
    <row r="723" spans="1:11" ht="42" customHeight="1">
      <c r="A723" s="2" t="s">
        <v>2017</v>
      </c>
      <c r="B723" s="2" t="s">
        <v>2017</v>
      </c>
      <c r="C723" s="2" t="s">
        <v>49</v>
      </c>
      <c r="D723" s="2" t="s">
        <v>50</v>
      </c>
      <c r="E723" s="5">
        <v>-30849</v>
      </c>
      <c r="F723" s="3" t="s">
        <v>501</v>
      </c>
      <c r="G723" s="3" t="s">
        <v>20</v>
      </c>
      <c r="H723" s="2" t="s">
        <v>72</v>
      </c>
      <c r="I723" s="2" t="s">
        <v>2034</v>
      </c>
      <c r="J723" s="3" t="str">
        <f>HYPERLINK("https://www.boe.es/gazeta/dias/1815/07/15/pdfs/GMD-1815-87.pdf#page=4","Abrir facsímil")</f>
        <v>Abrir facsímil</v>
      </c>
      <c r="K723" s="3" t="s">
        <v>74</v>
      </c>
    </row>
    <row r="724" spans="1:11" ht="42" customHeight="1">
      <c r="A724" s="2" t="s">
        <v>2017</v>
      </c>
      <c r="B724" s="2" t="s">
        <v>2017</v>
      </c>
      <c r="C724" s="2" t="s">
        <v>31</v>
      </c>
      <c r="D724" s="2" t="s">
        <v>32</v>
      </c>
      <c r="E724" s="5">
        <v>-30849</v>
      </c>
      <c r="F724" s="3" t="s">
        <v>501</v>
      </c>
      <c r="G724" s="3" t="s">
        <v>71</v>
      </c>
      <c r="H724" s="2" t="s">
        <v>72</v>
      </c>
      <c r="I724" s="2" t="s">
        <v>2035</v>
      </c>
      <c r="J724" s="3" t="str">
        <f>HYPERLINK("https://www.boe.es/gazeta/dias/1815/07/15/pdfs/GMD-1815-87.pdf#page=7","Abrir facsímil")</f>
        <v>Abrir facsímil</v>
      </c>
      <c r="K724" s="3" t="s">
        <v>74</v>
      </c>
    </row>
    <row r="725" spans="1:11" ht="42" customHeight="1">
      <c r="A725" s="2" t="s">
        <v>2017</v>
      </c>
      <c r="B725" s="2" t="s">
        <v>2017</v>
      </c>
      <c r="C725" s="2" t="s">
        <v>49</v>
      </c>
      <c r="D725" s="2" t="s">
        <v>50</v>
      </c>
      <c r="E725" s="5">
        <v>-30832</v>
      </c>
      <c r="F725" s="3" t="s">
        <v>266</v>
      </c>
      <c r="G725" s="3" t="s">
        <v>410</v>
      </c>
      <c r="H725" s="2" t="s">
        <v>72</v>
      </c>
      <c r="I725" s="2" t="s">
        <v>2036</v>
      </c>
      <c r="J725" s="3" t="str">
        <f>HYPERLINK("https://www.boe.es/gazeta/dias/1815/08/01/pdfs/GMD-1815-94.pdf#page=1","Abrir facsímil")</f>
        <v>Abrir facsímil</v>
      </c>
      <c r="K725" s="3" t="s">
        <v>74</v>
      </c>
    </row>
    <row r="726" spans="1:11" ht="42" customHeight="1">
      <c r="A726" s="2" t="s">
        <v>2017</v>
      </c>
      <c r="B726" s="2" t="s">
        <v>2017</v>
      </c>
      <c r="C726" s="2" t="s">
        <v>31</v>
      </c>
      <c r="D726" s="2" t="s">
        <v>32</v>
      </c>
      <c r="E726" s="5">
        <v>-30832</v>
      </c>
      <c r="F726" s="3" t="s">
        <v>266</v>
      </c>
      <c r="G726" s="3" t="s">
        <v>97</v>
      </c>
      <c r="H726" s="2" t="s">
        <v>72</v>
      </c>
      <c r="I726" s="2" t="s">
        <v>2037</v>
      </c>
      <c r="J726" s="3" t="str">
        <f>HYPERLINK("https://www.boe.es/gazeta/dias/1815/08/01/pdfs/GMD-1815-94.pdf#page=3","Abrir facsímil")</f>
        <v>Abrir facsímil</v>
      </c>
      <c r="K726" s="3" t="s">
        <v>74</v>
      </c>
    </row>
    <row r="727" spans="1:11" ht="42" customHeight="1">
      <c r="A727" s="2" t="s">
        <v>2017</v>
      </c>
      <c r="B727" s="2" t="s">
        <v>2017</v>
      </c>
      <c r="C727" s="2" t="s">
        <v>31</v>
      </c>
      <c r="D727" s="2" t="s">
        <v>32</v>
      </c>
      <c r="E727" s="5">
        <v>-30830</v>
      </c>
      <c r="F727" s="3" t="s">
        <v>33</v>
      </c>
      <c r="G727" s="3" t="s">
        <v>20</v>
      </c>
      <c r="H727" s="2" t="s">
        <v>72</v>
      </c>
      <c r="I727" s="2" t="s">
        <v>2038</v>
      </c>
      <c r="J727" s="3" t="str">
        <f>HYPERLINK("https://www.boe.es/gazeta/dias/1815/08/03/pdfs/GMD-1815-95.pdf#page=4","Abrir facsímil")</f>
        <v>Abrir facsímil</v>
      </c>
      <c r="K727" s="3" t="s">
        <v>74</v>
      </c>
    </row>
    <row r="728" spans="1:11" ht="42" customHeight="1">
      <c r="A728" s="2" t="s">
        <v>2017</v>
      </c>
      <c r="B728" s="2" t="s">
        <v>2017</v>
      </c>
      <c r="C728" s="2" t="s">
        <v>31</v>
      </c>
      <c r="D728" s="2" t="s">
        <v>32</v>
      </c>
      <c r="E728" s="5">
        <v>-30823</v>
      </c>
      <c r="F728" s="3" t="s">
        <v>305</v>
      </c>
      <c r="G728" s="3" t="s">
        <v>306</v>
      </c>
      <c r="H728" s="2" t="s">
        <v>72</v>
      </c>
      <c r="I728" s="2" t="s">
        <v>2039</v>
      </c>
      <c r="J728" s="3" t="str">
        <f>HYPERLINK("https://www.boe.es/gazeta/dias/1815/08/10/pdfs/GMD-1815-98.pdf#page=7","Abrir facsímil")</f>
        <v>Abrir facsímil</v>
      </c>
      <c r="K728" s="3" t="s">
        <v>74</v>
      </c>
    </row>
    <row r="729" spans="1:11" ht="42" customHeight="1">
      <c r="A729" s="2" t="s">
        <v>2017</v>
      </c>
      <c r="B729" s="2" t="s">
        <v>2017</v>
      </c>
      <c r="C729" s="2" t="s">
        <v>31</v>
      </c>
      <c r="D729" s="2" t="s">
        <v>32</v>
      </c>
      <c r="E729" s="5">
        <v>-30823</v>
      </c>
      <c r="F729" s="3" t="s">
        <v>305</v>
      </c>
      <c r="G729" s="3" t="s">
        <v>377</v>
      </c>
      <c r="H729" s="2" t="s">
        <v>72</v>
      </c>
      <c r="I729" s="2" t="s">
        <v>2040</v>
      </c>
      <c r="J729" s="3" t="str">
        <f>HYPERLINK("https://www.boe.es/gazeta/dias/1815/08/10/pdfs/GMD-1815-98.pdf#page=2","Abrir facsímil")</f>
        <v>Abrir facsímil</v>
      </c>
      <c r="K729" s="3" t="s">
        <v>74</v>
      </c>
    </row>
    <row r="730" spans="1:11" ht="42" customHeight="1">
      <c r="A730" s="2" t="s">
        <v>2017</v>
      </c>
      <c r="B730" s="2" t="s">
        <v>2017</v>
      </c>
      <c r="C730" s="2" t="s">
        <v>31</v>
      </c>
      <c r="D730" s="2" t="s">
        <v>32</v>
      </c>
      <c r="E730" s="5">
        <v>-30823</v>
      </c>
      <c r="F730" s="3" t="s">
        <v>305</v>
      </c>
      <c r="G730" s="3" t="s">
        <v>27</v>
      </c>
      <c r="H730" s="2" t="s">
        <v>72</v>
      </c>
      <c r="I730" s="2" t="s">
        <v>2041</v>
      </c>
      <c r="J730" s="3" t="str">
        <f>HYPERLINK("https://www.boe.es/gazeta/dias/1815/08/10/pdfs/GMD-1815-98.pdf#page=6","Abrir facsímil")</f>
        <v>Abrir facsímil</v>
      </c>
      <c r="K730" s="3" t="s">
        <v>74</v>
      </c>
    </row>
    <row r="731" spans="1:11" ht="42" customHeight="1">
      <c r="A731" s="2" t="s">
        <v>2017</v>
      </c>
      <c r="B731" s="2" t="s">
        <v>2017</v>
      </c>
      <c r="C731" s="2" t="s">
        <v>31</v>
      </c>
      <c r="D731" s="2" t="s">
        <v>32</v>
      </c>
      <c r="E731" s="5">
        <v>-30816</v>
      </c>
      <c r="F731" s="3" t="s">
        <v>1253</v>
      </c>
      <c r="G731" s="3" t="s">
        <v>20</v>
      </c>
      <c r="H731" s="2" t="s">
        <v>72</v>
      </c>
      <c r="I731" s="2" t="s">
        <v>2042</v>
      </c>
      <c r="J731" s="3" t="str">
        <f>HYPERLINK("https://www.boe.es/gazeta/dias/1815/08/17/pdfs/GMD-1815-101.pdf#page=4","Abrir facsímil")</f>
        <v>Abrir facsímil</v>
      </c>
      <c r="K731" s="3" t="s">
        <v>74</v>
      </c>
    </row>
    <row r="732" spans="1:11" ht="42" customHeight="1">
      <c r="A732" s="2" t="s">
        <v>2017</v>
      </c>
      <c r="B732" s="2" t="s">
        <v>2017</v>
      </c>
      <c r="C732" s="2" t="s">
        <v>31</v>
      </c>
      <c r="D732" s="2" t="s">
        <v>32</v>
      </c>
      <c r="E732" s="5">
        <v>-30744</v>
      </c>
      <c r="F732" s="3" t="s">
        <v>391</v>
      </c>
      <c r="G732" s="3" t="s">
        <v>410</v>
      </c>
      <c r="H732" s="2" t="s">
        <v>72</v>
      </c>
      <c r="I732" s="2" t="s">
        <v>2043</v>
      </c>
      <c r="J732" s="3" t="str">
        <f>HYPERLINK("https://www.boe.es/gazeta/dias/1815/10/28/pdfs/GMD-1815-135.pdf#page=1","Abrir facsímil")</f>
        <v>Abrir facsímil</v>
      </c>
      <c r="K732" s="3" t="s">
        <v>74</v>
      </c>
    </row>
    <row r="733" spans="1:11" ht="42" customHeight="1">
      <c r="A733" s="2" t="s">
        <v>2017</v>
      </c>
      <c r="B733" s="2" t="s">
        <v>2017</v>
      </c>
      <c r="C733" s="2" t="s">
        <v>31</v>
      </c>
      <c r="D733" s="2" t="s">
        <v>32</v>
      </c>
      <c r="E733" s="5">
        <v>-30685</v>
      </c>
      <c r="F733" s="3" t="s">
        <v>1453</v>
      </c>
      <c r="G733" s="3" t="s">
        <v>20</v>
      </c>
      <c r="H733" s="2" t="s">
        <v>72</v>
      </c>
      <c r="I733" s="2" t="s">
        <v>2044</v>
      </c>
      <c r="J733" s="3" t="str">
        <f>HYPERLINK("https://www.boe.es/gazeta/dias/1815/12/26/pdfs/GMD-1815-160.pdf#page=4","Abrir facsímil")</f>
        <v>Abrir facsímil</v>
      </c>
      <c r="K733" s="3" t="s">
        <v>74</v>
      </c>
    </row>
    <row r="734" spans="1:11" ht="42" customHeight="1">
      <c r="A734" s="2" t="s">
        <v>2045</v>
      </c>
      <c r="B734" s="2" t="s">
        <v>2046</v>
      </c>
      <c r="C734" s="2" t="s">
        <v>31</v>
      </c>
      <c r="D734" s="2" t="s">
        <v>32</v>
      </c>
      <c r="E734" s="5">
        <v>-30814</v>
      </c>
      <c r="F734" s="3" t="s">
        <v>644</v>
      </c>
      <c r="G734" s="3" t="s">
        <v>2047</v>
      </c>
      <c r="H734" s="2" t="s">
        <v>72</v>
      </c>
      <c r="I734" s="2" t="s">
        <v>2048</v>
      </c>
      <c r="J734" s="3" t="str">
        <f>HYPERLINK("https://www.boe.es/gazeta/dias/1815/08/19/pdfs/GMD-1815-102.pdf#page=4","Abrir facsímil")</f>
        <v>Abrir facsímil</v>
      </c>
      <c r="K734" s="3" t="s">
        <v>74</v>
      </c>
    </row>
    <row r="735" spans="1:11" ht="42" customHeight="1">
      <c r="A735" s="2" t="s">
        <v>2045</v>
      </c>
      <c r="B735" s="2" t="s">
        <v>2046</v>
      </c>
      <c r="C735" s="2" t="s">
        <v>31</v>
      </c>
      <c r="D735" s="2" t="s">
        <v>32</v>
      </c>
      <c r="E735" s="5">
        <v>-30723</v>
      </c>
      <c r="F735" s="3" t="s">
        <v>77</v>
      </c>
      <c r="G735" s="3" t="s">
        <v>410</v>
      </c>
      <c r="H735" s="2" t="s">
        <v>72</v>
      </c>
      <c r="I735" s="2" t="s">
        <v>2049</v>
      </c>
      <c r="J735" s="3" t="str">
        <f>HYPERLINK("https://www.boe.es/gazeta/dias/1815/11/18/pdfs/GMD-1815-144.pdf#page=1","Abrir facsímil")</f>
        <v>Abrir facsímil</v>
      </c>
      <c r="K735" s="3" t="s">
        <v>74</v>
      </c>
    </row>
    <row r="736" spans="1:11" ht="42" customHeight="1">
      <c r="A736" s="2" t="s">
        <v>2050</v>
      </c>
      <c r="B736" s="2" t="s">
        <v>2051</v>
      </c>
      <c r="C736" s="2" t="s">
        <v>31</v>
      </c>
      <c r="D736" s="2" t="s">
        <v>32</v>
      </c>
      <c r="E736" s="5">
        <v>-30688</v>
      </c>
      <c r="F736" s="3" t="s">
        <v>62</v>
      </c>
      <c r="G736" s="3" t="s">
        <v>97</v>
      </c>
      <c r="H736" s="2" t="s">
        <v>72</v>
      </c>
      <c r="I736" s="2" t="s">
        <v>2052</v>
      </c>
      <c r="J736" s="3" t="str">
        <f>HYPERLINK("https://www.boe.es/gazeta/dias/1815/12/23/pdfs/GMD-1815-159.pdf#page=3","Abrir facsímil")</f>
        <v>Abrir facsímil</v>
      </c>
      <c r="K736" s="3" t="s">
        <v>74</v>
      </c>
    </row>
    <row r="737" spans="1:11" ht="42" customHeight="1">
      <c r="A737" s="2" t="s">
        <v>2053</v>
      </c>
      <c r="B737" s="2" t="s">
        <v>2054</v>
      </c>
      <c r="C737" s="2" t="s">
        <v>31</v>
      </c>
      <c r="D737" s="2" t="s">
        <v>32</v>
      </c>
      <c r="E737" s="5">
        <v>-30760</v>
      </c>
      <c r="F737" s="3" t="s">
        <v>349</v>
      </c>
      <c r="G737" s="3" t="s">
        <v>20</v>
      </c>
      <c r="H737" s="2" t="s">
        <v>72</v>
      </c>
      <c r="I737" s="2" t="s">
        <v>2055</v>
      </c>
      <c r="J737" s="3" t="str">
        <f>HYPERLINK("https://www.boe.es/gazeta/dias/1815/10/12/pdfs/GMD-1815-128.pdf#page=4","Abrir facsímil")</f>
        <v>Abrir facsímil</v>
      </c>
      <c r="K737" s="3" t="s">
        <v>74</v>
      </c>
    </row>
    <row r="738" spans="1:11" ht="42" customHeight="1">
      <c r="A738" s="2" t="s">
        <v>2056</v>
      </c>
      <c r="B738" s="2" t="s">
        <v>2056</v>
      </c>
      <c r="C738" s="2" t="s">
        <v>31</v>
      </c>
      <c r="D738" s="2" t="s">
        <v>32</v>
      </c>
      <c r="E738" s="5">
        <v>-30937</v>
      </c>
      <c r="F738" s="3" t="s">
        <v>322</v>
      </c>
      <c r="G738" s="3" t="s">
        <v>20</v>
      </c>
      <c r="H738" s="2" t="s">
        <v>72</v>
      </c>
      <c r="I738" s="2" t="s">
        <v>2057</v>
      </c>
      <c r="J738" s="3" t="str">
        <f>HYPERLINK("https://www.boe.es/gazeta/dias/1815/04/18/pdfs/GMD-1815-47.pdf#page=4","Abrir facsímil")</f>
        <v>Abrir facsímil</v>
      </c>
      <c r="K738" s="3" t="s">
        <v>74</v>
      </c>
    </row>
    <row r="739" spans="1:11" ht="42" customHeight="1">
      <c r="A739" s="2" t="s">
        <v>2058</v>
      </c>
      <c r="B739" s="2" t="s">
        <v>2059</v>
      </c>
      <c r="C739" s="2" t="s">
        <v>31</v>
      </c>
      <c r="D739" s="2" t="s">
        <v>32</v>
      </c>
      <c r="E739" s="5">
        <v>-31028</v>
      </c>
      <c r="F739" s="3" t="s">
        <v>517</v>
      </c>
      <c r="G739" s="3" t="s">
        <v>88</v>
      </c>
      <c r="H739" s="2" t="s">
        <v>72</v>
      </c>
      <c r="I739" s="2" t="s">
        <v>2060</v>
      </c>
      <c r="J739" s="3" t="str">
        <f>HYPERLINK("https://www.boe.es/gazeta/dias/1815/01/17/pdfs/GMD-1815-7.pdf#page=10","Abrir facsímil")</f>
        <v>Abrir facsímil</v>
      </c>
      <c r="K739" s="3" t="s">
        <v>74</v>
      </c>
    </row>
    <row r="740" spans="1:11" ht="42" customHeight="1">
      <c r="A740" s="2" t="s">
        <v>2061</v>
      </c>
      <c r="B740" s="2" t="s">
        <v>2062</v>
      </c>
      <c r="C740" s="2" t="s">
        <v>49</v>
      </c>
      <c r="D740" s="2" t="s">
        <v>50</v>
      </c>
      <c r="E740" s="5">
        <v>-30886</v>
      </c>
      <c r="F740" s="3" t="s">
        <v>140</v>
      </c>
      <c r="G740" s="3" t="s">
        <v>224</v>
      </c>
      <c r="H740" s="2" t="s">
        <v>72</v>
      </c>
      <c r="I740" s="2" t="s">
        <v>2063</v>
      </c>
      <c r="J740" s="3" t="str">
        <f>HYPERLINK("https://www.boe.es/gazeta/dias/1815/06/08/pdfs/GMD-1815-69.pdf#page=9","Abrir facsímil")</f>
        <v>Abrir facsímil</v>
      </c>
      <c r="K740" s="3" t="s">
        <v>74</v>
      </c>
    </row>
    <row r="741" spans="1:11" ht="42" customHeight="1">
      <c r="A741" s="2" t="s">
        <v>2064</v>
      </c>
      <c r="B741" s="2" t="s">
        <v>2065</v>
      </c>
      <c r="C741" s="2" t="s">
        <v>31</v>
      </c>
      <c r="D741" s="2" t="s">
        <v>32</v>
      </c>
      <c r="E741" s="5">
        <v>-30958</v>
      </c>
      <c r="F741" s="3" t="s">
        <v>297</v>
      </c>
      <c r="G741" s="3" t="s">
        <v>57</v>
      </c>
      <c r="H741" s="2" t="s">
        <v>72</v>
      </c>
      <c r="I741" s="2" t="s">
        <v>2066</v>
      </c>
      <c r="J741" s="3" t="str">
        <f>HYPERLINK("https://www.boe.es/gazeta/dias/1815/03/28/pdfs/GMD-1815-37.pdf#page=5","Abrir facsímil")</f>
        <v>Abrir facsímil</v>
      </c>
      <c r="K741" s="3" t="s">
        <v>74</v>
      </c>
    </row>
    <row r="742" spans="1:11" ht="42" customHeight="1">
      <c r="A742" s="2" t="s">
        <v>2067</v>
      </c>
      <c r="B742" s="2" t="s">
        <v>2068</v>
      </c>
      <c r="C742" s="2" t="s">
        <v>195</v>
      </c>
      <c r="D742" s="2" t="s">
        <v>50</v>
      </c>
      <c r="E742" s="5">
        <v>-30923</v>
      </c>
      <c r="F742" s="3" t="s">
        <v>524</v>
      </c>
      <c r="G742" s="3" t="s">
        <v>1289</v>
      </c>
      <c r="H742" s="2" t="s">
        <v>72</v>
      </c>
      <c r="I742" s="2" t="s">
        <v>2069</v>
      </c>
      <c r="J742" s="3" t="str">
        <f>HYPERLINK("https://www.boe.es/gazeta/dias/1815/05/02/pdfs/GMD-1815-53.pdf#page=11","Abrir facsímil")</f>
        <v>Abrir facsímil</v>
      </c>
      <c r="K742" s="3" t="s">
        <v>74</v>
      </c>
    </row>
    <row r="743" spans="1:11" ht="42" customHeight="1">
      <c r="A743" s="2" t="s">
        <v>2070</v>
      </c>
      <c r="B743" s="2" t="s">
        <v>2071</v>
      </c>
      <c r="C743" s="2" t="s">
        <v>195</v>
      </c>
      <c r="D743" s="2" t="s">
        <v>50</v>
      </c>
      <c r="E743" s="5">
        <v>-30888</v>
      </c>
      <c r="F743" s="3" t="s">
        <v>368</v>
      </c>
      <c r="G743" s="3" t="s">
        <v>369</v>
      </c>
      <c r="H743" s="2" t="s">
        <v>72</v>
      </c>
      <c r="I743" s="2" t="s">
        <v>2072</v>
      </c>
      <c r="J743" s="3" t="str">
        <f>HYPERLINK("https://www.boe.es/gazeta/dias/1815/06/06/pdfs/GMD-1815-68.pdf#page=7","Abrir facsímil")</f>
        <v>Abrir facsímil</v>
      </c>
      <c r="K743" s="3" t="s">
        <v>74</v>
      </c>
    </row>
    <row r="744" spans="1:11" ht="42" customHeight="1">
      <c r="A744" s="2" t="s">
        <v>2073</v>
      </c>
      <c r="B744" s="2" t="s">
        <v>2073</v>
      </c>
      <c r="C744" s="2" t="s">
        <v>31</v>
      </c>
      <c r="D744" s="2" t="s">
        <v>32</v>
      </c>
      <c r="E744" s="5">
        <v>-30835</v>
      </c>
      <c r="F744" s="3" t="s">
        <v>544</v>
      </c>
      <c r="G744" s="3" t="s">
        <v>410</v>
      </c>
      <c r="H744" s="2" t="s">
        <v>72</v>
      </c>
      <c r="I744" s="2" t="s">
        <v>2074</v>
      </c>
      <c r="J744" s="3" t="str">
        <f>HYPERLINK("https://www.boe.es/gazeta/dias/1815/07/29/pdfs/GMD-1815-93.pdf#page=1","Abrir facsímil")</f>
        <v>Abrir facsímil</v>
      </c>
      <c r="K744" s="3" t="s">
        <v>74</v>
      </c>
    </row>
    <row r="745" spans="1:11" ht="42" customHeight="1">
      <c r="A745" s="2" t="s">
        <v>2075</v>
      </c>
      <c r="B745" s="2" t="s">
        <v>2076</v>
      </c>
      <c r="C745" s="2" t="s">
        <v>31</v>
      </c>
      <c r="D745" s="2" t="s">
        <v>32</v>
      </c>
      <c r="E745" s="5">
        <v>-30748</v>
      </c>
      <c r="F745" s="3" t="s">
        <v>2077</v>
      </c>
      <c r="G745" s="3" t="s">
        <v>38</v>
      </c>
      <c r="H745" s="2" t="s">
        <v>72</v>
      </c>
      <c r="I745" s="2" t="s">
        <v>2078</v>
      </c>
      <c r="J745" s="3" t="str">
        <f>HYPERLINK("https://www.boe.es/gazeta/dias/1815/10/24/pdfs/GMD-1815-133.pdf#page=8","Abrir facsímil")</f>
        <v>Abrir facsímil</v>
      </c>
      <c r="K745" s="3" t="s">
        <v>74</v>
      </c>
    </row>
    <row r="746" spans="1:11" ht="42" customHeight="1">
      <c r="A746" s="2" t="s">
        <v>2079</v>
      </c>
      <c r="B746" s="2" t="s">
        <v>2079</v>
      </c>
      <c r="C746" s="2" t="s">
        <v>31</v>
      </c>
      <c r="D746" s="2" t="s">
        <v>32</v>
      </c>
      <c r="E746" s="5">
        <v>-30851</v>
      </c>
      <c r="F746" s="3" t="s">
        <v>442</v>
      </c>
      <c r="G746" s="3" t="s">
        <v>20</v>
      </c>
      <c r="H746" s="2" t="s">
        <v>72</v>
      </c>
      <c r="I746" s="2" t="s">
        <v>2080</v>
      </c>
      <c r="J746" s="3" t="str">
        <f>HYPERLINK("https://www.boe.es/gazeta/dias/1815/07/13/pdfs/GMD-1815-86.pdf#page=4","Abrir facsímil")</f>
        <v>Abrir facsímil</v>
      </c>
      <c r="K746" s="3" t="s">
        <v>74</v>
      </c>
    </row>
    <row r="747" spans="1:11" ht="42" customHeight="1">
      <c r="A747" s="2" t="s">
        <v>2081</v>
      </c>
      <c r="B747" s="2" t="s">
        <v>2081</v>
      </c>
      <c r="C747" s="2" t="s">
        <v>17</v>
      </c>
      <c r="D747" s="2" t="s">
        <v>18</v>
      </c>
      <c r="E747" s="5">
        <v>-30821</v>
      </c>
      <c r="F747" s="3" t="s">
        <v>915</v>
      </c>
      <c r="G747" s="3" t="s">
        <v>1304</v>
      </c>
      <c r="H747" s="2" t="s">
        <v>72</v>
      </c>
      <c r="I747" s="2" t="s">
        <v>2082</v>
      </c>
      <c r="J747" s="3" t="str">
        <f>HYPERLINK("https://www.boe.es/gazeta/dias/1815/08/12/pdfs/GMD-1815-99.pdf#page=4","Abrir facsímil")</f>
        <v>Abrir facsímil</v>
      </c>
      <c r="K747" s="3" t="s">
        <v>74</v>
      </c>
    </row>
    <row r="748" spans="1:11" ht="42" customHeight="1">
      <c r="A748" s="2" t="s">
        <v>2083</v>
      </c>
      <c r="B748" s="2" t="s">
        <v>2083</v>
      </c>
      <c r="C748" s="2" t="s">
        <v>31</v>
      </c>
      <c r="D748" s="2" t="s">
        <v>32</v>
      </c>
      <c r="E748" s="5">
        <v>-30914</v>
      </c>
      <c r="F748" s="3" t="s">
        <v>338</v>
      </c>
      <c r="G748" s="3" t="s">
        <v>377</v>
      </c>
      <c r="H748" s="2" t="s">
        <v>72</v>
      </c>
      <c r="I748" s="2" t="s">
        <v>2084</v>
      </c>
      <c r="J748" s="3" t="str">
        <f>HYPERLINK("https://www.boe.es/gazeta/dias/1815/05/11/pdfs/GMD-1815-57.pdf#page=2","Abrir facsímil")</f>
        <v>Abrir facsímil</v>
      </c>
      <c r="K748" s="3" t="s">
        <v>74</v>
      </c>
    </row>
    <row r="749" spans="1:11" ht="42" customHeight="1">
      <c r="A749" s="2" t="s">
        <v>2085</v>
      </c>
      <c r="B749" s="2" t="s">
        <v>2086</v>
      </c>
      <c r="C749" s="2" t="s">
        <v>17</v>
      </c>
      <c r="D749" s="2" t="s">
        <v>18</v>
      </c>
      <c r="E749" s="5">
        <v>-30891</v>
      </c>
      <c r="F749" s="3" t="s">
        <v>498</v>
      </c>
      <c r="G749" s="3" t="s">
        <v>38</v>
      </c>
      <c r="H749" s="2" t="s">
        <v>72</v>
      </c>
      <c r="I749" s="2" t="s">
        <v>2087</v>
      </c>
      <c r="J749" s="3" t="str">
        <f>HYPERLINK("https://www.boe.es/gazeta/dias/1815/06/03/pdfs/GMD-1815-67.pdf#page=8","Abrir facsímil")</f>
        <v>Abrir facsímil</v>
      </c>
      <c r="K749" s="3" t="s">
        <v>74</v>
      </c>
    </row>
    <row r="750" spans="1:11" ht="42" customHeight="1">
      <c r="A750" s="2" t="s">
        <v>2088</v>
      </c>
      <c r="B750" s="2" t="s">
        <v>2088</v>
      </c>
      <c r="C750" s="2" t="s">
        <v>31</v>
      </c>
      <c r="D750" s="2" t="s">
        <v>32</v>
      </c>
      <c r="E750" s="5">
        <v>-30769</v>
      </c>
      <c r="F750" s="3" t="s">
        <v>1641</v>
      </c>
      <c r="G750" s="3" t="s">
        <v>377</v>
      </c>
      <c r="H750" s="2" t="s">
        <v>72</v>
      </c>
      <c r="I750" s="2" t="s">
        <v>2089</v>
      </c>
      <c r="J750" s="3" t="str">
        <f>HYPERLINK("https://www.boe.es/gazeta/dias/1815/10/03/pdfs/GMD-1815-124.pdf#page=2","Abrir facsímil")</f>
        <v>Abrir facsímil</v>
      </c>
      <c r="K750" s="3" t="s">
        <v>74</v>
      </c>
    </row>
    <row r="751" spans="1:11" ht="42" customHeight="1">
      <c r="A751" s="2" t="s">
        <v>2088</v>
      </c>
      <c r="B751" s="2" t="s">
        <v>2088</v>
      </c>
      <c r="C751" s="2" t="s">
        <v>31</v>
      </c>
      <c r="D751" s="2" t="s">
        <v>32</v>
      </c>
      <c r="E751" s="5">
        <v>-30762</v>
      </c>
      <c r="F751" s="3" t="s">
        <v>19</v>
      </c>
      <c r="G751" s="3" t="s">
        <v>2090</v>
      </c>
      <c r="H751" s="2" t="s">
        <v>72</v>
      </c>
      <c r="I751" s="2" t="s">
        <v>2091</v>
      </c>
      <c r="J751" s="3" t="str">
        <f>HYPERLINK("https://www.boe.es/gazeta/dias/1815/10/10/pdfs/GMD-1815-127.pdf#page=2","Abrir facsímil")</f>
        <v>Abrir facsímil</v>
      </c>
      <c r="K751" s="3" t="s">
        <v>74</v>
      </c>
    </row>
    <row r="752" spans="1:11" ht="42" customHeight="1">
      <c r="A752" s="2" t="s">
        <v>2088</v>
      </c>
      <c r="B752" s="2" t="s">
        <v>2088</v>
      </c>
      <c r="C752" s="2" t="s">
        <v>31</v>
      </c>
      <c r="D752" s="2" t="s">
        <v>32</v>
      </c>
      <c r="E752" s="5">
        <v>-30762</v>
      </c>
      <c r="F752" s="3" t="s">
        <v>19</v>
      </c>
      <c r="G752" s="3" t="s">
        <v>97</v>
      </c>
      <c r="H752" s="2" t="s">
        <v>72</v>
      </c>
      <c r="I752" s="2" t="s">
        <v>2092</v>
      </c>
      <c r="J752" s="3" t="str">
        <f>HYPERLINK("https://www.boe.es/gazeta/dias/1815/10/10/pdfs/GMD-1815-127.pdf#page=3","Abrir facsímil")</f>
        <v>Abrir facsímil</v>
      </c>
      <c r="K752" s="3" t="s">
        <v>74</v>
      </c>
    </row>
    <row r="753" spans="1:11" ht="42" customHeight="1">
      <c r="A753" s="2" t="s">
        <v>2088</v>
      </c>
      <c r="B753" s="2" t="s">
        <v>2088</v>
      </c>
      <c r="C753" s="2" t="s">
        <v>31</v>
      </c>
      <c r="D753" s="2" t="s">
        <v>32</v>
      </c>
      <c r="E753" s="5">
        <v>-30681</v>
      </c>
      <c r="F753" s="3" t="s">
        <v>2093</v>
      </c>
      <c r="G753" s="3" t="s">
        <v>20</v>
      </c>
      <c r="H753" s="2" t="s">
        <v>72</v>
      </c>
      <c r="I753" s="2" t="s">
        <v>2094</v>
      </c>
      <c r="J753" s="3" t="str">
        <f>HYPERLINK("https://www.boe.es/gazeta/dias/1815/12/30/pdfs/GMD-1815-162.pdf#page=4","Abrir facsímil")</f>
        <v>Abrir facsímil</v>
      </c>
      <c r="K753" s="3" t="s">
        <v>74</v>
      </c>
    </row>
    <row r="754" spans="1:11" ht="42" customHeight="1">
      <c r="A754" s="2" t="s">
        <v>2095</v>
      </c>
      <c r="B754" s="2" t="s">
        <v>2096</v>
      </c>
      <c r="C754" s="2" t="s">
        <v>49</v>
      </c>
      <c r="D754" s="2" t="s">
        <v>50</v>
      </c>
      <c r="E754" s="5">
        <v>-30886</v>
      </c>
      <c r="F754" s="3" t="s">
        <v>140</v>
      </c>
      <c r="G754" s="3" t="s">
        <v>224</v>
      </c>
      <c r="H754" s="2" t="s">
        <v>72</v>
      </c>
      <c r="I754" s="2" t="s">
        <v>2097</v>
      </c>
      <c r="J754" s="3" t="str">
        <f>HYPERLINK("https://www.boe.es/gazeta/dias/1815/06/08/pdfs/GMD-1815-69.pdf#page=9","Abrir facsímil")</f>
        <v>Abrir facsímil</v>
      </c>
      <c r="K754" s="3" t="s">
        <v>74</v>
      </c>
    </row>
    <row r="755" spans="1:11" ht="42" customHeight="1">
      <c r="A755" s="2" t="s">
        <v>2098</v>
      </c>
      <c r="B755" s="2" t="s">
        <v>2099</v>
      </c>
      <c r="C755" s="2" t="s">
        <v>49</v>
      </c>
      <c r="D755" s="2" t="s">
        <v>50</v>
      </c>
      <c r="E755" s="5">
        <v>-30893</v>
      </c>
      <c r="F755" s="3" t="s">
        <v>132</v>
      </c>
      <c r="G755" s="3" t="s">
        <v>155</v>
      </c>
      <c r="H755" s="2" t="s">
        <v>72</v>
      </c>
      <c r="I755" s="2" t="s">
        <v>2100</v>
      </c>
      <c r="J755" s="3" t="str">
        <f>HYPERLINK("https://www.boe.es/gazeta/dias/1815/06/01/pdfs/GMD-1815-66.pdf#page=6","Abrir facsímil")</f>
        <v>Abrir facsímil</v>
      </c>
      <c r="K755" s="3" t="s">
        <v>74</v>
      </c>
    </row>
    <row r="756" spans="1:11" ht="42" customHeight="1">
      <c r="A756" s="2" t="s">
        <v>2101</v>
      </c>
      <c r="B756" s="2" t="s">
        <v>2101</v>
      </c>
      <c r="C756" s="2" t="s">
        <v>31</v>
      </c>
      <c r="D756" s="2" t="s">
        <v>32</v>
      </c>
      <c r="E756" s="5">
        <v>-30781</v>
      </c>
      <c r="F756" s="3" t="s">
        <v>685</v>
      </c>
      <c r="G756" s="3" t="s">
        <v>410</v>
      </c>
      <c r="H756" s="2" t="s">
        <v>72</v>
      </c>
      <c r="I756" s="2" t="s">
        <v>2102</v>
      </c>
      <c r="J756" s="3" t="str">
        <f>HYPERLINK("https://www.boe.es/gazeta/dias/1815/09/21/pdfs/GMD-1815-117.pdf#page=1","Abrir facsímil")</f>
        <v>Abrir facsímil</v>
      </c>
      <c r="K756" s="3" t="s">
        <v>74</v>
      </c>
    </row>
    <row r="757" spans="1:11" ht="42" customHeight="1">
      <c r="A757" s="2" t="s">
        <v>2103</v>
      </c>
      <c r="B757" s="2" t="s">
        <v>2103</v>
      </c>
      <c r="C757" s="2" t="s">
        <v>81</v>
      </c>
      <c r="D757" s="2" t="s">
        <v>50</v>
      </c>
      <c r="E757" s="5">
        <v>-30900</v>
      </c>
      <c r="F757" s="3" t="s">
        <v>921</v>
      </c>
      <c r="G757" s="3" t="s">
        <v>276</v>
      </c>
      <c r="H757" s="2" t="s">
        <v>72</v>
      </c>
      <c r="I757" s="2" t="s">
        <v>2104</v>
      </c>
      <c r="J757" s="3" t="str">
        <f>HYPERLINK("https://www.boe.es/gazeta/dias/1815/05/25/pdfs/GMD-1815-63.pdf#page=12","Abrir facsímil")</f>
        <v>Abrir facsímil</v>
      </c>
      <c r="K757" s="3" t="s">
        <v>74</v>
      </c>
    </row>
    <row r="758" spans="1:11" ht="42" customHeight="1">
      <c r="A758" s="2" t="s">
        <v>2105</v>
      </c>
      <c r="B758" s="2" t="s">
        <v>2106</v>
      </c>
      <c r="C758" s="2" t="s">
        <v>31</v>
      </c>
      <c r="D758" s="2" t="s">
        <v>32</v>
      </c>
      <c r="E758" s="5">
        <v>-31028</v>
      </c>
      <c r="F758" s="3" t="s">
        <v>517</v>
      </c>
      <c r="G758" s="3" t="s">
        <v>88</v>
      </c>
      <c r="H758" s="2" t="s">
        <v>72</v>
      </c>
      <c r="I758" s="2" t="s">
        <v>2107</v>
      </c>
      <c r="J758" s="3" t="str">
        <f>HYPERLINK("https://www.boe.es/gazeta/dias/1815/01/17/pdfs/GMD-1815-7.pdf#page=10","Abrir facsímil")</f>
        <v>Abrir facsímil</v>
      </c>
      <c r="K758" s="3" t="s">
        <v>74</v>
      </c>
    </row>
    <row r="759" spans="1:11" ht="42" customHeight="1">
      <c r="A759" s="2" t="s">
        <v>2108</v>
      </c>
      <c r="B759" s="2" t="s">
        <v>2109</v>
      </c>
      <c r="C759" s="2" t="s">
        <v>49</v>
      </c>
      <c r="D759" s="2" t="s">
        <v>50</v>
      </c>
      <c r="E759" s="5">
        <v>-30865</v>
      </c>
      <c r="F759" s="3" t="s">
        <v>163</v>
      </c>
      <c r="G759" s="3" t="s">
        <v>71</v>
      </c>
      <c r="H759" s="2" t="s">
        <v>72</v>
      </c>
      <c r="I759" s="2" t="s">
        <v>2110</v>
      </c>
      <c r="J759" s="3" t="str">
        <f>HYPERLINK("https://www.boe.es/gazeta/dias/1815/06/29/pdfs/GMD-1815-78.pdf#page=7","Abrir facsímil")</f>
        <v>Abrir facsímil</v>
      </c>
      <c r="K759" s="3" t="s">
        <v>74</v>
      </c>
    </row>
    <row r="760" spans="1:11" ht="42" customHeight="1">
      <c r="A760" s="2" t="s">
        <v>2111</v>
      </c>
      <c r="B760" s="2" t="s">
        <v>2112</v>
      </c>
      <c r="C760" s="2" t="s">
        <v>49</v>
      </c>
      <c r="D760" s="2" t="s">
        <v>50</v>
      </c>
      <c r="E760" s="5">
        <v>-30893</v>
      </c>
      <c r="F760" s="3" t="s">
        <v>132</v>
      </c>
      <c r="G760" s="3" t="s">
        <v>155</v>
      </c>
      <c r="H760" s="2" t="s">
        <v>72</v>
      </c>
      <c r="I760" s="2" t="s">
        <v>2113</v>
      </c>
      <c r="J760" s="3" t="str">
        <f>HYPERLINK("https://www.boe.es/gazeta/dias/1815/06/01/pdfs/GMD-1815-66.pdf#page=6","Abrir facsímil")</f>
        <v>Abrir facsímil</v>
      </c>
      <c r="K760" s="3" t="s">
        <v>74</v>
      </c>
    </row>
    <row r="761" spans="1:11" ht="42" customHeight="1">
      <c r="A761" s="2" t="s">
        <v>2114</v>
      </c>
      <c r="B761" s="2" t="s">
        <v>2115</v>
      </c>
      <c r="C761" s="2" t="s">
        <v>49</v>
      </c>
      <c r="D761" s="2" t="s">
        <v>50</v>
      </c>
      <c r="E761" s="5">
        <v>-30865</v>
      </c>
      <c r="F761" s="3" t="s">
        <v>163</v>
      </c>
      <c r="G761" s="3" t="s">
        <v>71</v>
      </c>
      <c r="H761" s="2" t="s">
        <v>72</v>
      </c>
      <c r="I761" s="2" t="s">
        <v>2116</v>
      </c>
      <c r="J761" s="3" t="str">
        <f>HYPERLINK("https://www.boe.es/gazeta/dias/1815/06/29/pdfs/GMD-1815-78.pdf#page=7","Abrir facsímil")</f>
        <v>Abrir facsímil</v>
      </c>
      <c r="K761" s="3" t="s">
        <v>74</v>
      </c>
    </row>
    <row r="762" spans="1:11" ht="42" customHeight="1">
      <c r="A762" s="2" t="s">
        <v>2117</v>
      </c>
      <c r="B762" s="2" t="s">
        <v>2118</v>
      </c>
      <c r="C762" s="2" t="s">
        <v>31</v>
      </c>
      <c r="D762" s="2" t="s">
        <v>32</v>
      </c>
      <c r="E762" s="5">
        <v>-31038</v>
      </c>
      <c r="F762" s="3" t="s">
        <v>395</v>
      </c>
      <c r="G762" s="3" t="s">
        <v>27</v>
      </c>
      <c r="H762" s="2" t="s">
        <v>72</v>
      </c>
      <c r="I762" s="2" t="s">
        <v>2119</v>
      </c>
      <c r="J762" s="3" t="str">
        <f>HYPERLINK("https://www.boe.es/gazeta/dias/1815/01/07/pdfs/GMD-1815-3.pdf#page=6","Abrir facsímil")</f>
        <v>Abrir facsímil</v>
      </c>
      <c r="K762" s="3" t="s">
        <v>74</v>
      </c>
    </row>
    <row r="763" spans="1:11" ht="42" customHeight="1">
      <c r="A763" s="2" t="s">
        <v>2120</v>
      </c>
      <c r="B763" s="2" t="s">
        <v>2121</v>
      </c>
      <c r="C763" s="2" t="s">
        <v>897</v>
      </c>
      <c r="D763" s="2" t="s">
        <v>50</v>
      </c>
      <c r="E763" s="5">
        <v>-30802</v>
      </c>
      <c r="F763" s="3" t="s">
        <v>1393</v>
      </c>
      <c r="G763" s="3" t="s">
        <v>410</v>
      </c>
      <c r="H763" s="2" t="s">
        <v>72</v>
      </c>
      <c r="I763" s="2" t="s">
        <v>2122</v>
      </c>
      <c r="J763" s="3" t="str">
        <f>HYPERLINK("https://www.boe.es/gazeta/dias/1815/08/31/pdfs/GMD-1815-107.pdf#page=1","Abrir facsímil")</f>
        <v>Abrir facsímil</v>
      </c>
      <c r="K763" s="3" t="s">
        <v>74</v>
      </c>
    </row>
    <row r="764" spans="1:11" ht="42" customHeight="1">
      <c r="A764" s="2" t="s">
        <v>2123</v>
      </c>
      <c r="B764" s="2" t="s">
        <v>2123</v>
      </c>
      <c r="C764" s="2" t="s">
        <v>31</v>
      </c>
      <c r="D764" s="2" t="s">
        <v>32</v>
      </c>
      <c r="E764" s="5">
        <v>-30895</v>
      </c>
      <c r="F764" s="3" t="s">
        <v>176</v>
      </c>
      <c r="G764" s="3" t="s">
        <v>97</v>
      </c>
      <c r="H764" s="2" t="s">
        <v>72</v>
      </c>
      <c r="I764" s="2" t="s">
        <v>2124</v>
      </c>
      <c r="J764" s="3" t="str">
        <f>HYPERLINK("https://www.boe.es/gazeta/dias/1815/05/30/pdfs/GMD-1815-65.pdf#page=3","Abrir facsímil")</f>
        <v>Abrir facsímil</v>
      </c>
      <c r="K764" s="3" t="s">
        <v>74</v>
      </c>
    </row>
    <row r="765" spans="1:11" ht="42" customHeight="1">
      <c r="A765" s="2" t="s">
        <v>2125</v>
      </c>
      <c r="B765" s="2" t="s">
        <v>2126</v>
      </c>
      <c r="C765" s="2" t="s">
        <v>31</v>
      </c>
      <c r="D765" s="2" t="s">
        <v>32</v>
      </c>
      <c r="E765" s="5">
        <v>-30893</v>
      </c>
      <c r="F765" s="3" t="s">
        <v>132</v>
      </c>
      <c r="G765" s="3" t="s">
        <v>57</v>
      </c>
      <c r="H765" s="2" t="s">
        <v>72</v>
      </c>
      <c r="I765" s="2" t="s">
        <v>2127</v>
      </c>
      <c r="J765" s="3" t="str">
        <f>HYPERLINK("https://www.boe.es/gazeta/dias/1815/06/01/pdfs/GMD-1815-66.pdf#page=5","Abrir facsímil")</f>
        <v>Abrir facsímil</v>
      </c>
      <c r="K765" s="3" t="s">
        <v>74</v>
      </c>
    </row>
    <row r="766" spans="1:11" ht="42" customHeight="1">
      <c r="A766" s="2" t="s">
        <v>2128</v>
      </c>
      <c r="B766" s="2" t="s">
        <v>2129</v>
      </c>
      <c r="C766" s="2" t="s">
        <v>31</v>
      </c>
      <c r="D766" s="2" t="s">
        <v>32</v>
      </c>
      <c r="E766" s="5">
        <v>-30921</v>
      </c>
      <c r="F766" s="3" t="s">
        <v>191</v>
      </c>
      <c r="G766" s="3" t="s">
        <v>27</v>
      </c>
      <c r="H766" s="2" t="s">
        <v>72</v>
      </c>
      <c r="I766" s="2" t="s">
        <v>2130</v>
      </c>
      <c r="J766" s="3" t="str">
        <f>HYPERLINK("https://www.boe.es/gazeta/dias/1815/05/04/pdfs/GMD-1815-54.pdf#page=6","Abrir facsímil")</f>
        <v>Abrir facsímil</v>
      </c>
      <c r="K766" s="3" t="s">
        <v>74</v>
      </c>
    </row>
    <row r="767" spans="1:11" ht="42" customHeight="1">
      <c r="A767" s="2" t="s">
        <v>2131</v>
      </c>
      <c r="B767" s="2" t="s">
        <v>2132</v>
      </c>
      <c r="C767" s="2" t="s">
        <v>61</v>
      </c>
      <c r="D767" s="2" t="s">
        <v>50</v>
      </c>
      <c r="E767" s="5">
        <v>-30704</v>
      </c>
      <c r="F767" s="3" t="s">
        <v>1276</v>
      </c>
      <c r="G767" s="3" t="s">
        <v>38</v>
      </c>
      <c r="H767" s="2" t="s">
        <v>72</v>
      </c>
      <c r="I767" s="2" t="s">
        <v>2133</v>
      </c>
      <c r="J767" s="3" t="str">
        <f>HYPERLINK("https://www.boe.es/gazeta/dias/1815/12/07/pdfs/GMD-1815-152.pdf#page=8","Abrir facsímil")</f>
        <v>Abrir facsímil</v>
      </c>
      <c r="K767" s="3" t="s">
        <v>74</v>
      </c>
    </row>
    <row r="768" spans="1:11" ht="42" customHeight="1">
      <c r="A768" s="2" t="s">
        <v>2134</v>
      </c>
      <c r="B768" s="2" t="s">
        <v>2135</v>
      </c>
      <c r="C768" s="2" t="s">
        <v>49</v>
      </c>
      <c r="D768" s="2" t="s">
        <v>50</v>
      </c>
      <c r="E768" s="5">
        <v>-30863</v>
      </c>
      <c r="F768" s="3" t="s">
        <v>110</v>
      </c>
      <c r="G768" s="3" t="s">
        <v>224</v>
      </c>
      <c r="H768" s="2" t="s">
        <v>72</v>
      </c>
      <c r="I768" s="2" t="s">
        <v>2136</v>
      </c>
      <c r="J768" s="3" t="str">
        <f>HYPERLINK("https://www.boe.es/gazeta/dias/1815/07/01/pdfs/GMD-1815-79.pdf#page=9","Abrir facsímil")</f>
        <v>Abrir facsímil</v>
      </c>
      <c r="K768" s="3" t="s">
        <v>74</v>
      </c>
    </row>
    <row r="769" spans="1:11" ht="42" customHeight="1">
      <c r="A769" s="2" t="s">
        <v>2137</v>
      </c>
      <c r="B769" s="2" t="s">
        <v>2138</v>
      </c>
      <c r="C769" s="2" t="s">
        <v>49</v>
      </c>
      <c r="D769" s="2" t="s">
        <v>50</v>
      </c>
      <c r="E769" s="5">
        <v>-30916</v>
      </c>
      <c r="F769" s="3" t="s">
        <v>147</v>
      </c>
      <c r="G769" s="3" t="s">
        <v>38</v>
      </c>
      <c r="H769" s="2" t="s">
        <v>72</v>
      </c>
      <c r="I769" s="2" t="s">
        <v>2139</v>
      </c>
      <c r="J769" s="3" t="str">
        <f>HYPERLINK("https://www.boe.es/gazeta/dias/1815/05/09/pdfs/GMD-1815-56.pdf#page=8","Abrir facsímil")</f>
        <v>Abrir facsímil</v>
      </c>
      <c r="K769" s="3" t="s">
        <v>74</v>
      </c>
    </row>
    <row r="770" spans="1:11" ht="42" customHeight="1">
      <c r="A770" s="2" t="s">
        <v>2140</v>
      </c>
      <c r="B770" s="2" t="s">
        <v>2141</v>
      </c>
      <c r="C770" s="2" t="s">
        <v>31</v>
      </c>
      <c r="D770" s="2" t="s">
        <v>32</v>
      </c>
      <c r="E770" s="5">
        <v>-30860</v>
      </c>
      <c r="F770" s="3" t="s">
        <v>184</v>
      </c>
      <c r="G770" s="3" t="s">
        <v>20</v>
      </c>
      <c r="H770" s="2" t="s">
        <v>72</v>
      </c>
      <c r="I770" s="2" t="s">
        <v>2142</v>
      </c>
      <c r="J770" s="3" t="str">
        <f>HYPERLINK("https://www.boe.es/gazeta/dias/1815/07/04/pdfs/GMD-1815-81.pdf#page=4","Abrir facsímil")</f>
        <v>Abrir facsímil</v>
      </c>
      <c r="K770" s="3" t="s">
        <v>74</v>
      </c>
    </row>
    <row r="771" spans="1:11" ht="42" customHeight="1">
      <c r="A771" s="2" t="s">
        <v>2143</v>
      </c>
      <c r="B771" s="2" t="s">
        <v>2144</v>
      </c>
      <c r="C771" s="2" t="s">
        <v>49</v>
      </c>
      <c r="D771" s="2" t="s">
        <v>50</v>
      </c>
      <c r="E771" s="5">
        <v>-30893</v>
      </c>
      <c r="F771" s="3" t="s">
        <v>132</v>
      </c>
      <c r="G771" s="3" t="s">
        <v>155</v>
      </c>
      <c r="H771" s="2" t="s">
        <v>72</v>
      </c>
      <c r="I771" s="2" t="s">
        <v>2145</v>
      </c>
      <c r="J771" s="3" t="str">
        <f>HYPERLINK("https://www.boe.es/gazeta/dias/1815/06/01/pdfs/GMD-1815-66.pdf#page=6","Abrir facsímil")</f>
        <v>Abrir facsímil</v>
      </c>
      <c r="K771" s="3" t="s">
        <v>74</v>
      </c>
    </row>
    <row r="772" spans="1:11" ht="42" customHeight="1">
      <c r="A772" s="2" t="s">
        <v>2146</v>
      </c>
      <c r="B772" s="2" t="s">
        <v>2147</v>
      </c>
      <c r="C772" s="2" t="s">
        <v>49</v>
      </c>
      <c r="D772" s="2" t="s">
        <v>50</v>
      </c>
      <c r="E772" s="5">
        <v>-30720</v>
      </c>
      <c r="F772" s="3" t="s">
        <v>373</v>
      </c>
      <c r="G772" s="3" t="s">
        <v>27</v>
      </c>
      <c r="H772" s="2" t="s">
        <v>72</v>
      </c>
      <c r="I772" s="2" t="s">
        <v>2148</v>
      </c>
      <c r="J772" s="3" t="str">
        <f>HYPERLINK("https://www.boe.es/gazeta/dias/1815/11/21/pdfs/GMD-1815-145.pdf#page=6","Abrir facsímil")</f>
        <v>Abrir facsímil</v>
      </c>
      <c r="K772" s="3" t="s">
        <v>74</v>
      </c>
    </row>
    <row r="773" spans="1:11" ht="42" customHeight="1">
      <c r="A773" s="2" t="s">
        <v>2149</v>
      </c>
      <c r="B773" s="2" t="s">
        <v>2149</v>
      </c>
      <c r="C773" s="2" t="s">
        <v>31</v>
      </c>
      <c r="D773" s="2" t="s">
        <v>32</v>
      </c>
      <c r="E773" s="5">
        <v>-30765</v>
      </c>
      <c r="F773" s="3" t="s">
        <v>2150</v>
      </c>
      <c r="G773" s="3" t="s">
        <v>377</v>
      </c>
      <c r="H773" s="2" t="s">
        <v>72</v>
      </c>
      <c r="I773" s="2" t="s">
        <v>2151</v>
      </c>
      <c r="J773" s="3" t="str">
        <f>HYPERLINK("https://www.boe.es/gazeta/dias/1815/10/07/pdfs/GMD-1815-126.pdf#page=2","Abrir facsímil")</f>
        <v>Abrir facsímil</v>
      </c>
      <c r="K773" s="3" t="s">
        <v>74</v>
      </c>
    </row>
    <row r="774" spans="1:11" ht="42" customHeight="1">
      <c r="A774" s="2" t="s">
        <v>2149</v>
      </c>
      <c r="B774" s="2" t="s">
        <v>2149</v>
      </c>
      <c r="C774" s="2" t="s">
        <v>31</v>
      </c>
      <c r="D774" s="2" t="s">
        <v>32</v>
      </c>
      <c r="E774" s="5">
        <v>-30723</v>
      </c>
      <c r="F774" s="3" t="s">
        <v>77</v>
      </c>
      <c r="G774" s="3" t="s">
        <v>57</v>
      </c>
      <c r="H774" s="2" t="s">
        <v>72</v>
      </c>
      <c r="I774" s="2" t="s">
        <v>2152</v>
      </c>
      <c r="J774" s="3" t="str">
        <f>HYPERLINK("https://www.boe.es/gazeta/dias/1815/11/18/pdfs/GMD-1815-144.pdf#page=5","Abrir facsímil")</f>
        <v>Abrir facsímil</v>
      </c>
      <c r="K774" s="3" t="s">
        <v>74</v>
      </c>
    </row>
    <row r="775" spans="1:11" ht="42" customHeight="1">
      <c r="A775" s="2" t="s">
        <v>2153</v>
      </c>
      <c r="B775" s="2" t="s">
        <v>2154</v>
      </c>
      <c r="C775" s="2" t="s">
        <v>897</v>
      </c>
      <c r="D775" s="2" t="s">
        <v>50</v>
      </c>
      <c r="E775" s="5">
        <v>-31019</v>
      </c>
      <c r="F775" s="3" t="s">
        <v>1094</v>
      </c>
      <c r="G775" s="3" t="s">
        <v>276</v>
      </c>
      <c r="H775" s="2" t="s">
        <v>72</v>
      </c>
      <c r="I775" s="2" t="s">
        <v>2155</v>
      </c>
      <c r="J775" s="3" t="str">
        <f>HYPERLINK("https://www.boe.es/gazeta/dias/1815/01/26/pdfs/GMD-1815-11.pdf#page=12","Abrir facsímil")</f>
        <v>Abrir facsímil</v>
      </c>
      <c r="K775" s="3" t="s">
        <v>74</v>
      </c>
    </row>
    <row r="776" spans="1:11" ht="42" customHeight="1">
      <c r="A776" s="2" t="s">
        <v>2156</v>
      </c>
      <c r="B776" s="2" t="s">
        <v>2156</v>
      </c>
      <c r="C776" s="2" t="s">
        <v>17</v>
      </c>
      <c r="D776" s="2" t="s">
        <v>18</v>
      </c>
      <c r="E776" s="5">
        <v>-30935</v>
      </c>
      <c r="F776" s="3" t="s">
        <v>519</v>
      </c>
      <c r="G776" s="3" t="s">
        <v>57</v>
      </c>
      <c r="H776" s="2" t="s">
        <v>72</v>
      </c>
      <c r="I776" s="2" t="s">
        <v>2157</v>
      </c>
      <c r="J776" s="3" t="str">
        <f>HYPERLINK("https://www.boe.es/gazeta/dias/1815/04/20/pdfs/GMD-1815-48.pdf#page=5","Abrir facsímil")</f>
        <v>Abrir facsímil</v>
      </c>
      <c r="K776" s="3" t="s">
        <v>74</v>
      </c>
    </row>
    <row r="777" spans="1:11" ht="42" customHeight="1">
      <c r="A777" s="2" t="s">
        <v>2158</v>
      </c>
      <c r="B777" s="2" t="s">
        <v>2159</v>
      </c>
      <c r="C777" s="2" t="s">
        <v>31</v>
      </c>
      <c r="D777" s="2" t="s">
        <v>32</v>
      </c>
      <c r="E777" s="5">
        <v>-31040</v>
      </c>
      <c r="F777" s="3" t="s">
        <v>326</v>
      </c>
      <c r="G777" s="3" t="s">
        <v>27</v>
      </c>
      <c r="H777" s="2" t="s">
        <v>72</v>
      </c>
      <c r="I777" s="2" t="s">
        <v>2160</v>
      </c>
      <c r="J777" s="3" t="str">
        <f>HYPERLINK("https://www.boe.es/gazeta/dias/1815/01/05/pdfs/GMD-1815-2.pdf#page=6","Abrir facsímil")</f>
        <v>Abrir facsímil</v>
      </c>
      <c r="K777" s="3" t="s">
        <v>74</v>
      </c>
    </row>
    <row r="778" spans="1:11" ht="42" customHeight="1">
      <c r="A778" s="2" t="s">
        <v>2161</v>
      </c>
      <c r="B778" s="2" t="s">
        <v>2162</v>
      </c>
      <c r="C778" s="2" t="s">
        <v>61</v>
      </c>
      <c r="D778" s="2" t="s">
        <v>50</v>
      </c>
      <c r="E778" s="5">
        <v>-30823</v>
      </c>
      <c r="F778" s="3" t="s">
        <v>305</v>
      </c>
      <c r="G778" s="3" t="s">
        <v>276</v>
      </c>
      <c r="H778" s="2" t="s">
        <v>72</v>
      </c>
      <c r="I778" s="2" t="s">
        <v>2163</v>
      </c>
      <c r="J778" s="3" t="str">
        <f>HYPERLINK("https://www.boe.es/gazeta/dias/1815/08/10/pdfs/GMD-1815-98.pdf#page=12","Abrir facsímil")</f>
        <v>Abrir facsímil</v>
      </c>
      <c r="K778" s="3" t="s">
        <v>74</v>
      </c>
    </row>
    <row r="779" spans="1:11" ht="42" customHeight="1">
      <c r="A779" s="2" t="s">
        <v>2164</v>
      </c>
      <c r="B779" s="2" t="s">
        <v>2165</v>
      </c>
      <c r="C779" s="2" t="s">
        <v>195</v>
      </c>
      <c r="D779" s="2" t="s">
        <v>50</v>
      </c>
      <c r="E779" s="5">
        <v>-30874</v>
      </c>
      <c r="F779" s="3" t="s">
        <v>208</v>
      </c>
      <c r="G779" s="3" t="s">
        <v>71</v>
      </c>
      <c r="H779" s="2" t="s">
        <v>72</v>
      </c>
      <c r="I779" s="2" t="s">
        <v>2166</v>
      </c>
      <c r="J779" s="3" t="str">
        <f>HYPERLINK("https://www.boe.es/gazeta/dias/1815/06/20/pdfs/GMD-1815-74.pdf#page=7","Abrir facsímil")</f>
        <v>Abrir facsímil</v>
      </c>
      <c r="K779" s="3" t="s">
        <v>74</v>
      </c>
    </row>
    <row r="780" spans="1:11" ht="42" customHeight="1">
      <c r="A780" s="2" t="s">
        <v>2167</v>
      </c>
      <c r="B780" s="2" t="s">
        <v>2167</v>
      </c>
      <c r="C780" s="2" t="s">
        <v>31</v>
      </c>
      <c r="D780" s="2" t="s">
        <v>32</v>
      </c>
      <c r="E780" s="5">
        <v>-30935</v>
      </c>
      <c r="F780" s="3" t="s">
        <v>519</v>
      </c>
      <c r="G780" s="3" t="s">
        <v>97</v>
      </c>
      <c r="H780" s="2" t="s">
        <v>72</v>
      </c>
      <c r="I780" s="2" t="s">
        <v>2168</v>
      </c>
      <c r="J780" s="3" t="str">
        <f>HYPERLINK("https://www.boe.es/gazeta/dias/1815/04/20/pdfs/GMD-1815-48.pdf#page=3","Abrir facsímil")</f>
        <v>Abrir facsímil</v>
      </c>
      <c r="K780" s="3" t="s">
        <v>74</v>
      </c>
    </row>
    <row r="781" spans="1:11" ht="42" customHeight="1">
      <c r="A781" s="2" t="s">
        <v>2169</v>
      </c>
      <c r="B781" s="2" t="s">
        <v>2170</v>
      </c>
      <c r="C781" s="2" t="s">
        <v>31</v>
      </c>
      <c r="D781" s="2" t="s">
        <v>32</v>
      </c>
      <c r="E781" s="5">
        <v>-31007</v>
      </c>
      <c r="F781" s="3" t="s">
        <v>200</v>
      </c>
      <c r="G781" s="3" t="s">
        <v>276</v>
      </c>
      <c r="H781" s="2" t="s">
        <v>72</v>
      </c>
      <c r="I781" s="2" t="s">
        <v>2171</v>
      </c>
      <c r="J781" s="3" t="str">
        <f>HYPERLINK("https://www.boe.es/gazeta/dias/1815/02/07/pdfs/GMD-1815-16.pdf#page=12","Abrir facsímil")</f>
        <v>Abrir facsímil</v>
      </c>
      <c r="K781" s="3" t="s">
        <v>74</v>
      </c>
    </row>
    <row r="782" spans="1:11" ht="42" customHeight="1">
      <c r="A782" s="2" t="s">
        <v>2172</v>
      </c>
      <c r="B782" s="2" t="s">
        <v>2173</v>
      </c>
      <c r="C782" s="2" t="s">
        <v>49</v>
      </c>
      <c r="D782" s="2" t="s">
        <v>50</v>
      </c>
      <c r="E782" s="5">
        <v>-30893</v>
      </c>
      <c r="F782" s="3" t="s">
        <v>132</v>
      </c>
      <c r="G782" s="3" t="s">
        <v>155</v>
      </c>
      <c r="H782" s="2" t="s">
        <v>72</v>
      </c>
      <c r="I782" s="2" t="s">
        <v>2174</v>
      </c>
      <c r="J782" s="3" t="str">
        <f>HYPERLINK("https://www.boe.es/gazeta/dias/1815/06/01/pdfs/GMD-1815-66.pdf#page=6","Abrir facsímil")</f>
        <v>Abrir facsímil</v>
      </c>
      <c r="K782" s="3" t="s">
        <v>74</v>
      </c>
    </row>
    <row r="783" spans="1:11" ht="42" customHeight="1">
      <c r="A783" s="2" t="s">
        <v>2175</v>
      </c>
      <c r="B783" s="2" t="s">
        <v>2176</v>
      </c>
      <c r="C783" s="2" t="s">
        <v>49</v>
      </c>
      <c r="D783" s="2" t="s">
        <v>50</v>
      </c>
      <c r="E783" s="5">
        <v>-30865</v>
      </c>
      <c r="F783" s="3" t="s">
        <v>163</v>
      </c>
      <c r="G783" s="3" t="s">
        <v>71</v>
      </c>
      <c r="H783" s="2" t="s">
        <v>72</v>
      </c>
      <c r="I783" s="2" t="s">
        <v>2177</v>
      </c>
      <c r="J783" s="3" t="str">
        <f>HYPERLINK("https://www.boe.es/gazeta/dias/1815/06/29/pdfs/GMD-1815-78.pdf#page=7","Abrir facsímil")</f>
        <v>Abrir facsímil</v>
      </c>
      <c r="K783" s="3" t="s">
        <v>74</v>
      </c>
    </row>
    <row r="784" spans="1:11" ht="42" customHeight="1">
      <c r="A784" s="2" t="s">
        <v>2178</v>
      </c>
      <c r="B784" s="2" t="s">
        <v>2179</v>
      </c>
      <c r="C784" s="2" t="s">
        <v>31</v>
      </c>
      <c r="D784" s="2" t="s">
        <v>32</v>
      </c>
      <c r="E784" s="5">
        <v>-30923</v>
      </c>
      <c r="F784" s="3" t="s">
        <v>524</v>
      </c>
      <c r="G784" s="3" t="s">
        <v>1289</v>
      </c>
      <c r="H784" s="2" t="s">
        <v>72</v>
      </c>
      <c r="I784" s="2" t="s">
        <v>2180</v>
      </c>
      <c r="J784" s="3" t="str">
        <f>HYPERLINK("https://www.boe.es/gazeta/dias/1815/05/02/pdfs/GMD-1815-53.pdf#page=11","Abrir facsímil")</f>
        <v>Abrir facsímil</v>
      </c>
      <c r="K784" s="3" t="s">
        <v>74</v>
      </c>
    </row>
    <row r="785" spans="1:11" ht="42" customHeight="1">
      <c r="A785" s="2" t="s">
        <v>2181</v>
      </c>
      <c r="B785" s="2" t="s">
        <v>2182</v>
      </c>
      <c r="C785" s="2" t="s">
        <v>17</v>
      </c>
      <c r="D785" s="2" t="s">
        <v>18</v>
      </c>
      <c r="E785" s="5">
        <v>-30688</v>
      </c>
      <c r="F785" s="3" t="s">
        <v>62</v>
      </c>
      <c r="G785" s="3" t="s">
        <v>38</v>
      </c>
      <c r="H785" s="2" t="s">
        <v>72</v>
      </c>
      <c r="I785" s="2" t="s">
        <v>2183</v>
      </c>
      <c r="J785" s="3" t="str">
        <f>HYPERLINK("https://www.boe.es/gazeta/dias/1815/12/23/pdfs/GMD-1815-159.pdf#page=8","Abrir facsímil")</f>
        <v>Abrir facsímil</v>
      </c>
      <c r="K785" s="3" t="s">
        <v>74</v>
      </c>
    </row>
    <row r="786" spans="1:11" ht="42" customHeight="1">
      <c r="A786" s="2" t="s">
        <v>2184</v>
      </c>
      <c r="B786" s="2" t="s">
        <v>2185</v>
      </c>
      <c r="C786" s="2" t="s">
        <v>17</v>
      </c>
      <c r="D786" s="2" t="s">
        <v>18</v>
      </c>
      <c r="E786" s="5">
        <v>-30767</v>
      </c>
      <c r="F786" s="3" t="s">
        <v>228</v>
      </c>
      <c r="G786" s="3" t="s">
        <v>88</v>
      </c>
      <c r="H786" s="2" t="s">
        <v>72</v>
      </c>
      <c r="I786" s="2" t="s">
        <v>2186</v>
      </c>
      <c r="J786" s="3" t="str">
        <f>HYPERLINK("https://www.boe.es/gazeta/dias/1815/10/05/pdfs/GMD-1815-125.pdf#page=10","Abrir facsímil")</f>
        <v>Abrir facsímil</v>
      </c>
      <c r="K786" s="3" t="s">
        <v>74</v>
      </c>
    </row>
    <row r="787" spans="1:11" ht="42" customHeight="1">
      <c r="A787" s="2" t="s">
        <v>2187</v>
      </c>
      <c r="B787" s="2" t="s">
        <v>2188</v>
      </c>
      <c r="C787" s="2" t="s">
        <v>31</v>
      </c>
      <c r="D787" s="2" t="s">
        <v>32</v>
      </c>
      <c r="E787" s="5">
        <v>-30774</v>
      </c>
      <c r="F787" s="3" t="s">
        <v>1143</v>
      </c>
      <c r="G787" s="3" t="s">
        <v>71</v>
      </c>
      <c r="H787" s="2" t="s">
        <v>72</v>
      </c>
      <c r="I787" s="2" t="s">
        <v>2189</v>
      </c>
      <c r="J787" s="3" t="str">
        <f>HYPERLINK("https://www.boe.es/gazeta/dias/1815/09/28/pdfs/GMD-1815-121.pdf#page=7","Abrir facsímil")</f>
        <v>Abrir facsímil</v>
      </c>
      <c r="K787" s="3" t="s">
        <v>74</v>
      </c>
    </row>
    <row r="788" spans="1:11" ht="42" customHeight="1">
      <c r="A788" s="2" t="s">
        <v>2190</v>
      </c>
      <c r="B788" s="2" t="s">
        <v>2190</v>
      </c>
      <c r="C788" s="2" t="s">
        <v>31</v>
      </c>
      <c r="D788" s="2" t="s">
        <v>32</v>
      </c>
      <c r="E788" s="5">
        <v>-30811</v>
      </c>
      <c r="F788" s="3" t="s">
        <v>293</v>
      </c>
      <c r="G788" s="3" t="s">
        <v>97</v>
      </c>
      <c r="H788" s="2" t="s">
        <v>72</v>
      </c>
      <c r="I788" s="2" t="s">
        <v>2191</v>
      </c>
      <c r="J788" s="3" t="str">
        <f>HYPERLINK("https://www.boe.es/gazeta/dias/1815/08/22/pdfs/GMD-1815-103.pdf#page=3","Abrir facsímil")</f>
        <v>Abrir facsímil</v>
      </c>
      <c r="K788" s="3" t="s">
        <v>74</v>
      </c>
    </row>
    <row r="789" spans="1:11" ht="42" customHeight="1">
      <c r="A789" s="2" t="s">
        <v>2192</v>
      </c>
      <c r="B789" s="2" t="s">
        <v>2192</v>
      </c>
      <c r="C789" s="2" t="s">
        <v>31</v>
      </c>
      <c r="D789" s="2" t="s">
        <v>32</v>
      </c>
      <c r="E789" s="5">
        <v>-30823</v>
      </c>
      <c r="F789" s="3" t="s">
        <v>305</v>
      </c>
      <c r="G789" s="3" t="s">
        <v>306</v>
      </c>
      <c r="H789" s="2" t="s">
        <v>72</v>
      </c>
      <c r="I789" s="2" t="s">
        <v>2193</v>
      </c>
      <c r="J789" s="3" t="str">
        <f>HYPERLINK("https://www.boe.es/gazeta/dias/1815/08/10/pdfs/GMD-1815-98.pdf#page=7","Abrir facsímil")</f>
        <v>Abrir facsímil</v>
      </c>
      <c r="K789" s="3" t="s">
        <v>74</v>
      </c>
    </row>
    <row r="790" spans="1:11" ht="42" customHeight="1">
      <c r="A790" s="2" t="s">
        <v>2194</v>
      </c>
      <c r="B790" s="2" t="s">
        <v>2195</v>
      </c>
      <c r="C790" s="2" t="s">
        <v>897</v>
      </c>
      <c r="D790" s="2" t="s">
        <v>50</v>
      </c>
      <c r="E790" s="5">
        <v>-30863</v>
      </c>
      <c r="F790" s="3" t="s">
        <v>110</v>
      </c>
      <c r="G790" s="3" t="s">
        <v>71</v>
      </c>
      <c r="H790" s="2" t="s">
        <v>72</v>
      </c>
      <c r="I790" s="2" t="s">
        <v>2196</v>
      </c>
      <c r="J790" s="3" t="str">
        <f>HYPERLINK("https://www.boe.es/gazeta/dias/1815/07/01/pdfs/GMD-1815-79.pdf#page=7","Abrir facsímil")</f>
        <v>Abrir facsímil</v>
      </c>
      <c r="K790" s="3" t="s">
        <v>74</v>
      </c>
    </row>
    <row r="791" spans="1:11" ht="42" customHeight="1">
      <c r="A791" s="2" t="s">
        <v>2197</v>
      </c>
      <c r="B791" s="2" t="s">
        <v>2198</v>
      </c>
      <c r="C791" s="2" t="s">
        <v>195</v>
      </c>
      <c r="D791" s="2" t="s">
        <v>50</v>
      </c>
      <c r="E791" s="5">
        <v>-30825</v>
      </c>
      <c r="F791" s="3" t="s">
        <v>669</v>
      </c>
      <c r="G791" s="3" t="s">
        <v>276</v>
      </c>
      <c r="H791" s="2" t="s">
        <v>21</v>
      </c>
      <c r="I791" s="2" t="s">
        <v>2199</v>
      </c>
      <c r="J791" s="3" t="str">
        <f>HYPERLINK("https://www.boe.es/gazeta/dias/1815/08/08/pdfs/GMD-1815-97.pdf#page=12","Abrir facsímil")</f>
        <v>Abrir facsímil</v>
      </c>
      <c r="K791" s="3" t="s">
        <v>23</v>
      </c>
    </row>
    <row r="792" spans="1:11" ht="42" customHeight="1">
      <c r="A792" s="2" t="s">
        <v>2200</v>
      </c>
      <c r="B792" s="2" t="s">
        <v>2201</v>
      </c>
      <c r="C792" s="2" t="s">
        <v>31</v>
      </c>
      <c r="D792" s="2" t="s">
        <v>32</v>
      </c>
      <c r="E792" s="5">
        <v>-31038</v>
      </c>
      <c r="F792" s="3" t="s">
        <v>395</v>
      </c>
      <c r="G792" s="3" t="s">
        <v>38</v>
      </c>
      <c r="H792" s="2" t="s">
        <v>72</v>
      </c>
      <c r="I792" s="2" t="s">
        <v>2202</v>
      </c>
      <c r="J792" s="3" t="str">
        <f>HYPERLINK("https://www.boe.es/gazeta/dias/1815/01/07/pdfs/GMD-1815-3.pdf#page=8","Abrir facsímil")</f>
        <v>Abrir facsímil</v>
      </c>
      <c r="K792" s="3" t="s">
        <v>74</v>
      </c>
    </row>
    <row r="793" spans="1:11" ht="42" customHeight="1">
      <c r="A793" s="2" t="s">
        <v>2203</v>
      </c>
      <c r="B793" s="2" t="s">
        <v>2203</v>
      </c>
      <c r="C793" s="2" t="s">
        <v>31</v>
      </c>
      <c r="D793" s="2" t="s">
        <v>32</v>
      </c>
      <c r="E793" s="5">
        <v>-30839</v>
      </c>
      <c r="F793" s="3" t="s">
        <v>616</v>
      </c>
      <c r="G793" s="3" t="s">
        <v>20</v>
      </c>
      <c r="H793" s="2" t="s">
        <v>72</v>
      </c>
      <c r="I793" s="2" t="s">
        <v>2204</v>
      </c>
      <c r="J793" s="3" t="str">
        <f>HYPERLINK("https://www.boe.es/gazeta/dias/1815/07/25/pdfs/GMD-1815-91.pdf#page=4","Abrir facsímil")</f>
        <v>Abrir facsímil</v>
      </c>
      <c r="K793" s="3" t="s">
        <v>74</v>
      </c>
    </row>
    <row r="794" spans="1:11" ht="42" customHeight="1">
      <c r="A794" s="2" t="s">
        <v>2205</v>
      </c>
      <c r="B794" s="2" t="s">
        <v>2205</v>
      </c>
      <c r="C794" s="2" t="s">
        <v>31</v>
      </c>
      <c r="D794" s="2" t="s">
        <v>32</v>
      </c>
      <c r="E794" s="5">
        <v>-30811</v>
      </c>
      <c r="F794" s="3" t="s">
        <v>293</v>
      </c>
      <c r="G794" s="3" t="s">
        <v>97</v>
      </c>
      <c r="H794" s="2" t="s">
        <v>72</v>
      </c>
      <c r="I794" s="2" t="s">
        <v>2206</v>
      </c>
      <c r="J794" s="3" t="str">
        <f>HYPERLINK("https://www.boe.es/gazeta/dias/1815/08/22/pdfs/GMD-1815-103.pdf#page=3","Abrir facsímil")</f>
        <v>Abrir facsímil</v>
      </c>
      <c r="K794" s="3" t="s">
        <v>74</v>
      </c>
    </row>
    <row r="795" spans="1:11" ht="42" customHeight="1">
      <c r="A795" s="2" t="s">
        <v>2207</v>
      </c>
      <c r="B795" s="2" t="s">
        <v>2208</v>
      </c>
      <c r="C795" s="2" t="s">
        <v>49</v>
      </c>
      <c r="D795" s="2" t="s">
        <v>50</v>
      </c>
      <c r="E795" s="5">
        <v>-30860</v>
      </c>
      <c r="F795" s="3" t="s">
        <v>184</v>
      </c>
      <c r="G795" s="3" t="s">
        <v>472</v>
      </c>
      <c r="H795" s="2" t="s">
        <v>72</v>
      </c>
      <c r="I795" s="2" t="s">
        <v>2209</v>
      </c>
      <c r="J795" s="3" t="str">
        <f>HYPERLINK("https://www.boe.es/gazeta/dias/1815/07/04/pdfs/GMD-1815-81.pdf#page=8","Abrir facsímil")</f>
        <v>Abrir facsímil</v>
      </c>
      <c r="K795" s="3" t="s">
        <v>74</v>
      </c>
    </row>
    <row r="796" spans="1:11" ht="42" customHeight="1">
      <c r="A796" s="2" t="s">
        <v>2210</v>
      </c>
      <c r="B796" s="2" t="s">
        <v>2211</v>
      </c>
      <c r="C796" s="2" t="s">
        <v>49</v>
      </c>
      <c r="D796" s="2" t="s">
        <v>50</v>
      </c>
      <c r="E796" s="5">
        <v>-30744</v>
      </c>
      <c r="F796" s="3" t="s">
        <v>391</v>
      </c>
      <c r="G796" s="3" t="s">
        <v>71</v>
      </c>
      <c r="H796" s="2" t="s">
        <v>21</v>
      </c>
      <c r="I796" s="2" t="s">
        <v>2212</v>
      </c>
      <c r="J796" s="3" t="str">
        <f>HYPERLINK("https://www.boe.es/gazeta/dias/1815/10/28/pdfs/GMD-1815-135.pdf#page=7","Abrir facsímil")</f>
        <v>Abrir facsímil</v>
      </c>
      <c r="K796" s="3" t="s">
        <v>23</v>
      </c>
    </row>
    <row r="797" spans="1:11" ht="42" customHeight="1">
      <c r="A797" s="2" t="s">
        <v>2213</v>
      </c>
      <c r="B797" s="2" t="s">
        <v>2214</v>
      </c>
      <c r="C797" s="2" t="s">
        <v>195</v>
      </c>
      <c r="D797" s="2" t="s">
        <v>50</v>
      </c>
      <c r="E797" s="5">
        <v>-30888</v>
      </c>
      <c r="F797" s="3" t="s">
        <v>368</v>
      </c>
      <c r="G797" s="3" t="s">
        <v>369</v>
      </c>
      <c r="H797" s="2" t="s">
        <v>72</v>
      </c>
      <c r="I797" s="2" t="s">
        <v>2215</v>
      </c>
      <c r="J797" s="3" t="str">
        <f>HYPERLINK("https://www.boe.es/gazeta/dias/1815/06/06/pdfs/GMD-1815-68.pdf#page=7","Abrir facsímil")</f>
        <v>Abrir facsímil</v>
      </c>
      <c r="K797" s="3" t="s">
        <v>74</v>
      </c>
    </row>
    <row r="798" spans="1:11" ht="42" customHeight="1">
      <c r="A798" s="2" t="s">
        <v>2216</v>
      </c>
      <c r="B798" s="2" t="s">
        <v>2217</v>
      </c>
      <c r="C798" s="2" t="s">
        <v>17</v>
      </c>
      <c r="D798" s="2" t="s">
        <v>18</v>
      </c>
      <c r="E798" s="5">
        <v>-30979</v>
      </c>
      <c r="F798" s="3" t="s">
        <v>56</v>
      </c>
      <c r="G798" s="3" t="s">
        <v>27</v>
      </c>
      <c r="H798" s="2" t="s">
        <v>72</v>
      </c>
      <c r="I798" s="2" t="s">
        <v>2218</v>
      </c>
      <c r="J798" s="3" t="str">
        <f>HYPERLINK("https://www.boe.es/gazeta/dias/1815/03/07/pdfs/GMD-1815-28.pdf#page=6","Abrir facsímil")</f>
        <v>Abrir facsímil</v>
      </c>
      <c r="K798" s="3" t="s">
        <v>74</v>
      </c>
    </row>
    <row r="799" spans="1:11" ht="42" customHeight="1">
      <c r="A799" s="2" t="s">
        <v>2219</v>
      </c>
      <c r="B799" s="2" t="s">
        <v>2220</v>
      </c>
      <c r="C799" s="2" t="s">
        <v>49</v>
      </c>
      <c r="D799" s="2" t="s">
        <v>50</v>
      </c>
      <c r="E799" s="5">
        <v>-30865</v>
      </c>
      <c r="F799" s="3" t="s">
        <v>163</v>
      </c>
      <c r="G799" s="3" t="s">
        <v>38</v>
      </c>
      <c r="H799" s="2" t="s">
        <v>72</v>
      </c>
      <c r="I799" s="2" t="s">
        <v>2221</v>
      </c>
      <c r="J799" s="3" t="str">
        <f>HYPERLINK("https://www.boe.es/gazeta/dias/1815/06/29/pdfs/GMD-1815-78.pdf#page=8","Abrir facsímil")</f>
        <v>Abrir facsímil</v>
      </c>
      <c r="K799" s="3" t="s">
        <v>74</v>
      </c>
    </row>
    <row r="800" spans="1:11" ht="42" customHeight="1">
      <c r="A800" s="2" t="s">
        <v>2222</v>
      </c>
      <c r="B800" s="2" t="s">
        <v>2223</v>
      </c>
      <c r="C800" s="2" t="s">
        <v>31</v>
      </c>
      <c r="D800" s="2" t="s">
        <v>32</v>
      </c>
      <c r="E800" s="5">
        <v>-30825</v>
      </c>
      <c r="F800" s="3" t="s">
        <v>669</v>
      </c>
      <c r="G800" s="3" t="s">
        <v>224</v>
      </c>
      <c r="H800" s="2" t="s">
        <v>72</v>
      </c>
      <c r="I800" s="2" t="s">
        <v>2224</v>
      </c>
      <c r="J800" s="3" t="str">
        <f>HYPERLINK("https://www.boe.es/gazeta/dias/1815/08/08/pdfs/GMD-1815-97.pdf#page=9","Abrir facsímil")</f>
        <v>Abrir facsímil</v>
      </c>
      <c r="K800" s="3" t="s">
        <v>74</v>
      </c>
    </row>
    <row r="801" spans="1:11" ht="42" customHeight="1">
      <c r="A801" s="2" t="s">
        <v>2225</v>
      </c>
      <c r="B801" s="2" t="s">
        <v>2226</v>
      </c>
      <c r="C801" s="2" t="s">
        <v>49</v>
      </c>
      <c r="D801" s="2" t="s">
        <v>50</v>
      </c>
      <c r="E801" s="5">
        <v>-30942</v>
      </c>
      <c r="F801" s="3" t="s">
        <v>730</v>
      </c>
      <c r="G801" s="3" t="s">
        <v>862</v>
      </c>
      <c r="H801" s="2" t="s">
        <v>72</v>
      </c>
      <c r="I801" s="2" t="s">
        <v>2227</v>
      </c>
      <c r="J801" s="3" t="str">
        <f>HYPERLINK("https://www.boe.es/gazeta/dias/1815/04/13/pdfs/GMD-1815-45.pdf#page=6","Abrir facsímil")</f>
        <v>Abrir facsímil</v>
      </c>
      <c r="K801" s="3" t="s">
        <v>74</v>
      </c>
    </row>
    <row r="802" spans="1:11" ht="42" customHeight="1">
      <c r="A802" s="2" t="s">
        <v>2228</v>
      </c>
      <c r="B802" s="2" t="s">
        <v>2229</v>
      </c>
      <c r="C802" s="2" t="s">
        <v>49</v>
      </c>
      <c r="D802" s="2" t="s">
        <v>50</v>
      </c>
      <c r="E802" s="5">
        <v>-30704</v>
      </c>
      <c r="F802" s="3" t="s">
        <v>1276</v>
      </c>
      <c r="G802" s="3" t="s">
        <v>38</v>
      </c>
      <c r="H802" s="2" t="s">
        <v>72</v>
      </c>
      <c r="I802" s="2" t="s">
        <v>2230</v>
      </c>
      <c r="J802" s="3" t="str">
        <f>HYPERLINK("https://www.boe.es/gazeta/dias/1815/12/07/pdfs/GMD-1815-152.pdf#page=8","Abrir facsímil")</f>
        <v>Abrir facsímil</v>
      </c>
      <c r="K802" s="3" t="s">
        <v>74</v>
      </c>
    </row>
    <row r="803" spans="1:11" ht="42" customHeight="1">
      <c r="A803" s="2" t="s">
        <v>2231</v>
      </c>
      <c r="B803" s="2" t="s">
        <v>2232</v>
      </c>
      <c r="C803" s="2" t="s">
        <v>49</v>
      </c>
      <c r="D803" s="2" t="s">
        <v>50</v>
      </c>
      <c r="E803" s="5">
        <v>-30767</v>
      </c>
      <c r="F803" s="3" t="s">
        <v>228</v>
      </c>
      <c r="G803" s="3" t="s">
        <v>88</v>
      </c>
      <c r="H803" s="2" t="s">
        <v>72</v>
      </c>
      <c r="I803" s="2" t="s">
        <v>2233</v>
      </c>
      <c r="J803" s="3" t="str">
        <f>HYPERLINK("https://www.boe.es/gazeta/dias/1815/10/05/pdfs/GMD-1815-125.pdf#page=10","Abrir facsímil")</f>
        <v>Abrir facsímil</v>
      </c>
      <c r="K803" s="3" t="s">
        <v>74</v>
      </c>
    </row>
    <row r="804" spans="1:11" ht="42" customHeight="1">
      <c r="A804" s="2" t="s">
        <v>2234</v>
      </c>
      <c r="B804" s="2" t="s">
        <v>2234</v>
      </c>
      <c r="C804" s="2" t="s">
        <v>31</v>
      </c>
      <c r="D804" s="2" t="s">
        <v>32</v>
      </c>
      <c r="E804" s="5">
        <v>-30816</v>
      </c>
      <c r="F804" s="3" t="s">
        <v>1253</v>
      </c>
      <c r="G804" s="3" t="s">
        <v>71</v>
      </c>
      <c r="H804" s="2" t="s">
        <v>72</v>
      </c>
      <c r="I804" s="2" t="s">
        <v>2235</v>
      </c>
      <c r="J804" s="3" t="str">
        <f>HYPERLINK("https://www.boe.es/gazeta/dias/1815/08/17/pdfs/GMD-1815-101.pdf#page=7","Abrir facsímil")</f>
        <v>Abrir facsímil</v>
      </c>
      <c r="K804" s="3" t="s">
        <v>74</v>
      </c>
    </row>
    <row r="805" spans="1:11" ht="42" customHeight="1">
      <c r="A805" s="2" t="s">
        <v>2234</v>
      </c>
      <c r="B805" s="2" t="s">
        <v>2234</v>
      </c>
      <c r="C805" s="2" t="s">
        <v>31</v>
      </c>
      <c r="D805" s="2" t="s">
        <v>32</v>
      </c>
      <c r="E805" s="5">
        <v>-30800</v>
      </c>
      <c r="F805" s="3" t="s">
        <v>26</v>
      </c>
      <c r="G805" s="3" t="s">
        <v>97</v>
      </c>
      <c r="H805" s="2" t="s">
        <v>72</v>
      </c>
      <c r="I805" s="2" t="s">
        <v>2236</v>
      </c>
      <c r="J805" s="3" t="str">
        <f>HYPERLINK("https://www.boe.es/gazeta/dias/1815/09/02/pdfs/GMD-1815-109.pdf#page=3","Abrir facsímil")</f>
        <v>Abrir facsímil</v>
      </c>
      <c r="K805" s="3" t="s">
        <v>74</v>
      </c>
    </row>
    <row r="806" spans="1:11" ht="42" customHeight="1">
      <c r="A806" s="2" t="s">
        <v>2237</v>
      </c>
      <c r="B806" s="2" t="s">
        <v>2238</v>
      </c>
      <c r="C806" s="2" t="s">
        <v>897</v>
      </c>
      <c r="D806" s="2" t="s">
        <v>50</v>
      </c>
      <c r="E806" s="5">
        <v>-31003</v>
      </c>
      <c r="F806" s="3" t="s">
        <v>405</v>
      </c>
      <c r="G806" s="3" t="s">
        <v>410</v>
      </c>
      <c r="H806" s="2" t="s">
        <v>72</v>
      </c>
      <c r="I806" s="2" t="s">
        <v>2239</v>
      </c>
      <c r="J806" s="3" t="str">
        <f>HYPERLINK("https://www.boe.es/gazeta/dias/1815/02/11/pdfs/GMD-1815-18.pdf#page=1","Abrir facsímil")</f>
        <v>Abrir facsímil</v>
      </c>
      <c r="K806" s="3" t="s">
        <v>74</v>
      </c>
    </row>
    <row r="807" spans="1:11" ht="42" customHeight="1">
      <c r="A807" s="2" t="s">
        <v>2240</v>
      </c>
      <c r="B807" s="2" t="s">
        <v>2241</v>
      </c>
      <c r="C807" s="2" t="s">
        <v>31</v>
      </c>
      <c r="D807" s="2" t="s">
        <v>32</v>
      </c>
      <c r="E807" s="5">
        <v>-30811</v>
      </c>
      <c r="F807" s="3" t="s">
        <v>293</v>
      </c>
      <c r="G807" s="3" t="s">
        <v>57</v>
      </c>
      <c r="H807" s="2" t="s">
        <v>72</v>
      </c>
      <c r="I807" s="2" t="s">
        <v>2242</v>
      </c>
      <c r="J807" s="3" t="str">
        <f>HYPERLINK("https://www.boe.es/gazeta/dias/1815/08/22/pdfs/GMD-1815-103.pdf#page=5","Abrir facsímil")</f>
        <v>Abrir facsímil</v>
      </c>
      <c r="K807" s="3" t="s">
        <v>74</v>
      </c>
    </row>
    <row r="808" spans="1:11" ht="42" customHeight="1">
      <c r="A808" s="2" t="s">
        <v>2243</v>
      </c>
      <c r="B808" s="2" t="s">
        <v>2243</v>
      </c>
      <c r="C808" s="2" t="s">
        <v>31</v>
      </c>
      <c r="D808" s="2" t="s">
        <v>32</v>
      </c>
      <c r="E808" s="5">
        <v>-30783</v>
      </c>
      <c r="F808" s="3" t="s">
        <v>423</v>
      </c>
      <c r="G808" s="3" t="s">
        <v>410</v>
      </c>
      <c r="H808" s="2" t="s">
        <v>72</v>
      </c>
      <c r="I808" s="2" t="s">
        <v>2244</v>
      </c>
      <c r="J808" s="3" t="str">
        <f>HYPERLINK("https://www.boe.es/gazeta/dias/1815/09/19/pdfs/GMD-1815-116.pdf#page=1","Abrir facsímil")</f>
        <v>Abrir facsímil</v>
      </c>
      <c r="K808" s="3" t="s">
        <v>74</v>
      </c>
    </row>
    <row r="809" spans="1:11" ht="42" customHeight="1">
      <c r="A809" s="2" t="s">
        <v>2245</v>
      </c>
      <c r="B809" s="2" t="s">
        <v>2246</v>
      </c>
      <c r="C809" s="2" t="s">
        <v>49</v>
      </c>
      <c r="D809" s="2" t="s">
        <v>50</v>
      </c>
      <c r="E809" s="5">
        <v>-30818</v>
      </c>
      <c r="F809" s="3" t="s">
        <v>334</v>
      </c>
      <c r="G809" s="3" t="s">
        <v>52</v>
      </c>
      <c r="H809" s="2" t="s">
        <v>72</v>
      </c>
      <c r="I809" s="2" t="s">
        <v>2247</v>
      </c>
      <c r="J809" s="3" t="str">
        <f>HYPERLINK("https://www.boe.es/gazeta/dias/1815/08/15/pdfs/GMD-1815-100.pdf#page=11","Abrir facsímil")</f>
        <v>Abrir facsímil</v>
      </c>
      <c r="K809" s="3" t="s">
        <v>74</v>
      </c>
    </row>
    <row r="810" spans="1:11" ht="42" customHeight="1">
      <c r="A810" s="2" t="s">
        <v>2248</v>
      </c>
      <c r="B810" s="2" t="s">
        <v>2248</v>
      </c>
      <c r="C810" s="2" t="s">
        <v>31</v>
      </c>
      <c r="D810" s="2" t="s">
        <v>32</v>
      </c>
      <c r="E810" s="5">
        <v>-30797</v>
      </c>
      <c r="F810" s="3" t="s">
        <v>248</v>
      </c>
      <c r="G810" s="3" t="s">
        <v>377</v>
      </c>
      <c r="H810" s="2" t="s">
        <v>72</v>
      </c>
      <c r="I810" s="2" t="s">
        <v>2249</v>
      </c>
      <c r="J810" s="3" t="str">
        <f>HYPERLINK("https://www.boe.es/gazeta/dias/1815/09/05/pdfs/GMD-1815-110.pdf#page=2","Abrir facsímil")</f>
        <v>Abrir facsímil</v>
      </c>
      <c r="K810" s="3" t="s">
        <v>74</v>
      </c>
    </row>
    <row r="811" spans="1:11" ht="42" customHeight="1">
      <c r="A811" s="2" t="s">
        <v>2250</v>
      </c>
      <c r="B811" s="2" t="s">
        <v>2251</v>
      </c>
      <c r="C811" s="2" t="s">
        <v>49</v>
      </c>
      <c r="D811" s="2" t="s">
        <v>50</v>
      </c>
      <c r="E811" s="5">
        <v>-30886</v>
      </c>
      <c r="F811" s="3" t="s">
        <v>140</v>
      </c>
      <c r="G811" s="3" t="s">
        <v>38</v>
      </c>
      <c r="H811" s="2" t="s">
        <v>72</v>
      </c>
      <c r="I811" s="2" t="s">
        <v>2252</v>
      </c>
      <c r="J811" s="3" t="str">
        <f>HYPERLINK("https://www.boe.es/gazeta/dias/1815/06/08/pdfs/GMD-1815-69.pdf#page=8","Abrir facsímil")</f>
        <v>Abrir facsímil</v>
      </c>
      <c r="K811" s="3" t="s">
        <v>74</v>
      </c>
    </row>
    <row r="812" spans="1:11" ht="42" customHeight="1">
      <c r="A812" s="2" t="s">
        <v>2253</v>
      </c>
      <c r="B812" s="2" t="s">
        <v>2253</v>
      </c>
      <c r="C812" s="2" t="s">
        <v>31</v>
      </c>
      <c r="D812" s="2" t="s">
        <v>32</v>
      </c>
      <c r="E812" s="5">
        <v>-30933</v>
      </c>
      <c r="F812" s="3" t="s">
        <v>725</v>
      </c>
      <c r="G812" s="3" t="s">
        <v>377</v>
      </c>
      <c r="H812" s="2" t="s">
        <v>72</v>
      </c>
      <c r="I812" s="2" t="s">
        <v>2254</v>
      </c>
      <c r="J812" s="3" t="str">
        <f>HYPERLINK("https://www.boe.es/gazeta/dias/1815/04/22/pdfs/GMD-1815-49.pdf#page=2","Abrir facsímil")</f>
        <v>Abrir facsímil</v>
      </c>
      <c r="K812" s="3" t="s">
        <v>74</v>
      </c>
    </row>
    <row r="813" spans="1:11" ht="42" customHeight="1">
      <c r="A813" s="2" t="s">
        <v>2253</v>
      </c>
      <c r="B813" s="2" t="s">
        <v>2253</v>
      </c>
      <c r="C813" s="2" t="s">
        <v>31</v>
      </c>
      <c r="D813" s="2" t="s">
        <v>32</v>
      </c>
      <c r="E813" s="5">
        <v>-30930</v>
      </c>
      <c r="F813" s="3" t="s">
        <v>51</v>
      </c>
      <c r="G813" s="3" t="s">
        <v>377</v>
      </c>
      <c r="H813" s="2" t="s">
        <v>72</v>
      </c>
      <c r="I813" s="2" t="s">
        <v>2255</v>
      </c>
      <c r="J813" s="3" t="str">
        <f>HYPERLINK("https://www.boe.es/gazeta/dias/1815/04/25/pdfs/GMD-1815-50.pdf#page=2","Abrir facsímil")</f>
        <v>Abrir facsímil</v>
      </c>
      <c r="K813" s="3" t="s">
        <v>74</v>
      </c>
    </row>
    <row r="814" spans="1:11" ht="42" customHeight="1">
      <c r="A814" s="2" t="s">
        <v>2253</v>
      </c>
      <c r="B814" s="2" t="s">
        <v>2253</v>
      </c>
      <c r="C814" s="2" t="s">
        <v>31</v>
      </c>
      <c r="D814" s="2" t="s">
        <v>32</v>
      </c>
      <c r="E814" s="5">
        <v>-30837</v>
      </c>
      <c r="F814" s="3" t="s">
        <v>2256</v>
      </c>
      <c r="G814" s="3" t="s">
        <v>377</v>
      </c>
      <c r="H814" s="2" t="s">
        <v>72</v>
      </c>
      <c r="I814" s="2" t="s">
        <v>2257</v>
      </c>
      <c r="J814" s="3" t="str">
        <f>HYPERLINK("https://www.boe.es/gazeta/dias/1815/07/27/pdfs/GMD-1815-92.pdf#page=2","Abrir facsímil")</f>
        <v>Abrir facsímil</v>
      </c>
      <c r="K814" s="3" t="s">
        <v>74</v>
      </c>
    </row>
    <row r="815" spans="1:11" ht="42" customHeight="1">
      <c r="A815" s="2" t="s">
        <v>2253</v>
      </c>
      <c r="B815" s="2" t="s">
        <v>2253</v>
      </c>
      <c r="C815" s="2" t="s">
        <v>31</v>
      </c>
      <c r="D815" s="2" t="s">
        <v>32</v>
      </c>
      <c r="E815" s="5">
        <v>-30832</v>
      </c>
      <c r="F815" s="3" t="s">
        <v>266</v>
      </c>
      <c r="G815" s="3" t="s">
        <v>57</v>
      </c>
      <c r="H815" s="2" t="s">
        <v>72</v>
      </c>
      <c r="I815" s="2" t="s">
        <v>2258</v>
      </c>
      <c r="J815" s="3" t="str">
        <f>HYPERLINK("https://www.boe.es/gazeta/dias/1815/08/01/pdfs/GMD-1815-94.pdf#page=5","Abrir facsímil")</f>
        <v>Abrir facsímil</v>
      </c>
      <c r="K815" s="3" t="s">
        <v>74</v>
      </c>
    </row>
    <row r="816" spans="1:11" ht="42" customHeight="1">
      <c r="A816" s="2" t="s">
        <v>2253</v>
      </c>
      <c r="B816" s="2" t="s">
        <v>2253</v>
      </c>
      <c r="C816" s="2" t="s">
        <v>31</v>
      </c>
      <c r="D816" s="2" t="s">
        <v>32</v>
      </c>
      <c r="E816" s="5">
        <v>-30832</v>
      </c>
      <c r="F816" s="3" t="s">
        <v>266</v>
      </c>
      <c r="G816" s="3" t="s">
        <v>27</v>
      </c>
      <c r="H816" s="2" t="s">
        <v>72</v>
      </c>
      <c r="I816" s="2" t="s">
        <v>2259</v>
      </c>
      <c r="J816" s="3" t="str">
        <f>HYPERLINK("https://www.boe.es/gazeta/dias/1815/08/01/pdfs/GMD-1815-94.pdf#page=6","Abrir facsímil")</f>
        <v>Abrir facsímil</v>
      </c>
      <c r="K816" s="3" t="s">
        <v>74</v>
      </c>
    </row>
    <row r="817" spans="1:11" ht="42" customHeight="1">
      <c r="A817" s="2" t="s">
        <v>2253</v>
      </c>
      <c r="B817" s="2" t="s">
        <v>2253</v>
      </c>
      <c r="C817" s="2" t="s">
        <v>31</v>
      </c>
      <c r="D817" s="2" t="s">
        <v>32</v>
      </c>
      <c r="E817" s="5">
        <v>-30823</v>
      </c>
      <c r="F817" s="3" t="s">
        <v>305</v>
      </c>
      <c r="G817" s="3" t="s">
        <v>57</v>
      </c>
      <c r="H817" s="2" t="s">
        <v>72</v>
      </c>
      <c r="I817" s="2" t="s">
        <v>2260</v>
      </c>
      <c r="J817" s="3" t="str">
        <f>HYPERLINK("https://www.boe.es/gazeta/dias/1815/08/10/pdfs/GMD-1815-98.pdf#page=5","Abrir facsímil")</f>
        <v>Abrir facsímil</v>
      </c>
      <c r="K817" s="3" t="s">
        <v>74</v>
      </c>
    </row>
    <row r="818" spans="1:11" ht="42" customHeight="1">
      <c r="A818" s="2" t="s">
        <v>2261</v>
      </c>
      <c r="B818" s="2" t="s">
        <v>2262</v>
      </c>
      <c r="C818" s="2" t="s">
        <v>31</v>
      </c>
      <c r="D818" s="2" t="s">
        <v>32</v>
      </c>
      <c r="E818" s="5">
        <v>-30846</v>
      </c>
      <c r="F818" s="3" t="s">
        <v>858</v>
      </c>
      <c r="G818" s="3" t="s">
        <v>410</v>
      </c>
      <c r="H818" s="2" t="s">
        <v>72</v>
      </c>
      <c r="I818" s="2" t="s">
        <v>2263</v>
      </c>
      <c r="J818" s="3" t="str">
        <f>HYPERLINK("https://www.boe.es/gazeta/dias/1815/07/18/pdfs/GMD-1815-88.pdf#page=1","Abrir facsímil")</f>
        <v>Abrir facsímil</v>
      </c>
      <c r="K818" s="3" t="s">
        <v>74</v>
      </c>
    </row>
    <row r="819" spans="1:11" ht="42" customHeight="1">
      <c r="A819" s="2" t="s">
        <v>2264</v>
      </c>
      <c r="B819" s="2" t="s">
        <v>2265</v>
      </c>
      <c r="C819" s="2" t="s">
        <v>49</v>
      </c>
      <c r="D819" s="2" t="s">
        <v>50</v>
      </c>
      <c r="E819" s="5">
        <v>-30886</v>
      </c>
      <c r="F819" s="3" t="s">
        <v>140</v>
      </c>
      <c r="G819" s="3" t="s">
        <v>38</v>
      </c>
      <c r="H819" s="2" t="s">
        <v>72</v>
      </c>
      <c r="I819" s="2" t="s">
        <v>2266</v>
      </c>
      <c r="J819" s="3" t="str">
        <f>HYPERLINK("https://www.boe.es/gazeta/dias/1815/06/08/pdfs/GMD-1815-69.pdf#page=8","Abrir facsímil")</f>
        <v>Abrir facsímil</v>
      </c>
      <c r="K819" s="3" t="s">
        <v>74</v>
      </c>
    </row>
    <row r="820" spans="1:11" ht="42" customHeight="1">
      <c r="A820" s="2" t="s">
        <v>2267</v>
      </c>
      <c r="B820" s="2" t="s">
        <v>2268</v>
      </c>
      <c r="C820" s="2" t="s">
        <v>49</v>
      </c>
      <c r="D820" s="2" t="s">
        <v>50</v>
      </c>
      <c r="E820" s="5">
        <v>-30863</v>
      </c>
      <c r="F820" s="3" t="s">
        <v>110</v>
      </c>
      <c r="G820" s="3" t="s">
        <v>224</v>
      </c>
      <c r="H820" s="2" t="s">
        <v>72</v>
      </c>
      <c r="I820" s="2" t="s">
        <v>2269</v>
      </c>
      <c r="J820" s="3" t="str">
        <f>HYPERLINK("https://www.boe.es/gazeta/dias/1815/07/01/pdfs/GMD-1815-79.pdf#page=9","Abrir facsímil")</f>
        <v>Abrir facsímil</v>
      </c>
      <c r="K820" s="3" t="s">
        <v>74</v>
      </c>
    </row>
    <row r="821" spans="1:11" ht="42" customHeight="1">
      <c r="A821" s="2" t="s">
        <v>2270</v>
      </c>
      <c r="B821" s="2" t="s">
        <v>2271</v>
      </c>
      <c r="C821" s="2" t="s">
        <v>49</v>
      </c>
      <c r="D821" s="2" t="s">
        <v>50</v>
      </c>
      <c r="E821" s="5">
        <v>-30900</v>
      </c>
      <c r="F821" s="3" t="s">
        <v>921</v>
      </c>
      <c r="G821" s="3" t="s">
        <v>52</v>
      </c>
      <c r="H821" s="2" t="s">
        <v>72</v>
      </c>
      <c r="I821" s="2" t="s">
        <v>2272</v>
      </c>
      <c r="J821" s="3" t="str">
        <f>HYPERLINK("https://www.boe.es/gazeta/dias/1815/05/25/pdfs/GMD-1815-63.pdf#page=11","Abrir facsímil")</f>
        <v>Abrir facsímil</v>
      </c>
      <c r="K821" s="3" t="s">
        <v>74</v>
      </c>
    </row>
    <row r="822" spans="1:11" ht="42" customHeight="1">
      <c r="A822" s="2" t="s">
        <v>2273</v>
      </c>
      <c r="B822" s="2" t="s">
        <v>2274</v>
      </c>
      <c r="C822" s="2" t="s">
        <v>195</v>
      </c>
      <c r="D822" s="2" t="s">
        <v>50</v>
      </c>
      <c r="E822" s="5">
        <v>-30872</v>
      </c>
      <c r="F822" s="3" t="s">
        <v>167</v>
      </c>
      <c r="G822" s="3" t="s">
        <v>224</v>
      </c>
      <c r="H822" s="2" t="s">
        <v>72</v>
      </c>
      <c r="I822" s="2" t="s">
        <v>2275</v>
      </c>
      <c r="J822" s="3" t="str">
        <f>HYPERLINK("https://www.boe.es/gazeta/dias/1815/06/22/pdfs/GMD-1815-75.pdf#page=9","Abrir facsímil")</f>
        <v>Abrir facsímil</v>
      </c>
      <c r="K822" s="3" t="s">
        <v>74</v>
      </c>
    </row>
    <row r="823" spans="1:11" ht="42" customHeight="1">
      <c r="A823" s="2" t="s">
        <v>2276</v>
      </c>
      <c r="B823" s="2" t="s">
        <v>2276</v>
      </c>
      <c r="C823" s="2" t="s">
        <v>31</v>
      </c>
      <c r="D823" s="2" t="s">
        <v>32</v>
      </c>
      <c r="E823" s="5">
        <v>-30716</v>
      </c>
      <c r="F823" s="3" t="s">
        <v>589</v>
      </c>
      <c r="G823" s="3" t="s">
        <v>377</v>
      </c>
      <c r="H823" s="2" t="s">
        <v>72</v>
      </c>
      <c r="I823" s="2" t="s">
        <v>2277</v>
      </c>
      <c r="J823" s="3" t="str">
        <f>HYPERLINK("https://www.boe.es/gazeta/dias/1815/11/25/pdfs/GMD-1815-147.pdf#page=2","Abrir facsímil")</f>
        <v>Abrir facsímil</v>
      </c>
      <c r="K823" s="3" t="s">
        <v>74</v>
      </c>
    </row>
    <row r="824" spans="1:11" ht="42" customHeight="1">
      <c r="A824" s="2" t="s">
        <v>2278</v>
      </c>
      <c r="B824" s="2" t="s">
        <v>2279</v>
      </c>
      <c r="C824" s="2" t="s">
        <v>195</v>
      </c>
      <c r="D824" s="2" t="s">
        <v>50</v>
      </c>
      <c r="E824" s="5">
        <v>-30802</v>
      </c>
      <c r="F824" s="3" t="s">
        <v>1393</v>
      </c>
      <c r="G824" s="3" t="s">
        <v>38</v>
      </c>
      <c r="H824" s="2" t="s">
        <v>72</v>
      </c>
      <c r="I824" s="2" t="s">
        <v>2280</v>
      </c>
      <c r="J824" s="3" t="str">
        <f>HYPERLINK("https://www.boe.es/gazeta/dias/1815/08/31/pdfs/GMD-1815-107.pdf#page=8","Abrir facsímil")</f>
        <v>Abrir facsímil</v>
      </c>
      <c r="K824" s="3" t="s">
        <v>74</v>
      </c>
    </row>
    <row r="825" spans="1:11" ht="42" customHeight="1">
      <c r="A825" s="2" t="s">
        <v>2281</v>
      </c>
      <c r="B825" s="2" t="s">
        <v>2281</v>
      </c>
      <c r="C825" s="2" t="s">
        <v>17</v>
      </c>
      <c r="D825" s="2" t="s">
        <v>18</v>
      </c>
      <c r="E825" s="5">
        <v>-30949</v>
      </c>
      <c r="F825" s="3" t="s">
        <v>420</v>
      </c>
      <c r="G825" s="3" t="s">
        <v>20</v>
      </c>
      <c r="H825" s="2" t="s">
        <v>72</v>
      </c>
      <c r="I825" s="2" t="s">
        <v>2282</v>
      </c>
      <c r="J825" s="3" t="str">
        <f>HYPERLINK("https://www.boe.es/gazeta/dias/1815/04/06/pdfs/GMD-1815-42.pdf#page=4","Abrir facsímil")</f>
        <v>Abrir facsímil</v>
      </c>
      <c r="K825" s="3" t="s">
        <v>74</v>
      </c>
    </row>
    <row r="826" spans="1:11" ht="42" customHeight="1">
      <c r="A826" s="2" t="s">
        <v>2283</v>
      </c>
      <c r="B826" s="2" t="s">
        <v>2283</v>
      </c>
      <c r="C826" s="2" t="s">
        <v>31</v>
      </c>
      <c r="D826" s="2" t="s">
        <v>32</v>
      </c>
      <c r="E826" s="5">
        <v>-30891</v>
      </c>
      <c r="F826" s="3" t="s">
        <v>498</v>
      </c>
      <c r="G826" s="3" t="s">
        <v>377</v>
      </c>
      <c r="H826" s="2" t="s">
        <v>72</v>
      </c>
      <c r="I826" s="2" t="s">
        <v>2284</v>
      </c>
      <c r="J826" s="3" t="str">
        <f>HYPERLINK("https://www.boe.es/gazeta/dias/1815/06/03/pdfs/GMD-1815-67.pdf#page=2","Abrir facsímil")</f>
        <v>Abrir facsímil</v>
      </c>
      <c r="K826" s="3" t="s">
        <v>74</v>
      </c>
    </row>
    <row r="827" spans="1:11" ht="42" customHeight="1">
      <c r="A827" s="2" t="s">
        <v>2285</v>
      </c>
      <c r="B827" s="2" t="s">
        <v>2285</v>
      </c>
      <c r="C827" s="2" t="s">
        <v>31</v>
      </c>
      <c r="D827" s="2" t="s">
        <v>32</v>
      </c>
      <c r="E827" s="5">
        <v>-30830</v>
      </c>
      <c r="F827" s="3" t="s">
        <v>33</v>
      </c>
      <c r="G827" s="3" t="s">
        <v>377</v>
      </c>
      <c r="H827" s="2" t="s">
        <v>72</v>
      </c>
      <c r="I827" s="2" t="s">
        <v>2286</v>
      </c>
      <c r="J827" s="3" t="str">
        <f>HYPERLINK("https://www.boe.es/gazeta/dias/1815/08/03/pdfs/GMD-1815-95.pdf#page=2","Abrir facsímil")</f>
        <v>Abrir facsímil</v>
      </c>
      <c r="K827" s="3" t="s">
        <v>74</v>
      </c>
    </row>
    <row r="828" spans="1:11" ht="42" customHeight="1">
      <c r="A828" s="2" t="s">
        <v>2287</v>
      </c>
      <c r="B828" s="2" t="s">
        <v>2287</v>
      </c>
      <c r="C828" s="2" t="s">
        <v>31</v>
      </c>
      <c r="D828" s="2" t="s">
        <v>179</v>
      </c>
      <c r="E828" s="5">
        <v>-30860</v>
      </c>
      <c r="F828" s="3" t="s">
        <v>180</v>
      </c>
      <c r="G828" s="3" t="s">
        <v>377</v>
      </c>
      <c r="H828" s="2" t="s">
        <v>72</v>
      </c>
      <c r="I828" s="2" t="s">
        <v>2288</v>
      </c>
      <c r="J828" s="3" t="str">
        <f>HYPERLINK("https://www.boe.es/gazeta/dias/1815/07/04/pdfs/GMD-1815-82E.pdf#page=2","Abrir facsímil")</f>
        <v>Abrir facsímil</v>
      </c>
      <c r="K828" s="3" t="s">
        <v>74</v>
      </c>
    </row>
    <row r="829" spans="1:11" ht="42" customHeight="1">
      <c r="A829" s="2" t="s">
        <v>2287</v>
      </c>
      <c r="B829" s="2" t="s">
        <v>2287</v>
      </c>
      <c r="C829" s="2" t="s">
        <v>31</v>
      </c>
      <c r="D829" s="2" t="s">
        <v>179</v>
      </c>
      <c r="E829" s="5">
        <v>-30860</v>
      </c>
      <c r="F829" s="3" t="s">
        <v>180</v>
      </c>
      <c r="G829" s="3" t="s">
        <v>97</v>
      </c>
      <c r="H829" s="2" t="s">
        <v>72</v>
      </c>
      <c r="I829" s="2" t="s">
        <v>2289</v>
      </c>
      <c r="J829" s="3" t="str">
        <f>HYPERLINK("https://www.boe.es/gazeta/dias/1815/07/04/pdfs/GMD-1815-82E.pdf#page=3","Abrir facsímil")</f>
        <v>Abrir facsímil</v>
      </c>
      <c r="K829" s="3" t="s">
        <v>74</v>
      </c>
    </row>
    <row r="830" spans="1:11" ht="42" customHeight="1">
      <c r="A830" s="2" t="s">
        <v>2287</v>
      </c>
      <c r="B830" s="2" t="s">
        <v>2287</v>
      </c>
      <c r="C830" s="2" t="s">
        <v>31</v>
      </c>
      <c r="D830" s="2" t="s">
        <v>32</v>
      </c>
      <c r="E830" s="5">
        <v>-30849</v>
      </c>
      <c r="F830" s="3" t="s">
        <v>501</v>
      </c>
      <c r="G830" s="3" t="s">
        <v>20</v>
      </c>
      <c r="H830" s="2" t="s">
        <v>72</v>
      </c>
      <c r="I830" s="2" t="s">
        <v>2290</v>
      </c>
      <c r="J830" s="3" t="str">
        <f>HYPERLINK("https://www.boe.es/gazeta/dias/1815/07/15/pdfs/GMD-1815-87.pdf#page=4","Abrir facsímil")</f>
        <v>Abrir facsímil</v>
      </c>
      <c r="K830" s="3" t="s">
        <v>74</v>
      </c>
    </row>
    <row r="831" spans="1:11" ht="42" customHeight="1">
      <c r="A831" s="2" t="s">
        <v>2287</v>
      </c>
      <c r="B831" s="2" t="s">
        <v>2287</v>
      </c>
      <c r="C831" s="2" t="s">
        <v>31</v>
      </c>
      <c r="D831" s="2" t="s">
        <v>32</v>
      </c>
      <c r="E831" s="5">
        <v>-30832</v>
      </c>
      <c r="F831" s="3" t="s">
        <v>266</v>
      </c>
      <c r="G831" s="3" t="s">
        <v>97</v>
      </c>
      <c r="H831" s="2" t="s">
        <v>72</v>
      </c>
      <c r="I831" s="2" t="s">
        <v>2291</v>
      </c>
      <c r="J831" s="3" t="str">
        <f>HYPERLINK("https://www.boe.es/gazeta/dias/1815/08/01/pdfs/GMD-1815-94.pdf#page=3","Abrir facsímil")</f>
        <v>Abrir facsímil</v>
      </c>
      <c r="K831" s="3" t="s">
        <v>74</v>
      </c>
    </row>
    <row r="832" spans="1:11" ht="42" customHeight="1">
      <c r="A832" s="2" t="s">
        <v>2292</v>
      </c>
      <c r="B832" s="2" t="s">
        <v>2292</v>
      </c>
      <c r="C832" s="2" t="s">
        <v>31</v>
      </c>
      <c r="D832" s="2" t="s">
        <v>32</v>
      </c>
      <c r="E832" s="5">
        <v>-30858</v>
      </c>
      <c r="F832" s="3" t="s">
        <v>1928</v>
      </c>
      <c r="G832" s="3" t="s">
        <v>377</v>
      </c>
      <c r="H832" s="2" t="s">
        <v>72</v>
      </c>
      <c r="I832" s="2" t="s">
        <v>2293</v>
      </c>
      <c r="J832" s="3" t="str">
        <f>HYPERLINK("https://www.boe.es/gazeta/dias/1815/07/06/pdfs/GMD-1815-83.pdf#page=2","Abrir facsímil")</f>
        <v>Abrir facsímil</v>
      </c>
      <c r="K832" s="3" t="s">
        <v>74</v>
      </c>
    </row>
    <row r="833" spans="1:11" ht="42" customHeight="1">
      <c r="A833" s="2" t="s">
        <v>2294</v>
      </c>
      <c r="B833" s="2" t="s">
        <v>2295</v>
      </c>
      <c r="C833" s="2" t="s">
        <v>31</v>
      </c>
      <c r="D833" s="2" t="s">
        <v>32</v>
      </c>
      <c r="E833" s="5">
        <v>-30711</v>
      </c>
      <c r="F833" s="3" t="s">
        <v>438</v>
      </c>
      <c r="G833" s="3" t="s">
        <v>27</v>
      </c>
      <c r="H833" s="2" t="s">
        <v>72</v>
      </c>
      <c r="I833" s="2" t="s">
        <v>2296</v>
      </c>
      <c r="J833" s="3" t="str">
        <f>HYPERLINK("https://www.boe.es/gazeta/dias/1815/11/30/pdfs/GMD-1815-149.pdf#page=6","Abrir facsímil")</f>
        <v>Abrir facsímil</v>
      </c>
      <c r="K833" s="3" t="s">
        <v>74</v>
      </c>
    </row>
    <row r="834" spans="1:11" ht="42" customHeight="1">
      <c r="A834" s="2" t="s">
        <v>2297</v>
      </c>
      <c r="B834" s="2" t="s">
        <v>2298</v>
      </c>
      <c r="C834" s="2" t="s">
        <v>49</v>
      </c>
      <c r="D834" s="2" t="s">
        <v>50</v>
      </c>
      <c r="E834" s="5">
        <v>-30781</v>
      </c>
      <c r="F834" s="3" t="s">
        <v>685</v>
      </c>
      <c r="G834" s="3" t="s">
        <v>27</v>
      </c>
      <c r="H834" s="2" t="s">
        <v>72</v>
      </c>
      <c r="I834" s="2" t="s">
        <v>2299</v>
      </c>
      <c r="J834" s="3" t="str">
        <f>HYPERLINK("https://www.boe.es/gazeta/dias/1815/09/21/pdfs/GMD-1815-117.pdf#page=6","Abrir facsímil")</f>
        <v>Abrir facsímil</v>
      </c>
      <c r="K834" s="3" t="s">
        <v>74</v>
      </c>
    </row>
    <row r="835" spans="1:11" ht="42" customHeight="1">
      <c r="A835" s="2" t="s">
        <v>2300</v>
      </c>
      <c r="B835" s="2" t="s">
        <v>2301</v>
      </c>
      <c r="C835" s="2" t="s">
        <v>31</v>
      </c>
      <c r="D835" s="2" t="s">
        <v>32</v>
      </c>
      <c r="E835" s="5">
        <v>-30737</v>
      </c>
      <c r="F835" s="3" t="s">
        <v>1932</v>
      </c>
      <c r="G835" s="3" t="s">
        <v>71</v>
      </c>
      <c r="H835" s="2" t="s">
        <v>72</v>
      </c>
      <c r="I835" s="2" t="s">
        <v>2302</v>
      </c>
      <c r="J835" s="3" t="str">
        <f>HYPERLINK("https://www.boe.es/gazeta/dias/1815/11/04/pdfs/GMD-1815-138.pdf#page=7","Abrir facsímil")</f>
        <v>Abrir facsímil</v>
      </c>
      <c r="K835" s="3" t="s">
        <v>74</v>
      </c>
    </row>
    <row r="836" spans="1:11" ht="42" customHeight="1">
      <c r="A836" s="2" t="s">
        <v>2303</v>
      </c>
      <c r="B836" s="2" t="s">
        <v>2304</v>
      </c>
      <c r="C836" s="2" t="s">
        <v>31</v>
      </c>
      <c r="D836" s="2" t="s">
        <v>32</v>
      </c>
      <c r="E836" s="5">
        <v>-30818</v>
      </c>
      <c r="F836" s="3" t="s">
        <v>334</v>
      </c>
      <c r="G836" s="3" t="s">
        <v>38</v>
      </c>
      <c r="H836" s="2" t="s">
        <v>72</v>
      </c>
      <c r="I836" s="2" t="s">
        <v>2305</v>
      </c>
      <c r="J836" s="3" t="str">
        <f>HYPERLINK("https://www.boe.es/gazeta/dias/1815/08/15/pdfs/GMD-1815-100.pdf#page=8","Abrir facsímil")</f>
        <v>Abrir facsímil</v>
      </c>
      <c r="K836" s="3" t="s">
        <v>74</v>
      </c>
    </row>
    <row r="837" spans="1:11" ht="42" customHeight="1">
      <c r="A837" s="2" t="s">
        <v>2306</v>
      </c>
      <c r="B837" s="2" t="s">
        <v>2306</v>
      </c>
      <c r="C837" s="2" t="s">
        <v>31</v>
      </c>
      <c r="D837" s="2" t="s">
        <v>32</v>
      </c>
      <c r="E837" s="5">
        <v>-30872</v>
      </c>
      <c r="F837" s="3" t="s">
        <v>167</v>
      </c>
      <c r="G837" s="3" t="s">
        <v>27</v>
      </c>
      <c r="H837" s="2" t="s">
        <v>72</v>
      </c>
      <c r="I837" s="2" t="s">
        <v>2307</v>
      </c>
      <c r="J837" s="3" t="str">
        <f>HYPERLINK("https://www.boe.es/gazeta/dias/1815/06/22/pdfs/GMD-1815-75.pdf#page=6","Abrir facsímil")</f>
        <v>Abrir facsímil</v>
      </c>
      <c r="K837" s="3" t="s">
        <v>74</v>
      </c>
    </row>
    <row r="838" spans="1:11" ht="42" customHeight="1">
      <c r="A838" s="2" t="s">
        <v>2306</v>
      </c>
      <c r="B838" s="2" t="s">
        <v>2306</v>
      </c>
      <c r="C838" s="2" t="s">
        <v>31</v>
      </c>
      <c r="D838" s="2" t="s">
        <v>32</v>
      </c>
      <c r="E838" s="5">
        <v>-30872</v>
      </c>
      <c r="F838" s="3" t="s">
        <v>167</v>
      </c>
      <c r="G838" s="3" t="s">
        <v>71</v>
      </c>
      <c r="H838" s="2" t="s">
        <v>72</v>
      </c>
      <c r="I838" s="2" t="s">
        <v>2308</v>
      </c>
      <c r="J838" s="3" t="str">
        <f>HYPERLINK("https://www.boe.es/gazeta/dias/1815/06/22/pdfs/GMD-1815-75.pdf#page=7","Abrir facsímil")</f>
        <v>Abrir facsímil</v>
      </c>
      <c r="K838" s="3" t="s">
        <v>74</v>
      </c>
    </row>
    <row r="839" spans="1:11" ht="42" customHeight="1">
      <c r="A839" s="2" t="s">
        <v>2309</v>
      </c>
      <c r="B839" s="2" t="s">
        <v>2310</v>
      </c>
      <c r="C839" s="2" t="s">
        <v>195</v>
      </c>
      <c r="D839" s="2" t="s">
        <v>50</v>
      </c>
      <c r="E839" s="5">
        <v>-30949</v>
      </c>
      <c r="F839" s="3" t="s">
        <v>420</v>
      </c>
      <c r="G839" s="3" t="s">
        <v>27</v>
      </c>
      <c r="H839" s="2" t="s">
        <v>21</v>
      </c>
      <c r="I839" s="2" t="s">
        <v>2311</v>
      </c>
      <c r="J839" s="3" t="str">
        <f>HYPERLINK("https://www.boe.es/gazeta/dias/1815/04/06/pdfs/GMD-1815-42.pdf#page=6","Abrir facsímil")</f>
        <v>Abrir facsímil</v>
      </c>
      <c r="K839" s="3" t="s">
        <v>23</v>
      </c>
    </row>
    <row r="840" spans="1:11" ht="42" customHeight="1">
      <c r="A840" s="2" t="s">
        <v>2312</v>
      </c>
      <c r="B840" s="2" t="s">
        <v>2313</v>
      </c>
      <c r="C840" s="2" t="s">
        <v>17</v>
      </c>
      <c r="D840" s="2" t="s">
        <v>18</v>
      </c>
      <c r="E840" s="5">
        <v>-30912</v>
      </c>
      <c r="F840" s="3" t="s">
        <v>579</v>
      </c>
      <c r="G840" s="3" t="s">
        <v>38</v>
      </c>
      <c r="H840" s="2" t="s">
        <v>72</v>
      </c>
      <c r="I840" s="2" t="s">
        <v>2314</v>
      </c>
      <c r="J840" s="3" t="str">
        <f>HYPERLINK("https://www.boe.es/gazeta/dias/1815/05/13/pdfs/GMD-1815-58.pdf#page=8","Abrir facsímil")</f>
        <v>Abrir facsímil</v>
      </c>
      <c r="K840" s="3" t="s">
        <v>74</v>
      </c>
    </row>
    <row r="841" spans="1:11" ht="42" customHeight="1">
      <c r="A841" s="2" t="s">
        <v>2315</v>
      </c>
      <c r="B841" s="2" t="s">
        <v>2316</v>
      </c>
      <c r="C841" s="2" t="s">
        <v>31</v>
      </c>
      <c r="D841" s="2" t="s">
        <v>32</v>
      </c>
      <c r="E841" s="5">
        <v>-30725</v>
      </c>
      <c r="F841" s="3" t="s">
        <v>1535</v>
      </c>
      <c r="G841" s="3" t="s">
        <v>57</v>
      </c>
      <c r="H841" s="2" t="s">
        <v>72</v>
      </c>
      <c r="I841" s="2" t="s">
        <v>2317</v>
      </c>
      <c r="J841" s="3" t="str">
        <f>HYPERLINK("https://www.boe.es/gazeta/dias/1815/11/16/pdfs/GMD-1815-143.pdf#page=5","Abrir facsímil")</f>
        <v>Abrir facsímil</v>
      </c>
      <c r="K841" s="3" t="s">
        <v>74</v>
      </c>
    </row>
    <row r="842" spans="1:11" ht="42" customHeight="1">
      <c r="A842" s="2" t="s">
        <v>2318</v>
      </c>
      <c r="B842" s="2" t="s">
        <v>2319</v>
      </c>
      <c r="C842" s="2" t="s">
        <v>49</v>
      </c>
      <c r="D842" s="2" t="s">
        <v>50</v>
      </c>
      <c r="E842" s="5">
        <v>-30858</v>
      </c>
      <c r="F842" s="3" t="s">
        <v>1928</v>
      </c>
      <c r="G842" s="3" t="s">
        <v>71</v>
      </c>
      <c r="H842" s="2" t="s">
        <v>72</v>
      </c>
      <c r="I842" s="2" t="s">
        <v>2320</v>
      </c>
      <c r="J842" s="3" t="str">
        <f>HYPERLINK("https://www.boe.es/gazeta/dias/1815/07/06/pdfs/GMD-1815-83.pdf#page=7","Abrir facsímil")</f>
        <v>Abrir facsímil</v>
      </c>
      <c r="K842" s="3" t="s">
        <v>74</v>
      </c>
    </row>
    <row r="843" spans="1:11" ht="42" customHeight="1">
      <c r="A843" s="2" t="s">
        <v>2321</v>
      </c>
      <c r="B843" s="2" t="s">
        <v>2322</v>
      </c>
      <c r="C843" s="2" t="s">
        <v>31</v>
      </c>
      <c r="D843" s="2" t="s">
        <v>32</v>
      </c>
      <c r="E843" s="5">
        <v>-30762</v>
      </c>
      <c r="F843" s="3" t="s">
        <v>19</v>
      </c>
      <c r="G843" s="3" t="s">
        <v>2323</v>
      </c>
      <c r="H843" s="2" t="s">
        <v>72</v>
      </c>
      <c r="I843" s="2" t="s">
        <v>2324</v>
      </c>
      <c r="J843" s="3" t="str">
        <f>HYPERLINK("https://www.boe.es/gazeta/dias/1815/10/10/pdfs/GMD-1815-127.pdf#page=8","Abrir facsímil")</f>
        <v>Abrir facsímil</v>
      </c>
      <c r="K843" s="3" t="s">
        <v>74</v>
      </c>
    </row>
    <row r="844" spans="1:11" ht="42" customHeight="1">
      <c r="A844" s="2" t="s">
        <v>2325</v>
      </c>
      <c r="B844" s="2" t="s">
        <v>2326</v>
      </c>
      <c r="C844" s="2" t="s">
        <v>31</v>
      </c>
      <c r="D844" s="2" t="s">
        <v>32</v>
      </c>
      <c r="E844" s="5">
        <v>-30739</v>
      </c>
      <c r="F844" s="3" t="s">
        <v>254</v>
      </c>
      <c r="G844" s="3" t="s">
        <v>52</v>
      </c>
      <c r="H844" s="2" t="s">
        <v>72</v>
      </c>
      <c r="I844" s="2" t="s">
        <v>2327</v>
      </c>
      <c r="J844" s="3" t="str">
        <f>HYPERLINK("https://www.boe.es/gazeta/dias/1815/11/02/pdfs/GMD-1815-137.pdf#page=11","Abrir facsímil")</f>
        <v>Abrir facsímil</v>
      </c>
      <c r="K844" s="3" t="s">
        <v>74</v>
      </c>
    </row>
    <row r="845" spans="1:11" ht="42" customHeight="1">
      <c r="A845" s="2" t="s">
        <v>2328</v>
      </c>
      <c r="B845" s="2" t="s">
        <v>2329</v>
      </c>
      <c r="C845" s="2" t="s">
        <v>17</v>
      </c>
      <c r="D845" s="2" t="s">
        <v>18</v>
      </c>
      <c r="E845" s="5">
        <v>-30835</v>
      </c>
      <c r="F845" s="3" t="s">
        <v>544</v>
      </c>
      <c r="G845" s="3" t="s">
        <v>52</v>
      </c>
      <c r="H845" s="2" t="s">
        <v>72</v>
      </c>
      <c r="I845" s="2" t="s">
        <v>2330</v>
      </c>
      <c r="J845" s="3" t="str">
        <f>HYPERLINK("https://www.boe.es/gazeta/dias/1815/07/29/pdfs/GMD-1815-93.pdf#page=11","Abrir facsímil")</f>
        <v>Abrir facsímil</v>
      </c>
      <c r="K845" s="3" t="s">
        <v>74</v>
      </c>
    </row>
    <row r="846" spans="1:11" ht="42" customHeight="1">
      <c r="A846" s="2" t="s">
        <v>2331</v>
      </c>
      <c r="B846" s="2" t="s">
        <v>2332</v>
      </c>
      <c r="C846" s="2" t="s">
        <v>31</v>
      </c>
      <c r="D846" s="2" t="s">
        <v>32</v>
      </c>
      <c r="E846" s="5">
        <v>-30849</v>
      </c>
      <c r="F846" s="3" t="s">
        <v>501</v>
      </c>
      <c r="G846" s="3" t="s">
        <v>52</v>
      </c>
      <c r="H846" s="2" t="s">
        <v>72</v>
      </c>
      <c r="I846" s="2" t="s">
        <v>2333</v>
      </c>
      <c r="J846" s="3" t="str">
        <f>HYPERLINK("https://www.boe.es/gazeta/dias/1815/07/15/pdfs/GMD-1815-87.pdf#page=11","Abrir facsímil")</f>
        <v>Abrir facsímil</v>
      </c>
      <c r="K846" s="3" t="s">
        <v>74</v>
      </c>
    </row>
    <row r="847" spans="1:11" ht="42" customHeight="1">
      <c r="A847" s="2" t="s">
        <v>2334</v>
      </c>
      <c r="B847" s="2" t="s">
        <v>2334</v>
      </c>
      <c r="C847" s="2" t="s">
        <v>31</v>
      </c>
      <c r="D847" s="2" t="s">
        <v>32</v>
      </c>
      <c r="E847" s="5">
        <v>-30825</v>
      </c>
      <c r="F847" s="3" t="s">
        <v>669</v>
      </c>
      <c r="G847" s="3" t="s">
        <v>57</v>
      </c>
      <c r="H847" s="2" t="s">
        <v>72</v>
      </c>
      <c r="I847" s="2" t="s">
        <v>2335</v>
      </c>
      <c r="J847" s="3" t="str">
        <f>HYPERLINK("https://www.boe.es/gazeta/dias/1815/08/08/pdfs/GMD-1815-97.pdf#page=5","Abrir facsímil")</f>
        <v>Abrir facsímil</v>
      </c>
      <c r="K847" s="3" t="s">
        <v>74</v>
      </c>
    </row>
    <row r="848" spans="1:11" ht="42" customHeight="1">
      <c r="A848" s="2" t="s">
        <v>2336</v>
      </c>
      <c r="B848" s="2" t="s">
        <v>2337</v>
      </c>
      <c r="C848" s="2" t="s">
        <v>31</v>
      </c>
      <c r="D848" s="2" t="s">
        <v>32</v>
      </c>
      <c r="E848" s="5">
        <v>-30881</v>
      </c>
      <c r="F848" s="3" t="s">
        <v>446</v>
      </c>
      <c r="G848" s="3" t="s">
        <v>1436</v>
      </c>
      <c r="H848" s="2" t="s">
        <v>72</v>
      </c>
      <c r="I848" s="2" t="s">
        <v>2338</v>
      </c>
      <c r="J848" s="3" t="str">
        <f>HYPERLINK("https://www.boe.es/gazeta/dias/1815/06/13/pdfs/GMD-1815-71.pdf#page=9","Abrir facsímil")</f>
        <v>Abrir facsímil</v>
      </c>
      <c r="K848" s="3" t="s">
        <v>74</v>
      </c>
    </row>
    <row r="849" spans="1:11" ht="42" customHeight="1">
      <c r="A849" s="2" t="s">
        <v>2339</v>
      </c>
      <c r="B849" s="2" t="s">
        <v>2339</v>
      </c>
      <c r="C849" s="2" t="s">
        <v>31</v>
      </c>
      <c r="D849" s="2" t="s">
        <v>179</v>
      </c>
      <c r="E849" s="5">
        <v>-30860</v>
      </c>
      <c r="F849" s="3" t="s">
        <v>180</v>
      </c>
      <c r="G849" s="3" t="s">
        <v>97</v>
      </c>
      <c r="H849" s="2" t="s">
        <v>72</v>
      </c>
      <c r="I849" s="2" t="s">
        <v>2340</v>
      </c>
      <c r="J849" s="3" t="str">
        <f>HYPERLINK("https://www.boe.es/gazeta/dias/1815/07/04/pdfs/GMD-1815-82E.pdf#page=3","Abrir facsímil")</f>
        <v>Abrir facsímil</v>
      </c>
      <c r="K849" s="3" t="s">
        <v>74</v>
      </c>
    </row>
    <row r="850" spans="1:11" ht="42" customHeight="1">
      <c r="A850" s="2" t="s">
        <v>2339</v>
      </c>
      <c r="B850" s="2" t="s">
        <v>2339</v>
      </c>
      <c r="C850" s="2" t="s">
        <v>31</v>
      </c>
      <c r="D850" s="2" t="s">
        <v>179</v>
      </c>
      <c r="E850" s="5">
        <v>-30860</v>
      </c>
      <c r="F850" s="3" t="s">
        <v>180</v>
      </c>
      <c r="G850" s="3" t="s">
        <v>20</v>
      </c>
      <c r="H850" s="2" t="s">
        <v>72</v>
      </c>
      <c r="I850" s="2" t="s">
        <v>2341</v>
      </c>
      <c r="J850" s="3" t="str">
        <f>HYPERLINK("https://www.boe.es/gazeta/dias/1815/07/04/pdfs/GMD-1815-82E.pdf#page=4","Abrir facsímil")</f>
        <v>Abrir facsímil</v>
      </c>
      <c r="K850" s="3" t="s">
        <v>74</v>
      </c>
    </row>
    <row r="851" spans="1:11" ht="42" customHeight="1">
      <c r="A851" s="2" t="s">
        <v>2342</v>
      </c>
      <c r="B851" s="2" t="s">
        <v>2343</v>
      </c>
      <c r="C851" s="2" t="s">
        <v>61</v>
      </c>
      <c r="D851" s="2" t="s">
        <v>50</v>
      </c>
      <c r="E851" s="5">
        <v>-30991</v>
      </c>
      <c r="F851" s="3" t="s">
        <v>318</v>
      </c>
      <c r="G851" s="3" t="s">
        <v>1829</v>
      </c>
      <c r="H851" s="2" t="s">
        <v>21</v>
      </c>
      <c r="I851" s="2" t="s">
        <v>2344</v>
      </c>
      <c r="J851" s="3" t="str">
        <f>HYPERLINK("https://www.boe.es/gazeta/dias/1815/02/23/pdfs/GMD-1815-23.pdf#page=8","Abrir facsímil")</f>
        <v>Abrir facsímil</v>
      </c>
      <c r="K851" s="3" t="s">
        <v>23</v>
      </c>
    </row>
    <row r="852" spans="1:11" ht="42" customHeight="1">
      <c r="A852" s="2" t="s">
        <v>2345</v>
      </c>
      <c r="B852" s="2" t="s">
        <v>2346</v>
      </c>
      <c r="C852" s="2" t="s">
        <v>897</v>
      </c>
      <c r="D852" s="2" t="s">
        <v>50</v>
      </c>
      <c r="E852" s="5">
        <v>-30692</v>
      </c>
      <c r="F852" s="3" t="s">
        <v>508</v>
      </c>
      <c r="G852" s="3" t="s">
        <v>38</v>
      </c>
      <c r="H852" s="2" t="s">
        <v>21</v>
      </c>
      <c r="I852" s="2" t="s">
        <v>2347</v>
      </c>
      <c r="J852" s="3" t="str">
        <f>HYPERLINK("https://www.boe.es/gazeta/dias/1815/12/19/pdfs/GMD-1815-157.pdf#page=8","Abrir facsímil")</f>
        <v>Abrir facsímil</v>
      </c>
      <c r="K852" s="3" t="s">
        <v>23</v>
      </c>
    </row>
    <row r="853" spans="1:11" ht="42" customHeight="1">
      <c r="A853" s="2" t="s">
        <v>2348</v>
      </c>
      <c r="B853" s="2" t="s">
        <v>2349</v>
      </c>
      <c r="C853" s="2" t="s">
        <v>61</v>
      </c>
      <c r="D853" s="2" t="s">
        <v>50</v>
      </c>
      <c r="E853" s="5">
        <v>-30958</v>
      </c>
      <c r="F853" s="3" t="s">
        <v>297</v>
      </c>
      <c r="G853" s="3" t="s">
        <v>38</v>
      </c>
      <c r="H853" s="2" t="s">
        <v>21</v>
      </c>
      <c r="I853" s="2" t="s">
        <v>2350</v>
      </c>
      <c r="J853" s="3" t="str">
        <f>HYPERLINK("https://www.boe.es/gazeta/dias/1815/03/28/pdfs/GMD-1815-37.pdf#page=8","Abrir facsímil")</f>
        <v>Abrir facsímil</v>
      </c>
      <c r="K853" s="3" t="s">
        <v>23</v>
      </c>
    </row>
    <row r="854" spans="1:11" ht="42" customHeight="1">
      <c r="A854" s="2" t="s">
        <v>2351</v>
      </c>
      <c r="B854" s="2" t="s">
        <v>2351</v>
      </c>
      <c r="C854" s="2" t="s">
        <v>31</v>
      </c>
      <c r="D854" s="2" t="s">
        <v>32</v>
      </c>
      <c r="E854" s="5">
        <v>-30979</v>
      </c>
      <c r="F854" s="3" t="s">
        <v>56</v>
      </c>
      <c r="G854" s="3" t="s">
        <v>57</v>
      </c>
      <c r="H854" s="2" t="s">
        <v>72</v>
      </c>
      <c r="I854" s="2" t="s">
        <v>2352</v>
      </c>
      <c r="J854" s="3" t="str">
        <f>HYPERLINK("https://www.boe.es/gazeta/dias/1815/03/07/pdfs/GMD-1815-28.pdf#page=5","Abrir facsímil")</f>
        <v>Abrir facsímil</v>
      </c>
      <c r="K854" s="3" t="s">
        <v>74</v>
      </c>
    </row>
    <row r="855" spans="1:11" ht="42" customHeight="1">
      <c r="A855" s="2" t="s">
        <v>2351</v>
      </c>
      <c r="B855" s="2" t="s">
        <v>2351</v>
      </c>
      <c r="C855" s="2" t="s">
        <v>195</v>
      </c>
      <c r="D855" s="2" t="s">
        <v>50</v>
      </c>
      <c r="E855" s="5">
        <v>-30961</v>
      </c>
      <c r="F855" s="3" t="s">
        <v>1176</v>
      </c>
      <c r="G855" s="3" t="s">
        <v>38</v>
      </c>
      <c r="H855" s="2" t="s">
        <v>72</v>
      </c>
      <c r="I855" s="2" t="s">
        <v>2353</v>
      </c>
      <c r="J855" s="3" t="str">
        <f>HYPERLINK("https://www.boe.es/gazeta/dias/1815/03/25/pdfs/GMD-1815-36.pdf#page=8","Abrir facsímil")</f>
        <v>Abrir facsímil</v>
      </c>
      <c r="K855" s="3" t="s">
        <v>74</v>
      </c>
    </row>
    <row r="856" spans="1:11" ht="42" customHeight="1">
      <c r="A856" s="2" t="s">
        <v>2351</v>
      </c>
      <c r="B856" s="2" t="s">
        <v>2351</v>
      </c>
      <c r="C856" s="2" t="s">
        <v>17</v>
      </c>
      <c r="D856" s="2" t="s">
        <v>18</v>
      </c>
      <c r="E856" s="5">
        <v>-30951</v>
      </c>
      <c r="F856" s="3" t="s">
        <v>87</v>
      </c>
      <c r="G856" s="3" t="s">
        <v>27</v>
      </c>
      <c r="H856" s="2" t="s">
        <v>72</v>
      </c>
      <c r="I856" s="2" t="s">
        <v>2354</v>
      </c>
      <c r="J856" s="3" t="str">
        <f>HYPERLINK("https://www.boe.es/gazeta/dias/1815/04/04/pdfs/GMD-1815-41.pdf#page=6","Abrir facsímil")</f>
        <v>Abrir facsímil</v>
      </c>
      <c r="K856" s="3" t="s">
        <v>74</v>
      </c>
    </row>
    <row r="857" spans="1:11" ht="42" customHeight="1">
      <c r="A857" s="2" t="s">
        <v>2351</v>
      </c>
      <c r="B857" s="2" t="s">
        <v>2351</v>
      </c>
      <c r="C857" s="2" t="s">
        <v>49</v>
      </c>
      <c r="D857" s="2" t="s">
        <v>50</v>
      </c>
      <c r="E857" s="5">
        <v>-30863</v>
      </c>
      <c r="F857" s="3" t="s">
        <v>110</v>
      </c>
      <c r="G857" s="3" t="s">
        <v>224</v>
      </c>
      <c r="H857" s="2" t="s">
        <v>72</v>
      </c>
      <c r="I857" s="2" t="s">
        <v>2355</v>
      </c>
      <c r="J857" s="3" t="str">
        <f>HYPERLINK("https://www.boe.es/gazeta/dias/1815/07/01/pdfs/GMD-1815-79.pdf#page=9","Abrir facsímil")</f>
        <v>Abrir facsímil</v>
      </c>
      <c r="K857" s="3" t="s">
        <v>74</v>
      </c>
    </row>
    <row r="858" spans="1:11" ht="42" customHeight="1">
      <c r="A858" s="2" t="s">
        <v>2351</v>
      </c>
      <c r="B858" s="2" t="s">
        <v>2351</v>
      </c>
      <c r="C858" s="2" t="s">
        <v>49</v>
      </c>
      <c r="D858" s="2" t="s">
        <v>50</v>
      </c>
      <c r="E858" s="5">
        <v>-30839</v>
      </c>
      <c r="F858" s="3" t="s">
        <v>616</v>
      </c>
      <c r="G858" s="3" t="s">
        <v>617</v>
      </c>
      <c r="H858" s="2" t="s">
        <v>72</v>
      </c>
      <c r="I858" s="2" t="s">
        <v>2356</v>
      </c>
      <c r="J858" s="3" t="str">
        <f>HYPERLINK("https://www.boe.es/gazeta/dias/1815/07/25/pdfs/GMD-1815-91.pdf#page=8","Abrir facsímil")</f>
        <v>Abrir facsímil</v>
      </c>
      <c r="K858" s="3" t="s">
        <v>74</v>
      </c>
    </row>
    <row r="859" spans="1:11" ht="42" customHeight="1">
      <c r="A859" s="2" t="s">
        <v>2357</v>
      </c>
      <c r="B859" s="2" t="s">
        <v>2357</v>
      </c>
      <c r="C859" s="2" t="s">
        <v>31</v>
      </c>
      <c r="D859" s="2" t="s">
        <v>32</v>
      </c>
      <c r="E859" s="5">
        <v>-30711</v>
      </c>
      <c r="F859" s="3" t="s">
        <v>438</v>
      </c>
      <c r="G859" s="3" t="s">
        <v>71</v>
      </c>
      <c r="H859" s="2" t="s">
        <v>72</v>
      </c>
      <c r="I859" s="2" t="s">
        <v>2358</v>
      </c>
      <c r="J859" s="3" t="str">
        <f>HYPERLINK("https://www.boe.es/gazeta/dias/1815/11/30/pdfs/GMD-1815-149.pdf#page=7","Abrir facsímil")</f>
        <v>Abrir facsímil</v>
      </c>
      <c r="K859" s="3" t="s">
        <v>74</v>
      </c>
    </row>
    <row r="860" spans="1:11" ht="42" customHeight="1">
      <c r="A860" s="2" t="s">
        <v>2359</v>
      </c>
      <c r="B860" s="2" t="s">
        <v>2360</v>
      </c>
      <c r="C860" s="2" t="s">
        <v>195</v>
      </c>
      <c r="D860" s="2" t="s">
        <v>50</v>
      </c>
      <c r="E860" s="5">
        <v>-30879</v>
      </c>
      <c r="F860" s="3" t="s">
        <v>754</v>
      </c>
      <c r="G860" s="3" t="s">
        <v>88</v>
      </c>
      <c r="H860" s="2" t="s">
        <v>21</v>
      </c>
      <c r="I860" s="2" t="s">
        <v>2361</v>
      </c>
      <c r="J860" s="3" t="str">
        <f>HYPERLINK("https://www.boe.es/gazeta/dias/1815/06/15/pdfs/GMD-1815-72.pdf#page=10","Abrir facsímil")</f>
        <v>Abrir facsímil</v>
      </c>
      <c r="K860" s="3" t="s">
        <v>23</v>
      </c>
    </row>
    <row r="861" spans="1:11" ht="42" customHeight="1">
      <c r="A861" s="2" t="s">
        <v>2362</v>
      </c>
      <c r="B861" s="2" t="s">
        <v>2363</v>
      </c>
      <c r="C861" s="2" t="s">
        <v>49</v>
      </c>
      <c r="D861" s="2" t="s">
        <v>50</v>
      </c>
      <c r="E861" s="5">
        <v>-31042</v>
      </c>
      <c r="F861" s="3" t="s">
        <v>512</v>
      </c>
      <c r="G861" s="3" t="s">
        <v>38</v>
      </c>
      <c r="H861" s="2" t="s">
        <v>72</v>
      </c>
      <c r="I861" s="2" t="s">
        <v>2364</v>
      </c>
      <c r="J861" s="3" t="str">
        <f>HYPERLINK("https://www.boe.es/gazeta/dias/1815/01/03/pdfs/GMD-1815-1.pdf#page=8","Abrir facsímil")</f>
        <v>Abrir facsímil</v>
      </c>
      <c r="K861" s="3" t="s">
        <v>74</v>
      </c>
    </row>
    <row r="862" spans="1:11" ht="42" customHeight="1">
      <c r="A862" s="2" t="s">
        <v>2365</v>
      </c>
      <c r="B862" s="2" t="s">
        <v>2366</v>
      </c>
      <c r="C862" s="2" t="s">
        <v>31</v>
      </c>
      <c r="D862" s="2" t="s">
        <v>32</v>
      </c>
      <c r="E862" s="5">
        <v>-30942</v>
      </c>
      <c r="F862" s="3" t="s">
        <v>730</v>
      </c>
      <c r="G862" s="3" t="s">
        <v>71</v>
      </c>
      <c r="H862" s="2" t="s">
        <v>72</v>
      </c>
      <c r="I862" s="2" t="s">
        <v>2367</v>
      </c>
      <c r="J862" s="3" t="str">
        <f>HYPERLINK("https://www.boe.es/gazeta/dias/1815/04/13/pdfs/GMD-1815-45.pdf#page=7","Abrir facsímil")</f>
        <v>Abrir facsímil</v>
      </c>
      <c r="K862" s="3" t="s">
        <v>74</v>
      </c>
    </row>
    <row r="863" spans="1:11" ht="42" customHeight="1">
      <c r="A863" s="2" t="s">
        <v>2368</v>
      </c>
      <c r="B863" s="2" t="s">
        <v>2369</v>
      </c>
      <c r="C863" s="2" t="s">
        <v>17</v>
      </c>
      <c r="D863" s="2" t="s">
        <v>18</v>
      </c>
      <c r="E863" s="5">
        <v>-30986</v>
      </c>
      <c r="F863" s="3" t="s">
        <v>46</v>
      </c>
      <c r="G863" s="3" t="s">
        <v>47</v>
      </c>
      <c r="H863" s="2" t="s">
        <v>72</v>
      </c>
      <c r="I863" s="2" t="s">
        <v>2370</v>
      </c>
      <c r="J863" s="3" t="str">
        <f>HYPERLINK("https://www.boe.es/gazeta/dias/1815/02/28/pdfs/GMD-1815-25.pdf#page=11","Abrir facsímil")</f>
        <v>Abrir facsímil</v>
      </c>
      <c r="K863" s="3" t="s">
        <v>74</v>
      </c>
    </row>
    <row r="864" spans="1:11" ht="42" customHeight="1">
      <c r="A864" s="2" t="s">
        <v>2371</v>
      </c>
      <c r="B864" s="2" t="s">
        <v>2372</v>
      </c>
      <c r="C864" s="2" t="s">
        <v>31</v>
      </c>
      <c r="D864" s="2" t="s">
        <v>32</v>
      </c>
      <c r="E864" s="5">
        <v>-31017</v>
      </c>
      <c r="F864" s="3" t="s">
        <v>456</v>
      </c>
      <c r="G864" s="3" t="s">
        <v>2373</v>
      </c>
      <c r="H864" s="2" t="s">
        <v>72</v>
      </c>
      <c r="I864" s="2" t="s">
        <v>2374</v>
      </c>
      <c r="J864" s="3" t="str">
        <f>HYPERLINK("https://www.boe.es/gazeta/dias/1815/01/28/pdfs/GMD-1815-12.pdf#page=7","Abrir facsímil")</f>
        <v>Abrir facsímil</v>
      </c>
      <c r="K864" s="3" t="s">
        <v>74</v>
      </c>
    </row>
    <row r="865" spans="1:11" ht="42" customHeight="1">
      <c r="A865" s="2" t="s">
        <v>2375</v>
      </c>
      <c r="B865" s="2" t="s">
        <v>2376</v>
      </c>
      <c r="C865" s="2" t="s">
        <v>49</v>
      </c>
      <c r="D865" s="2" t="s">
        <v>50</v>
      </c>
      <c r="E865" s="5">
        <v>-30886</v>
      </c>
      <c r="F865" s="3" t="s">
        <v>140</v>
      </c>
      <c r="G865" s="3" t="s">
        <v>224</v>
      </c>
      <c r="H865" s="2" t="s">
        <v>72</v>
      </c>
      <c r="I865" s="2" t="s">
        <v>2377</v>
      </c>
      <c r="J865" s="3" t="str">
        <f>HYPERLINK("https://www.boe.es/gazeta/dias/1815/06/08/pdfs/GMD-1815-69.pdf#page=9","Abrir facsímil")</f>
        <v>Abrir facsímil</v>
      </c>
      <c r="K865" s="3" t="s">
        <v>74</v>
      </c>
    </row>
    <row r="866" spans="1:11" ht="42" customHeight="1">
      <c r="A866" s="2" t="s">
        <v>2378</v>
      </c>
      <c r="B866" s="2" t="s">
        <v>2379</v>
      </c>
      <c r="C866" s="2" t="s">
        <v>61</v>
      </c>
      <c r="D866" s="2" t="s">
        <v>50</v>
      </c>
      <c r="E866" s="5">
        <v>-30872</v>
      </c>
      <c r="F866" s="3" t="s">
        <v>167</v>
      </c>
      <c r="G866" s="3" t="s">
        <v>224</v>
      </c>
      <c r="H866" s="2" t="s">
        <v>21</v>
      </c>
      <c r="I866" s="2" t="s">
        <v>2380</v>
      </c>
      <c r="J866" s="3" t="str">
        <f>HYPERLINK("https://www.boe.es/gazeta/dias/1815/06/22/pdfs/GMD-1815-75.pdf#page=9","Abrir facsímil")</f>
        <v>Abrir facsímil</v>
      </c>
      <c r="K866" s="3" t="s">
        <v>23</v>
      </c>
    </row>
    <row r="867" spans="1:11" ht="42" customHeight="1">
      <c r="A867" s="2" t="s">
        <v>2381</v>
      </c>
      <c r="B867" s="2" t="s">
        <v>2382</v>
      </c>
      <c r="C867" s="2" t="s">
        <v>17</v>
      </c>
      <c r="D867" s="2" t="s">
        <v>18</v>
      </c>
      <c r="E867" s="5">
        <v>-30874</v>
      </c>
      <c r="F867" s="3" t="s">
        <v>208</v>
      </c>
      <c r="G867" s="3" t="s">
        <v>52</v>
      </c>
      <c r="H867" s="2" t="s">
        <v>72</v>
      </c>
      <c r="I867" s="2" t="s">
        <v>2383</v>
      </c>
      <c r="J867" s="3" t="str">
        <f>HYPERLINK("https://www.boe.es/gazeta/dias/1815/06/20/pdfs/GMD-1815-74.pdf#page=11","Abrir facsímil")</f>
        <v>Abrir facsímil</v>
      </c>
      <c r="K867" s="3" t="s">
        <v>74</v>
      </c>
    </row>
    <row r="868" spans="1:11" ht="42" customHeight="1">
      <c r="A868" s="2" t="s">
        <v>2384</v>
      </c>
      <c r="B868" s="2" t="s">
        <v>2385</v>
      </c>
      <c r="C868" s="2" t="s">
        <v>31</v>
      </c>
      <c r="D868" s="2" t="s">
        <v>32</v>
      </c>
      <c r="E868" s="5">
        <v>-30902</v>
      </c>
      <c r="F868" s="3" t="s">
        <v>648</v>
      </c>
      <c r="G868" s="3" t="s">
        <v>38</v>
      </c>
      <c r="H868" s="2" t="s">
        <v>72</v>
      </c>
      <c r="I868" s="2" t="s">
        <v>2386</v>
      </c>
      <c r="J868" s="3" t="str">
        <f>HYPERLINK("https://www.boe.es/gazeta/dias/1815/05/23/pdfs/GMD-1815-62.pdf#page=8","Abrir facsímil")</f>
        <v>Abrir facsímil</v>
      </c>
      <c r="K868" s="3" t="s">
        <v>74</v>
      </c>
    </row>
    <row r="869" spans="1:11" ht="42" customHeight="1">
      <c r="A869" s="2" t="s">
        <v>2387</v>
      </c>
      <c r="B869" s="2" t="s">
        <v>2388</v>
      </c>
      <c r="C869" s="2" t="s">
        <v>195</v>
      </c>
      <c r="D869" s="2" t="s">
        <v>50</v>
      </c>
      <c r="E869" s="5">
        <v>-30874</v>
      </c>
      <c r="F869" s="3" t="s">
        <v>208</v>
      </c>
      <c r="G869" s="3" t="s">
        <v>71</v>
      </c>
      <c r="H869" s="2" t="s">
        <v>72</v>
      </c>
      <c r="I869" s="2" t="s">
        <v>2389</v>
      </c>
      <c r="J869" s="3" t="str">
        <f>HYPERLINK("https://www.boe.es/gazeta/dias/1815/06/20/pdfs/GMD-1815-74.pdf#page=7","Abrir facsímil")</f>
        <v>Abrir facsímil</v>
      </c>
      <c r="K869" s="3" t="s">
        <v>74</v>
      </c>
    </row>
    <row r="870" spans="1:11" ht="42" customHeight="1">
      <c r="A870" s="2" t="s">
        <v>2390</v>
      </c>
      <c r="B870" s="2" t="s">
        <v>2391</v>
      </c>
      <c r="C870" s="2" t="s">
        <v>31</v>
      </c>
      <c r="D870" s="2" t="s">
        <v>32</v>
      </c>
      <c r="E870" s="5">
        <v>-30751</v>
      </c>
      <c r="F870" s="3" t="s">
        <v>819</v>
      </c>
      <c r="G870" s="3" t="s">
        <v>38</v>
      </c>
      <c r="H870" s="2" t="s">
        <v>21</v>
      </c>
      <c r="I870" s="2" t="s">
        <v>2392</v>
      </c>
      <c r="J870" s="3" t="str">
        <f>HYPERLINK("https://www.boe.es/gazeta/dias/1815/10/21/pdfs/GMD-1815-132.pdf#page=8","Abrir facsímil")</f>
        <v>Abrir facsímil</v>
      </c>
      <c r="K870" s="3" t="s">
        <v>23</v>
      </c>
    </row>
    <row r="871" spans="1:11" ht="42" customHeight="1">
      <c r="A871" s="2" t="s">
        <v>2393</v>
      </c>
      <c r="B871" s="2" t="s">
        <v>2394</v>
      </c>
      <c r="C871" s="2" t="s">
        <v>49</v>
      </c>
      <c r="D871" s="2" t="s">
        <v>50</v>
      </c>
      <c r="E871" s="5">
        <v>-30893</v>
      </c>
      <c r="F871" s="3" t="s">
        <v>132</v>
      </c>
      <c r="G871" s="3" t="s">
        <v>38</v>
      </c>
      <c r="H871" s="2" t="s">
        <v>72</v>
      </c>
      <c r="I871" s="2" t="s">
        <v>2395</v>
      </c>
      <c r="J871" s="3" t="str">
        <f>HYPERLINK("https://www.boe.es/gazeta/dias/1815/06/01/pdfs/GMD-1815-66.pdf#page=8","Abrir facsímil")</f>
        <v>Abrir facsímil</v>
      </c>
      <c r="K871" s="3" t="s">
        <v>74</v>
      </c>
    </row>
    <row r="872" spans="1:11" ht="42" customHeight="1">
      <c r="A872" s="2" t="s">
        <v>2396</v>
      </c>
      <c r="B872" s="2" t="s">
        <v>2397</v>
      </c>
      <c r="C872" s="2" t="s">
        <v>31</v>
      </c>
      <c r="D872" s="2" t="s">
        <v>32</v>
      </c>
      <c r="E872" s="5">
        <v>-31038</v>
      </c>
      <c r="F872" s="3" t="s">
        <v>395</v>
      </c>
      <c r="G872" s="3" t="s">
        <v>396</v>
      </c>
      <c r="H872" s="2" t="s">
        <v>72</v>
      </c>
      <c r="I872" s="2" t="s">
        <v>2398</v>
      </c>
      <c r="J872" s="3" t="str">
        <f>HYPERLINK("https://www.boe.es/gazeta/dias/1815/01/07/pdfs/GMD-1815-3.pdf#page=5","Abrir facsímil")</f>
        <v>Abrir facsímil</v>
      </c>
      <c r="K872" s="3" t="s">
        <v>74</v>
      </c>
    </row>
    <row r="873" spans="1:11" ht="42" customHeight="1">
      <c r="A873" s="2" t="s">
        <v>2399</v>
      </c>
      <c r="B873" s="2" t="s">
        <v>2400</v>
      </c>
      <c r="C873" s="2" t="s">
        <v>49</v>
      </c>
      <c r="D873" s="2" t="s">
        <v>50</v>
      </c>
      <c r="E873" s="5">
        <v>-30865</v>
      </c>
      <c r="F873" s="3" t="s">
        <v>163</v>
      </c>
      <c r="G873" s="3" t="s">
        <v>71</v>
      </c>
      <c r="H873" s="2" t="s">
        <v>72</v>
      </c>
      <c r="I873" s="2" t="s">
        <v>2401</v>
      </c>
      <c r="J873" s="3" t="str">
        <f>HYPERLINK("https://www.boe.es/gazeta/dias/1815/06/29/pdfs/GMD-1815-78.pdf#page=7","Abrir facsímil")</f>
        <v>Abrir facsímil</v>
      </c>
      <c r="K873" s="3" t="s">
        <v>74</v>
      </c>
    </row>
    <row r="874" spans="1:11" ht="42" customHeight="1">
      <c r="A874" s="2" t="s">
        <v>2402</v>
      </c>
      <c r="B874" s="2" t="s">
        <v>2403</v>
      </c>
      <c r="C874" s="2" t="s">
        <v>49</v>
      </c>
      <c r="D874" s="2" t="s">
        <v>50</v>
      </c>
      <c r="E874" s="5">
        <v>-30865</v>
      </c>
      <c r="F874" s="3" t="s">
        <v>163</v>
      </c>
      <c r="G874" s="3" t="s">
        <v>71</v>
      </c>
      <c r="H874" s="2" t="s">
        <v>72</v>
      </c>
      <c r="I874" s="2" t="s">
        <v>2404</v>
      </c>
      <c r="J874" s="3" t="str">
        <f>HYPERLINK("https://www.boe.es/gazeta/dias/1815/06/29/pdfs/GMD-1815-78.pdf#page=7","Abrir facsímil")</f>
        <v>Abrir facsímil</v>
      </c>
      <c r="K874" s="3" t="s">
        <v>74</v>
      </c>
    </row>
    <row r="875" spans="1:11" ht="42" customHeight="1">
      <c r="A875" s="2" t="s">
        <v>2405</v>
      </c>
      <c r="B875" s="2" t="s">
        <v>2406</v>
      </c>
      <c r="C875" s="2" t="s">
        <v>31</v>
      </c>
      <c r="D875" s="2" t="s">
        <v>32</v>
      </c>
      <c r="E875" s="5">
        <v>-30772</v>
      </c>
      <c r="F875" s="3" t="s">
        <v>216</v>
      </c>
      <c r="G875" s="3" t="s">
        <v>27</v>
      </c>
      <c r="H875" s="2" t="s">
        <v>72</v>
      </c>
      <c r="I875" s="2" t="s">
        <v>2407</v>
      </c>
      <c r="J875" s="3" t="str">
        <f>HYPERLINK("https://www.boe.es/gazeta/dias/1815/09/30/pdfs/GMD-1815-123.pdf#page=6","Abrir facsímil")</f>
        <v>Abrir facsímil</v>
      </c>
      <c r="K875" s="3" t="s">
        <v>74</v>
      </c>
    </row>
    <row r="876" spans="1:11" ht="42" customHeight="1">
      <c r="A876" s="2" t="s">
        <v>2408</v>
      </c>
      <c r="B876" s="2" t="s">
        <v>2409</v>
      </c>
      <c r="C876" s="2" t="s">
        <v>49</v>
      </c>
      <c r="D876" s="2" t="s">
        <v>50</v>
      </c>
      <c r="E876" s="5">
        <v>-31040</v>
      </c>
      <c r="F876" s="3" t="s">
        <v>326</v>
      </c>
      <c r="G876" s="3" t="s">
        <v>27</v>
      </c>
      <c r="H876" s="2" t="s">
        <v>72</v>
      </c>
      <c r="I876" s="2" t="s">
        <v>2410</v>
      </c>
      <c r="J876" s="3" t="str">
        <f>HYPERLINK("https://www.boe.es/gazeta/dias/1815/01/05/pdfs/GMD-1815-2.pdf#page=6","Abrir facsímil")</f>
        <v>Abrir facsímil</v>
      </c>
      <c r="K876" s="3" t="s">
        <v>74</v>
      </c>
    </row>
    <row r="877" spans="1:11" ht="42" customHeight="1">
      <c r="A877" s="2" t="s">
        <v>2411</v>
      </c>
      <c r="B877" s="2" t="s">
        <v>2412</v>
      </c>
      <c r="C877" s="2" t="s">
        <v>195</v>
      </c>
      <c r="D877" s="2" t="s">
        <v>50</v>
      </c>
      <c r="E877" s="5">
        <v>-31038</v>
      </c>
      <c r="F877" s="3" t="s">
        <v>395</v>
      </c>
      <c r="G877" s="3" t="s">
        <v>71</v>
      </c>
      <c r="H877" s="2" t="s">
        <v>72</v>
      </c>
      <c r="I877" s="2" t="s">
        <v>2413</v>
      </c>
      <c r="J877" s="3" t="str">
        <f>HYPERLINK("https://www.boe.es/gazeta/dias/1815/01/07/pdfs/GMD-1815-3.pdf#page=7","Abrir facsímil")</f>
        <v>Abrir facsímil</v>
      </c>
      <c r="K877" s="3" t="s">
        <v>74</v>
      </c>
    </row>
    <row r="878" spans="1:11" ht="42" customHeight="1">
      <c r="A878" s="2" t="s">
        <v>2414</v>
      </c>
      <c r="B878" s="2" t="s">
        <v>2415</v>
      </c>
      <c r="C878" s="2" t="s">
        <v>61</v>
      </c>
      <c r="D878" s="2" t="s">
        <v>50</v>
      </c>
      <c r="E878" s="5">
        <v>-31038</v>
      </c>
      <c r="F878" s="3" t="s">
        <v>395</v>
      </c>
      <c r="G878" s="3" t="s">
        <v>27</v>
      </c>
      <c r="H878" s="2" t="s">
        <v>72</v>
      </c>
      <c r="I878" s="2" t="s">
        <v>2416</v>
      </c>
      <c r="J878" s="3" t="str">
        <f>HYPERLINK("https://www.boe.es/gazeta/dias/1815/01/07/pdfs/GMD-1815-3.pdf#page=6","Abrir facsímil")</f>
        <v>Abrir facsímil</v>
      </c>
      <c r="K878" s="3" t="s">
        <v>74</v>
      </c>
    </row>
    <row r="879" spans="1:11" ht="42" customHeight="1">
      <c r="A879" s="2" t="s">
        <v>2417</v>
      </c>
      <c r="B879" s="2" t="s">
        <v>2418</v>
      </c>
      <c r="C879" s="2" t="s">
        <v>81</v>
      </c>
      <c r="D879" s="2" t="s">
        <v>50</v>
      </c>
      <c r="E879" s="5">
        <v>-30835</v>
      </c>
      <c r="F879" s="3" t="s">
        <v>544</v>
      </c>
      <c r="G879" s="3" t="s">
        <v>276</v>
      </c>
      <c r="H879" s="2" t="s">
        <v>72</v>
      </c>
      <c r="I879" s="2" t="s">
        <v>2419</v>
      </c>
      <c r="J879" s="3" t="str">
        <f>HYPERLINK("https://www.boe.es/gazeta/dias/1815/07/29/pdfs/GMD-1815-93.pdf#page=12","Abrir facsímil")</f>
        <v>Abrir facsímil</v>
      </c>
      <c r="K879" s="3" t="s">
        <v>74</v>
      </c>
    </row>
    <row r="880" spans="1:11" ht="42" customHeight="1">
      <c r="A880" s="2" t="s">
        <v>2420</v>
      </c>
      <c r="B880" s="2" t="s">
        <v>2421</v>
      </c>
      <c r="C880" s="2" t="s">
        <v>49</v>
      </c>
      <c r="D880" s="2" t="s">
        <v>50</v>
      </c>
      <c r="E880" s="5">
        <v>-30951</v>
      </c>
      <c r="F880" s="3" t="s">
        <v>87</v>
      </c>
      <c r="G880" s="3" t="s">
        <v>27</v>
      </c>
      <c r="H880" s="2" t="s">
        <v>72</v>
      </c>
      <c r="I880" s="2" t="s">
        <v>2422</v>
      </c>
      <c r="J880" s="3" t="str">
        <f>HYPERLINK("https://www.boe.es/gazeta/dias/1815/04/04/pdfs/GMD-1815-41.pdf#page=6","Abrir facsímil")</f>
        <v>Abrir facsímil</v>
      </c>
      <c r="K880" s="3" t="s">
        <v>74</v>
      </c>
    </row>
    <row r="881" spans="1:11" ht="42" customHeight="1">
      <c r="A881" s="2" t="s">
        <v>2423</v>
      </c>
      <c r="B881" s="2" t="s">
        <v>2424</v>
      </c>
      <c r="C881" s="2" t="s">
        <v>49</v>
      </c>
      <c r="D881" s="2" t="s">
        <v>50</v>
      </c>
      <c r="E881" s="5">
        <v>-30916</v>
      </c>
      <c r="F881" s="3" t="s">
        <v>147</v>
      </c>
      <c r="G881" s="3" t="s">
        <v>2425</v>
      </c>
      <c r="H881" s="2" t="s">
        <v>72</v>
      </c>
      <c r="I881" s="2" t="s">
        <v>2426</v>
      </c>
      <c r="J881" s="3" t="str">
        <f>HYPERLINK("https://www.boe.es/gazeta/dias/1815/05/09/pdfs/GMD-1815-56.pdf#page=6","Abrir facsímil")</f>
        <v>Abrir facsímil</v>
      </c>
      <c r="K881" s="3" t="s">
        <v>74</v>
      </c>
    </row>
    <row r="882" spans="1:11" ht="42" customHeight="1">
      <c r="A882" s="2" t="s">
        <v>2427</v>
      </c>
      <c r="B882" s="2" t="s">
        <v>2428</v>
      </c>
      <c r="C882" s="2" t="s">
        <v>31</v>
      </c>
      <c r="D882" s="2" t="s">
        <v>32</v>
      </c>
      <c r="E882" s="5">
        <v>-31028</v>
      </c>
      <c r="F882" s="3" t="s">
        <v>517</v>
      </c>
      <c r="G882" s="3" t="s">
        <v>276</v>
      </c>
      <c r="H882" s="2" t="s">
        <v>72</v>
      </c>
      <c r="I882" s="2" t="s">
        <v>2429</v>
      </c>
      <c r="J882" s="3" t="str">
        <f>HYPERLINK("https://www.boe.es/gazeta/dias/1815/01/17/pdfs/GMD-1815-7.pdf#page=12","Abrir facsímil")</f>
        <v>Abrir facsímil</v>
      </c>
      <c r="K882" s="3" t="s">
        <v>74</v>
      </c>
    </row>
    <row r="883" spans="1:11" ht="42" customHeight="1">
      <c r="A883" s="2" t="s">
        <v>2430</v>
      </c>
      <c r="B883" s="2" t="s">
        <v>2431</v>
      </c>
      <c r="C883" s="2" t="s">
        <v>31</v>
      </c>
      <c r="D883" s="2" t="s">
        <v>32</v>
      </c>
      <c r="E883" s="5">
        <v>-30940</v>
      </c>
      <c r="F883" s="3" t="s">
        <v>610</v>
      </c>
      <c r="G883" s="3" t="s">
        <v>38</v>
      </c>
      <c r="H883" s="2" t="s">
        <v>72</v>
      </c>
      <c r="I883" s="2" t="s">
        <v>2432</v>
      </c>
      <c r="J883" s="3" t="str">
        <f>HYPERLINK("https://www.boe.es/gazeta/dias/1815/04/15/pdfs/GMD-1815-46.pdf#page=8","Abrir facsímil")</f>
        <v>Abrir facsímil</v>
      </c>
      <c r="K883" s="3" t="s">
        <v>74</v>
      </c>
    </row>
    <row r="884" spans="1:11" ht="42" customHeight="1">
      <c r="A884" s="2" t="s">
        <v>2433</v>
      </c>
      <c r="B884" s="2" t="s">
        <v>2434</v>
      </c>
      <c r="C884" s="2" t="s">
        <v>195</v>
      </c>
      <c r="D884" s="2" t="s">
        <v>50</v>
      </c>
      <c r="E884" s="5">
        <v>-30874</v>
      </c>
      <c r="F884" s="3" t="s">
        <v>208</v>
      </c>
      <c r="G884" s="3" t="s">
        <v>71</v>
      </c>
      <c r="H884" s="2" t="s">
        <v>72</v>
      </c>
      <c r="I884" s="2" t="s">
        <v>2435</v>
      </c>
      <c r="J884" s="3" t="str">
        <f>HYPERLINK("https://www.boe.es/gazeta/dias/1815/06/20/pdfs/GMD-1815-74.pdf#page=7","Abrir facsímil")</f>
        <v>Abrir facsímil</v>
      </c>
      <c r="K884" s="3" t="s">
        <v>74</v>
      </c>
    </row>
    <row r="885" spans="1:11" ht="42" customHeight="1">
      <c r="A885" s="2" t="s">
        <v>2436</v>
      </c>
      <c r="B885" s="2" t="s">
        <v>2437</v>
      </c>
      <c r="C885" s="2" t="s">
        <v>17</v>
      </c>
      <c r="D885" s="2" t="s">
        <v>18</v>
      </c>
      <c r="E885" s="5">
        <v>-30884</v>
      </c>
      <c r="F885" s="3" t="s">
        <v>136</v>
      </c>
      <c r="G885" s="3" t="s">
        <v>38</v>
      </c>
      <c r="H885" s="2" t="s">
        <v>72</v>
      </c>
      <c r="I885" s="2" t="s">
        <v>2438</v>
      </c>
      <c r="J885" s="3" t="str">
        <f>HYPERLINK("https://www.boe.es/gazeta/dias/1815/06/10/pdfs/GMD-1815-70.pdf#page=8","Abrir facsímil")</f>
        <v>Abrir facsímil</v>
      </c>
      <c r="K885" s="3" t="s">
        <v>74</v>
      </c>
    </row>
    <row r="886" spans="1:11" ht="42" customHeight="1">
      <c r="A886" s="2" t="s">
        <v>2439</v>
      </c>
      <c r="B886" s="2" t="s">
        <v>2440</v>
      </c>
      <c r="C886" s="2" t="s">
        <v>17</v>
      </c>
      <c r="D886" s="2" t="s">
        <v>18</v>
      </c>
      <c r="E886" s="5">
        <v>-30989</v>
      </c>
      <c r="F886" s="3" t="s">
        <v>2441</v>
      </c>
      <c r="G886" s="3" t="s">
        <v>97</v>
      </c>
      <c r="H886" s="2" t="s">
        <v>72</v>
      </c>
      <c r="I886" s="2" t="s">
        <v>2442</v>
      </c>
      <c r="J886" s="3" t="str">
        <f>HYPERLINK("https://www.boe.es/gazeta/dias/1815/02/25/pdfs/GMD-1815-24.pdf#page=3","Abrir facsímil")</f>
        <v>Abrir facsímil</v>
      </c>
      <c r="K886" s="3" t="s">
        <v>74</v>
      </c>
    </row>
    <row r="887" spans="1:11" ht="42" customHeight="1">
      <c r="A887" s="2" t="s">
        <v>2443</v>
      </c>
      <c r="B887" s="2" t="s">
        <v>2444</v>
      </c>
      <c r="C887" s="2" t="s">
        <v>31</v>
      </c>
      <c r="D887" s="2" t="s">
        <v>32</v>
      </c>
      <c r="E887" s="5">
        <v>-31038</v>
      </c>
      <c r="F887" s="3" t="s">
        <v>395</v>
      </c>
      <c r="G887" s="3" t="s">
        <v>20</v>
      </c>
      <c r="H887" s="2" t="s">
        <v>72</v>
      </c>
      <c r="I887" s="2" t="s">
        <v>2445</v>
      </c>
      <c r="J887" s="3" t="str">
        <f>HYPERLINK("https://www.boe.es/gazeta/dias/1815/01/07/pdfs/GMD-1815-3.pdf#page=4","Abrir facsímil")</f>
        <v>Abrir facsímil</v>
      </c>
      <c r="K887" s="3" t="s">
        <v>74</v>
      </c>
    </row>
    <row r="888" spans="1:11" ht="42" customHeight="1">
      <c r="A888" s="2" t="s">
        <v>2446</v>
      </c>
      <c r="B888" s="2" t="s">
        <v>2447</v>
      </c>
      <c r="C888" s="2" t="s">
        <v>894</v>
      </c>
      <c r="D888" s="2" t="s">
        <v>18</v>
      </c>
      <c r="E888" s="5">
        <v>-30739</v>
      </c>
      <c r="F888" s="3" t="s">
        <v>254</v>
      </c>
      <c r="G888" s="3" t="s">
        <v>88</v>
      </c>
      <c r="H888" s="2" t="s">
        <v>72</v>
      </c>
      <c r="I888" s="2" t="s">
        <v>2448</v>
      </c>
      <c r="J888" s="3" t="str">
        <f>HYPERLINK("https://www.boe.es/gazeta/dias/1815/11/02/pdfs/GMD-1815-137.pdf#page=10","Abrir facsímil")</f>
        <v>Abrir facsímil</v>
      </c>
      <c r="K888" s="3" t="s">
        <v>74</v>
      </c>
    </row>
    <row r="889" spans="1:11" ht="42" customHeight="1">
      <c r="A889" s="2" t="s">
        <v>2449</v>
      </c>
      <c r="B889" s="2" t="s">
        <v>2450</v>
      </c>
      <c r="C889" s="2" t="s">
        <v>49</v>
      </c>
      <c r="D889" s="2" t="s">
        <v>50</v>
      </c>
      <c r="E889" s="5">
        <v>-30881</v>
      </c>
      <c r="F889" s="3" t="s">
        <v>446</v>
      </c>
      <c r="G889" s="3" t="s">
        <v>276</v>
      </c>
      <c r="H889" s="2" t="s">
        <v>72</v>
      </c>
      <c r="I889" s="2" t="s">
        <v>2451</v>
      </c>
      <c r="J889" s="3" t="str">
        <f>HYPERLINK("https://www.boe.es/gazeta/dias/1815/06/13/pdfs/GMD-1815-71.pdf#page=12","Abrir facsímil")</f>
        <v>Abrir facsímil</v>
      </c>
      <c r="K889" s="3" t="s">
        <v>74</v>
      </c>
    </row>
    <row r="890" spans="1:11" ht="42" customHeight="1">
      <c r="A890" s="2" t="s">
        <v>2452</v>
      </c>
      <c r="B890" s="2" t="s">
        <v>2453</v>
      </c>
      <c r="C890" s="2" t="s">
        <v>49</v>
      </c>
      <c r="D890" s="2" t="s">
        <v>50</v>
      </c>
      <c r="E890" s="5">
        <v>-30886</v>
      </c>
      <c r="F890" s="3" t="s">
        <v>140</v>
      </c>
      <c r="G890" s="3" t="s">
        <v>88</v>
      </c>
      <c r="H890" s="2" t="s">
        <v>72</v>
      </c>
      <c r="I890" s="2" t="s">
        <v>2454</v>
      </c>
      <c r="J890" s="3" t="str">
        <f>HYPERLINK("https://www.boe.es/gazeta/dias/1815/06/08/pdfs/GMD-1815-69.pdf#page=10","Abrir facsímil")</f>
        <v>Abrir facsímil</v>
      </c>
      <c r="K890" s="3" t="s">
        <v>74</v>
      </c>
    </row>
    <row r="891" spans="1:11" ht="42" customHeight="1">
      <c r="A891" s="2" t="s">
        <v>2455</v>
      </c>
      <c r="B891" s="2" t="s">
        <v>2456</v>
      </c>
      <c r="C891" s="2" t="s">
        <v>81</v>
      </c>
      <c r="D891" s="2" t="s">
        <v>50</v>
      </c>
      <c r="E891" s="5">
        <v>-30825</v>
      </c>
      <c r="F891" s="3" t="s">
        <v>669</v>
      </c>
      <c r="G891" s="3" t="s">
        <v>52</v>
      </c>
      <c r="H891" s="2" t="s">
        <v>72</v>
      </c>
      <c r="I891" s="2" t="s">
        <v>2457</v>
      </c>
      <c r="J891" s="3" t="str">
        <f>HYPERLINK("https://www.boe.es/gazeta/dias/1815/08/08/pdfs/GMD-1815-97.pdf#page=11","Abrir facsímil")</f>
        <v>Abrir facsímil</v>
      </c>
      <c r="K891" s="3" t="s">
        <v>74</v>
      </c>
    </row>
    <row r="892" spans="1:11" ht="42" customHeight="1">
      <c r="A892" s="2" t="s">
        <v>2458</v>
      </c>
      <c r="B892" s="2" t="s">
        <v>2459</v>
      </c>
      <c r="C892" s="2" t="s">
        <v>49</v>
      </c>
      <c r="D892" s="2" t="s">
        <v>50</v>
      </c>
      <c r="E892" s="5">
        <v>-31007</v>
      </c>
      <c r="F892" s="3" t="s">
        <v>200</v>
      </c>
      <c r="G892" s="3" t="s">
        <v>52</v>
      </c>
      <c r="H892" s="2" t="s">
        <v>72</v>
      </c>
      <c r="I892" s="2" t="s">
        <v>2460</v>
      </c>
      <c r="J892" s="3" t="str">
        <f>HYPERLINK("https://www.boe.es/gazeta/dias/1815/02/07/pdfs/GMD-1815-16.pdf#page=11","Abrir facsímil")</f>
        <v>Abrir facsímil</v>
      </c>
      <c r="K892" s="3" t="s">
        <v>74</v>
      </c>
    </row>
    <row r="893" spans="1:11" ht="42" customHeight="1">
      <c r="A893" s="2" t="s">
        <v>2461</v>
      </c>
      <c r="B893" s="2" t="s">
        <v>2462</v>
      </c>
      <c r="C893" s="2" t="s">
        <v>49</v>
      </c>
      <c r="D893" s="2" t="s">
        <v>50</v>
      </c>
      <c r="E893" s="5">
        <v>-30825</v>
      </c>
      <c r="F893" s="3" t="s">
        <v>669</v>
      </c>
      <c r="G893" s="3" t="s">
        <v>88</v>
      </c>
      <c r="H893" s="2" t="s">
        <v>72</v>
      </c>
      <c r="I893" s="2" t="s">
        <v>2463</v>
      </c>
      <c r="J893" s="3" t="str">
        <f>HYPERLINK("https://www.boe.es/gazeta/dias/1815/08/08/pdfs/GMD-1815-97.pdf#page=10","Abrir facsímil")</f>
        <v>Abrir facsímil</v>
      </c>
      <c r="K893" s="3" t="s">
        <v>74</v>
      </c>
    </row>
    <row r="894" spans="1:11" ht="42" customHeight="1">
      <c r="A894" s="2" t="s">
        <v>2464</v>
      </c>
      <c r="B894" s="2" t="s">
        <v>2465</v>
      </c>
      <c r="C894" s="2" t="s">
        <v>61</v>
      </c>
      <c r="D894" s="2" t="s">
        <v>50</v>
      </c>
      <c r="E894" s="5">
        <v>-30720</v>
      </c>
      <c r="F894" s="3" t="s">
        <v>373</v>
      </c>
      <c r="G894" s="3" t="s">
        <v>88</v>
      </c>
      <c r="H894" s="2" t="s">
        <v>72</v>
      </c>
      <c r="I894" s="2" t="s">
        <v>2466</v>
      </c>
      <c r="J894" s="3" t="str">
        <f>HYPERLINK("https://www.boe.es/gazeta/dias/1815/11/21/pdfs/GMD-1815-145.pdf#page=10","Abrir facsímil")</f>
        <v>Abrir facsímil</v>
      </c>
      <c r="K894" s="3" t="s">
        <v>74</v>
      </c>
    </row>
    <row r="895" spans="1:11" ht="42" customHeight="1">
      <c r="A895" s="2" t="s">
        <v>2467</v>
      </c>
      <c r="B895" s="2" t="s">
        <v>2468</v>
      </c>
      <c r="C895" s="2" t="s">
        <v>31</v>
      </c>
      <c r="D895" s="2" t="s">
        <v>32</v>
      </c>
      <c r="E895" s="5">
        <v>-30870</v>
      </c>
      <c r="F895" s="3" t="s">
        <v>122</v>
      </c>
      <c r="G895" s="3" t="s">
        <v>276</v>
      </c>
      <c r="H895" s="2" t="s">
        <v>72</v>
      </c>
      <c r="I895" s="2" t="s">
        <v>2469</v>
      </c>
      <c r="J895" s="3" t="str">
        <f>HYPERLINK("https://www.boe.es/gazeta/dias/1815/06/24/pdfs/GMD-1815-76.pdf#page=12","Abrir facsímil")</f>
        <v>Abrir facsímil</v>
      </c>
      <c r="K895" s="3" t="s">
        <v>74</v>
      </c>
    </row>
    <row r="896" spans="1:11" ht="42" customHeight="1">
      <c r="A896" s="2" t="s">
        <v>2470</v>
      </c>
      <c r="B896" s="2" t="s">
        <v>2471</v>
      </c>
      <c r="C896" s="2" t="s">
        <v>195</v>
      </c>
      <c r="D896" s="2" t="s">
        <v>50</v>
      </c>
      <c r="E896" s="5">
        <v>-30769</v>
      </c>
      <c r="F896" s="3" t="s">
        <v>1641</v>
      </c>
      <c r="G896" s="3" t="s">
        <v>38</v>
      </c>
      <c r="H896" s="2" t="s">
        <v>72</v>
      </c>
      <c r="I896" s="2" t="s">
        <v>2472</v>
      </c>
      <c r="J896" s="3" t="str">
        <f>HYPERLINK("https://www.boe.es/gazeta/dias/1815/10/03/pdfs/GMD-1815-124.pdf#page=8","Abrir facsímil")</f>
        <v>Abrir facsímil</v>
      </c>
      <c r="K896" s="3" t="s">
        <v>74</v>
      </c>
    </row>
    <row r="897" spans="1:11" ht="42" customHeight="1">
      <c r="A897" s="2" t="s">
        <v>2473</v>
      </c>
      <c r="B897" s="2" t="s">
        <v>2474</v>
      </c>
      <c r="C897" s="2" t="s">
        <v>49</v>
      </c>
      <c r="D897" s="2" t="s">
        <v>50</v>
      </c>
      <c r="E897" s="5">
        <v>-30977</v>
      </c>
      <c r="F897" s="3" t="s">
        <v>37</v>
      </c>
      <c r="G897" s="3" t="s">
        <v>71</v>
      </c>
      <c r="H897" s="2" t="s">
        <v>72</v>
      </c>
      <c r="I897" s="2" t="s">
        <v>2475</v>
      </c>
      <c r="J897" s="3" t="str">
        <f>HYPERLINK("https://www.boe.es/gazeta/dias/1815/03/09/pdfs/GMD-1815-29.pdf#page=7","Abrir facsímil")</f>
        <v>Abrir facsímil</v>
      </c>
      <c r="K897" s="3" t="s">
        <v>74</v>
      </c>
    </row>
    <row r="898" spans="1:11" ht="42" customHeight="1">
      <c r="A898" s="2" t="s">
        <v>2476</v>
      </c>
      <c r="B898" s="2" t="s">
        <v>2477</v>
      </c>
      <c r="C898" s="2" t="s">
        <v>31</v>
      </c>
      <c r="D898" s="2" t="s">
        <v>32</v>
      </c>
      <c r="E898" s="5">
        <v>-30706</v>
      </c>
      <c r="F898" s="3" t="s">
        <v>2478</v>
      </c>
      <c r="G898" s="3" t="s">
        <v>38</v>
      </c>
      <c r="H898" s="2" t="s">
        <v>72</v>
      </c>
      <c r="I898" s="2" t="s">
        <v>2479</v>
      </c>
      <c r="J898" s="3" t="str">
        <f>HYPERLINK("https://www.boe.es/gazeta/dias/1815/12/05/pdfs/GMD-1815-151.pdf#page=8","Abrir facsímil")</f>
        <v>Abrir facsímil</v>
      </c>
      <c r="K898" s="3" t="s">
        <v>74</v>
      </c>
    </row>
    <row r="899" spans="1:11" ht="42" customHeight="1">
      <c r="A899" s="2" t="s">
        <v>2480</v>
      </c>
      <c r="B899" s="2" t="s">
        <v>2481</v>
      </c>
      <c r="C899" s="2" t="s">
        <v>31</v>
      </c>
      <c r="D899" s="2" t="s">
        <v>32</v>
      </c>
      <c r="E899" s="5">
        <v>-30863</v>
      </c>
      <c r="F899" s="3" t="s">
        <v>110</v>
      </c>
      <c r="G899" s="3" t="s">
        <v>88</v>
      </c>
      <c r="H899" s="2" t="s">
        <v>72</v>
      </c>
      <c r="I899" s="2" t="s">
        <v>2482</v>
      </c>
      <c r="J899" s="3" t="str">
        <f>HYPERLINK("https://www.boe.es/gazeta/dias/1815/07/01/pdfs/GMD-1815-79.pdf#page=10","Abrir facsímil")</f>
        <v>Abrir facsímil</v>
      </c>
      <c r="K899" s="3" t="s">
        <v>74</v>
      </c>
    </row>
    <row r="900" spans="1:11" ht="42" customHeight="1">
      <c r="A900" s="2" t="s">
        <v>2483</v>
      </c>
      <c r="B900" s="2" t="s">
        <v>2484</v>
      </c>
      <c r="C900" s="2" t="s">
        <v>31</v>
      </c>
      <c r="D900" s="2" t="s">
        <v>32</v>
      </c>
      <c r="E900" s="5">
        <v>-30818</v>
      </c>
      <c r="F900" s="3" t="s">
        <v>334</v>
      </c>
      <c r="G900" s="3" t="s">
        <v>224</v>
      </c>
      <c r="H900" s="2" t="s">
        <v>72</v>
      </c>
      <c r="I900" s="2" t="s">
        <v>2485</v>
      </c>
      <c r="J900" s="3" t="str">
        <f>HYPERLINK("https://www.boe.es/gazeta/dias/1815/08/15/pdfs/GMD-1815-100.pdf#page=9","Abrir facsímil")</f>
        <v>Abrir facsímil</v>
      </c>
      <c r="K900" s="3" t="s">
        <v>74</v>
      </c>
    </row>
    <row r="901" spans="1:11" ht="42" customHeight="1">
      <c r="A901" s="2" t="s">
        <v>2486</v>
      </c>
      <c r="B901" s="2" t="s">
        <v>2487</v>
      </c>
      <c r="C901" s="2" t="s">
        <v>195</v>
      </c>
      <c r="D901" s="2" t="s">
        <v>50</v>
      </c>
      <c r="E901" s="5">
        <v>-30872</v>
      </c>
      <c r="F901" s="3" t="s">
        <v>167</v>
      </c>
      <c r="G901" s="3" t="s">
        <v>224</v>
      </c>
      <c r="H901" s="2" t="s">
        <v>72</v>
      </c>
      <c r="I901" s="2" t="s">
        <v>2488</v>
      </c>
      <c r="J901" s="3" t="str">
        <f>HYPERLINK("https://www.boe.es/gazeta/dias/1815/06/22/pdfs/GMD-1815-75.pdf#page=9","Abrir facsímil")</f>
        <v>Abrir facsímil</v>
      </c>
      <c r="K901" s="3" t="s">
        <v>74</v>
      </c>
    </row>
    <row r="902" spans="1:11" ht="42" customHeight="1">
      <c r="A902" s="2" t="s">
        <v>2489</v>
      </c>
      <c r="B902" s="2" t="s">
        <v>2490</v>
      </c>
      <c r="C902" s="2" t="s">
        <v>17</v>
      </c>
      <c r="D902" s="2" t="s">
        <v>18</v>
      </c>
      <c r="E902" s="5">
        <v>-30709</v>
      </c>
      <c r="F902" s="3" t="s">
        <v>314</v>
      </c>
      <c r="G902" s="3" t="s">
        <v>71</v>
      </c>
      <c r="H902" s="2" t="s">
        <v>21</v>
      </c>
      <c r="I902" s="2" t="s">
        <v>2491</v>
      </c>
      <c r="J902" s="3" t="str">
        <f>HYPERLINK("https://www.boe.es/gazeta/dias/1815/12/02/pdfs/GMD-1815-150.pdf#page=7","Abrir facsímil")</f>
        <v>Abrir facsímil</v>
      </c>
      <c r="K902" s="3" t="s">
        <v>23</v>
      </c>
    </row>
    <row r="903" spans="1:11" ht="42" customHeight="1">
      <c r="A903" s="2" t="s">
        <v>2492</v>
      </c>
      <c r="B903" s="2" t="s">
        <v>2493</v>
      </c>
      <c r="C903" s="2" t="s">
        <v>17</v>
      </c>
      <c r="D903" s="2" t="s">
        <v>18</v>
      </c>
      <c r="E903" s="5">
        <v>-30944</v>
      </c>
      <c r="F903" s="3" t="s">
        <v>412</v>
      </c>
      <c r="G903" s="3" t="s">
        <v>27</v>
      </c>
      <c r="H903" s="2" t="s">
        <v>72</v>
      </c>
      <c r="I903" s="2" t="s">
        <v>2494</v>
      </c>
      <c r="J903" s="3" t="str">
        <f>HYPERLINK("https://www.boe.es/gazeta/dias/1815/04/11/pdfs/GMD-1815-44.pdf#page=6","Abrir facsímil")</f>
        <v>Abrir facsímil</v>
      </c>
      <c r="K903" s="3" t="s">
        <v>74</v>
      </c>
    </row>
    <row r="904" spans="1:11" ht="42" customHeight="1">
      <c r="A904" s="2" t="s">
        <v>2495</v>
      </c>
      <c r="B904" s="2" t="s">
        <v>2496</v>
      </c>
      <c r="C904" s="2" t="s">
        <v>31</v>
      </c>
      <c r="D904" s="2" t="s">
        <v>32</v>
      </c>
      <c r="E904" s="5">
        <v>-30872</v>
      </c>
      <c r="F904" s="3" t="s">
        <v>167</v>
      </c>
      <c r="G904" s="3" t="s">
        <v>224</v>
      </c>
      <c r="H904" s="2" t="s">
        <v>72</v>
      </c>
      <c r="I904" s="2" t="s">
        <v>2497</v>
      </c>
      <c r="J904" s="3" t="str">
        <f>HYPERLINK("https://www.boe.es/gazeta/dias/1815/06/22/pdfs/GMD-1815-75.pdf#page=9","Abrir facsímil")</f>
        <v>Abrir facsímil</v>
      </c>
      <c r="K904" s="3" t="s">
        <v>74</v>
      </c>
    </row>
    <row r="905" spans="1:11" ht="42" customHeight="1">
      <c r="A905" s="2" t="s">
        <v>2498</v>
      </c>
      <c r="B905" s="2" t="s">
        <v>2499</v>
      </c>
      <c r="C905" s="2" t="s">
        <v>49</v>
      </c>
      <c r="D905" s="2" t="s">
        <v>50</v>
      </c>
      <c r="E905" s="5">
        <v>-30870</v>
      </c>
      <c r="F905" s="3" t="s">
        <v>122</v>
      </c>
      <c r="G905" s="3" t="s">
        <v>224</v>
      </c>
      <c r="H905" s="2" t="s">
        <v>72</v>
      </c>
      <c r="I905" s="2" t="s">
        <v>2500</v>
      </c>
      <c r="J905" s="3" t="str">
        <f>HYPERLINK("https://www.boe.es/gazeta/dias/1815/06/24/pdfs/GMD-1815-76.pdf#page=9","Abrir facsímil")</f>
        <v>Abrir facsímil</v>
      </c>
      <c r="K905" s="3" t="s">
        <v>74</v>
      </c>
    </row>
    <row r="906" spans="1:11" ht="42" customHeight="1">
      <c r="A906" s="2" t="s">
        <v>2501</v>
      </c>
      <c r="B906" s="2" t="s">
        <v>2502</v>
      </c>
      <c r="C906" s="2" t="s">
        <v>131</v>
      </c>
      <c r="D906" s="2" t="s">
        <v>50</v>
      </c>
      <c r="E906" s="5">
        <v>-30965</v>
      </c>
      <c r="F906" s="3" t="s">
        <v>1679</v>
      </c>
      <c r="G906" s="3" t="s">
        <v>38</v>
      </c>
      <c r="H906" s="2" t="s">
        <v>72</v>
      </c>
      <c r="I906" s="2" t="s">
        <v>2503</v>
      </c>
      <c r="J906" s="3" t="str">
        <f>HYPERLINK("https://www.boe.es/gazeta/dias/1815/03/21/pdfs/GMD-1815-34.pdf#page=8","Abrir facsímil")</f>
        <v>Abrir facsímil</v>
      </c>
      <c r="K906" s="3" t="s">
        <v>74</v>
      </c>
    </row>
    <row r="907" spans="1:11" ht="42" customHeight="1">
      <c r="A907" s="2" t="s">
        <v>2504</v>
      </c>
      <c r="B907" s="2" t="s">
        <v>2505</v>
      </c>
      <c r="C907" s="2" t="s">
        <v>49</v>
      </c>
      <c r="D907" s="2" t="s">
        <v>50</v>
      </c>
      <c r="E907" s="5">
        <v>-31040</v>
      </c>
      <c r="F907" s="3" t="s">
        <v>326</v>
      </c>
      <c r="G907" s="3" t="s">
        <v>27</v>
      </c>
      <c r="H907" s="2" t="s">
        <v>72</v>
      </c>
      <c r="I907" s="2" t="s">
        <v>2506</v>
      </c>
      <c r="J907" s="3" t="str">
        <f>HYPERLINK("https://www.boe.es/gazeta/dias/1815/01/05/pdfs/GMD-1815-2.pdf#page=6","Abrir facsímil")</f>
        <v>Abrir facsímil</v>
      </c>
      <c r="K907" s="3" t="s">
        <v>74</v>
      </c>
    </row>
    <row r="908" spans="1:11" ht="42" customHeight="1">
      <c r="A908" s="2" t="s">
        <v>2507</v>
      </c>
      <c r="B908" s="2" t="s">
        <v>2508</v>
      </c>
      <c r="C908" s="2" t="s">
        <v>31</v>
      </c>
      <c r="D908" s="2" t="s">
        <v>32</v>
      </c>
      <c r="E908" s="5">
        <v>-31038</v>
      </c>
      <c r="F908" s="3" t="s">
        <v>395</v>
      </c>
      <c r="G908" s="3" t="s">
        <v>396</v>
      </c>
      <c r="H908" s="2" t="s">
        <v>72</v>
      </c>
      <c r="I908" s="2" t="s">
        <v>2509</v>
      </c>
      <c r="J908" s="3" t="str">
        <f>HYPERLINK("https://www.boe.es/gazeta/dias/1815/01/07/pdfs/GMD-1815-3.pdf#page=5","Abrir facsímil")</f>
        <v>Abrir facsímil</v>
      </c>
      <c r="K908" s="3" t="s">
        <v>74</v>
      </c>
    </row>
    <row r="909" spans="1:11" ht="42" customHeight="1">
      <c r="A909" s="2" t="s">
        <v>2510</v>
      </c>
      <c r="B909" s="2" t="s">
        <v>2511</v>
      </c>
      <c r="C909" s="2" t="s">
        <v>31</v>
      </c>
      <c r="D909" s="2" t="s">
        <v>32</v>
      </c>
      <c r="E909" s="5">
        <v>-30839</v>
      </c>
      <c r="F909" s="3" t="s">
        <v>616</v>
      </c>
      <c r="G909" s="3" t="s">
        <v>27</v>
      </c>
      <c r="H909" s="2" t="s">
        <v>21</v>
      </c>
      <c r="I909" s="2" t="s">
        <v>2512</v>
      </c>
      <c r="J909" s="3" t="str">
        <f>HYPERLINK("https://www.boe.es/gazeta/dias/1815/07/25/pdfs/GMD-1815-91.pdf#page=6","Abrir facsímil")</f>
        <v>Abrir facsímil</v>
      </c>
      <c r="K909" s="3" t="s">
        <v>23</v>
      </c>
    </row>
    <row r="910" spans="1:11" ht="42" customHeight="1">
      <c r="A910" s="2" t="s">
        <v>2513</v>
      </c>
      <c r="B910" s="2" t="s">
        <v>2514</v>
      </c>
      <c r="C910" s="2" t="s">
        <v>31</v>
      </c>
      <c r="D910" s="2" t="s">
        <v>32</v>
      </c>
      <c r="E910" s="5">
        <v>-31038</v>
      </c>
      <c r="F910" s="3" t="s">
        <v>395</v>
      </c>
      <c r="G910" s="3" t="s">
        <v>396</v>
      </c>
      <c r="H910" s="2" t="s">
        <v>72</v>
      </c>
      <c r="I910" s="2" t="s">
        <v>2515</v>
      </c>
      <c r="J910" s="3" t="str">
        <f>HYPERLINK("https://www.boe.es/gazeta/dias/1815/01/07/pdfs/GMD-1815-3.pdf#page=5","Abrir facsímil")</f>
        <v>Abrir facsímil</v>
      </c>
      <c r="K910" s="3" t="s">
        <v>74</v>
      </c>
    </row>
    <row r="911" spans="1:11" ht="42" customHeight="1">
      <c r="A911" s="2" t="s">
        <v>2516</v>
      </c>
      <c r="B911" s="2" t="s">
        <v>2517</v>
      </c>
      <c r="C911" s="2" t="s">
        <v>31</v>
      </c>
      <c r="D911" s="2" t="s">
        <v>32</v>
      </c>
      <c r="E911" s="5">
        <v>-31038</v>
      </c>
      <c r="F911" s="3" t="s">
        <v>395</v>
      </c>
      <c r="G911" s="3" t="s">
        <v>396</v>
      </c>
      <c r="H911" s="2" t="s">
        <v>72</v>
      </c>
      <c r="I911" s="2" t="s">
        <v>2518</v>
      </c>
      <c r="J911" s="3" t="str">
        <f>HYPERLINK("https://www.boe.es/gazeta/dias/1815/01/07/pdfs/GMD-1815-3.pdf#page=5","Abrir facsímil")</f>
        <v>Abrir facsímil</v>
      </c>
      <c r="K911" s="3" t="s">
        <v>74</v>
      </c>
    </row>
    <row r="912" spans="1:11" ht="42" customHeight="1">
      <c r="A912" s="2" t="s">
        <v>2519</v>
      </c>
      <c r="B912" s="2" t="s">
        <v>2520</v>
      </c>
      <c r="C912" s="2" t="s">
        <v>17</v>
      </c>
      <c r="D912" s="2" t="s">
        <v>18</v>
      </c>
      <c r="E912" s="5">
        <v>-30709</v>
      </c>
      <c r="F912" s="3" t="s">
        <v>314</v>
      </c>
      <c r="G912" s="3" t="s">
        <v>71</v>
      </c>
      <c r="H912" s="2" t="s">
        <v>72</v>
      </c>
      <c r="I912" s="2" t="s">
        <v>2521</v>
      </c>
      <c r="J912" s="3" t="str">
        <f>HYPERLINK("https://www.boe.es/gazeta/dias/1815/12/02/pdfs/GMD-1815-150.pdf#page=7","Abrir facsímil")</f>
        <v>Abrir facsímil</v>
      </c>
      <c r="K912" s="3" t="s">
        <v>74</v>
      </c>
    </row>
    <row r="913" spans="1:11" ht="42" customHeight="1">
      <c r="A913" s="2" t="s">
        <v>2522</v>
      </c>
      <c r="B913" s="2" t="s">
        <v>2522</v>
      </c>
      <c r="C913" s="2" t="s">
        <v>17</v>
      </c>
      <c r="D913" s="2" t="s">
        <v>18</v>
      </c>
      <c r="E913" s="5">
        <v>-31042</v>
      </c>
      <c r="F913" s="3" t="s">
        <v>512</v>
      </c>
      <c r="G913" s="3" t="s">
        <v>20</v>
      </c>
      <c r="H913" s="2" t="s">
        <v>72</v>
      </c>
      <c r="I913" s="2" t="s">
        <v>2523</v>
      </c>
      <c r="J913" s="3" t="str">
        <f>HYPERLINK("https://www.boe.es/gazeta/dias/1815/01/03/pdfs/GMD-1815-1.pdf#page=4","Abrir facsímil")</f>
        <v>Abrir facsímil</v>
      </c>
      <c r="K913" s="3" t="s">
        <v>74</v>
      </c>
    </row>
    <row r="914" spans="1:11" ht="42" customHeight="1">
      <c r="A914" s="2" t="s">
        <v>2524</v>
      </c>
      <c r="B914" s="2" t="s">
        <v>2525</v>
      </c>
      <c r="C914" s="2" t="s">
        <v>31</v>
      </c>
      <c r="D914" s="2" t="s">
        <v>32</v>
      </c>
      <c r="E914" s="5">
        <v>-30863</v>
      </c>
      <c r="F914" s="3" t="s">
        <v>110</v>
      </c>
      <c r="G914" s="3" t="s">
        <v>88</v>
      </c>
      <c r="H914" s="2" t="s">
        <v>72</v>
      </c>
      <c r="I914" s="2" t="s">
        <v>2526</v>
      </c>
      <c r="J914" s="3" t="str">
        <f>HYPERLINK("https://www.boe.es/gazeta/dias/1815/07/01/pdfs/GMD-1815-79.pdf#page=10","Abrir facsímil")</f>
        <v>Abrir facsímil</v>
      </c>
      <c r="K914" s="3" t="s">
        <v>74</v>
      </c>
    </row>
    <row r="915" spans="1:11" ht="42" customHeight="1">
      <c r="A915" s="2" t="s">
        <v>2527</v>
      </c>
      <c r="B915" s="2" t="s">
        <v>2528</v>
      </c>
      <c r="C915" s="2" t="s">
        <v>49</v>
      </c>
      <c r="D915" s="2" t="s">
        <v>50</v>
      </c>
      <c r="E915" s="5">
        <v>-30767</v>
      </c>
      <c r="F915" s="3" t="s">
        <v>228</v>
      </c>
      <c r="G915" s="3" t="s">
        <v>88</v>
      </c>
      <c r="H915" s="2" t="s">
        <v>72</v>
      </c>
      <c r="I915" s="2" t="s">
        <v>2529</v>
      </c>
      <c r="J915" s="3" t="str">
        <f>HYPERLINK("https://www.boe.es/gazeta/dias/1815/10/05/pdfs/GMD-1815-125.pdf#page=10","Abrir facsímil")</f>
        <v>Abrir facsímil</v>
      </c>
      <c r="K915" s="3" t="s">
        <v>74</v>
      </c>
    </row>
    <row r="916" spans="1:11" ht="42" customHeight="1">
      <c r="A916" s="2" t="s">
        <v>2530</v>
      </c>
      <c r="B916" s="2" t="s">
        <v>2531</v>
      </c>
      <c r="C916" s="2" t="s">
        <v>31</v>
      </c>
      <c r="D916" s="2" t="s">
        <v>32</v>
      </c>
      <c r="E916" s="5">
        <v>-30958</v>
      </c>
      <c r="F916" s="3" t="s">
        <v>297</v>
      </c>
      <c r="G916" s="3" t="s">
        <v>71</v>
      </c>
      <c r="H916" s="2" t="s">
        <v>21</v>
      </c>
      <c r="I916" s="2" t="s">
        <v>2532</v>
      </c>
      <c r="J916" s="3" t="str">
        <f>HYPERLINK("https://www.boe.es/gazeta/dias/1815/03/28/pdfs/GMD-1815-37.pdf#page=7","Abrir facsímil")</f>
        <v>Abrir facsímil</v>
      </c>
      <c r="K916" s="3" t="s">
        <v>23</v>
      </c>
    </row>
    <row r="917" spans="1:11" ht="42" customHeight="1">
      <c r="A917" s="2" t="s">
        <v>2533</v>
      </c>
      <c r="B917" s="2" t="s">
        <v>2534</v>
      </c>
      <c r="C917" s="2" t="s">
        <v>17</v>
      </c>
      <c r="D917" s="2" t="s">
        <v>18</v>
      </c>
      <c r="E917" s="5">
        <v>-30713</v>
      </c>
      <c r="F917" s="3" t="s">
        <v>895</v>
      </c>
      <c r="G917" s="3" t="s">
        <v>71</v>
      </c>
      <c r="H917" s="2" t="s">
        <v>72</v>
      </c>
      <c r="I917" s="2" t="s">
        <v>2535</v>
      </c>
      <c r="J917" s="3" t="str">
        <f>HYPERLINK("https://www.boe.es/gazeta/dias/1815/11/28/pdfs/GMD-1815-148.pdf#page=7","Abrir facsímil")</f>
        <v>Abrir facsímil</v>
      </c>
      <c r="K917" s="3" t="s">
        <v>74</v>
      </c>
    </row>
    <row r="918" spans="1:11" ht="42" customHeight="1">
      <c r="A918" s="2" t="s">
        <v>2536</v>
      </c>
      <c r="B918" s="2" t="s">
        <v>2537</v>
      </c>
      <c r="C918" s="2" t="s">
        <v>17</v>
      </c>
      <c r="D918" s="2" t="s">
        <v>18</v>
      </c>
      <c r="E918" s="5">
        <v>-30804</v>
      </c>
      <c r="F918" s="3" t="s">
        <v>891</v>
      </c>
      <c r="G918" s="3" t="s">
        <v>38</v>
      </c>
      <c r="H918" s="2" t="s">
        <v>21</v>
      </c>
      <c r="I918" s="2" t="s">
        <v>2538</v>
      </c>
      <c r="J918" s="3" t="str">
        <f>HYPERLINK("https://www.boe.es/gazeta/dias/1815/08/29/pdfs/GMD-1815-106.pdf#page=8","Abrir facsímil")</f>
        <v>Abrir facsímil</v>
      </c>
      <c r="K918" s="3" t="s">
        <v>23</v>
      </c>
    </row>
    <row r="919" spans="1:11" ht="42" customHeight="1">
      <c r="A919" s="2" t="s">
        <v>2539</v>
      </c>
      <c r="B919" s="2" t="s">
        <v>2540</v>
      </c>
      <c r="C919" s="2" t="s">
        <v>31</v>
      </c>
      <c r="D919" s="2" t="s">
        <v>32</v>
      </c>
      <c r="E919" s="5">
        <v>-30872</v>
      </c>
      <c r="F919" s="3" t="s">
        <v>167</v>
      </c>
      <c r="G919" s="3" t="s">
        <v>342</v>
      </c>
      <c r="H919" s="2" t="s">
        <v>72</v>
      </c>
      <c r="I919" s="2" t="s">
        <v>2541</v>
      </c>
      <c r="J919" s="3" t="str">
        <f>HYPERLINK("https://www.boe.es/gazeta/dias/1815/06/22/pdfs/GMD-1815-75.pdf#page=8","Abrir facsímil")</f>
        <v>Abrir facsímil</v>
      </c>
      <c r="K919" s="3" t="s">
        <v>74</v>
      </c>
    </row>
    <row r="920" spans="1:11" ht="42" customHeight="1">
      <c r="A920" s="2" t="s">
        <v>2542</v>
      </c>
      <c r="B920" s="2" t="s">
        <v>2543</v>
      </c>
      <c r="C920" s="2" t="s">
        <v>31</v>
      </c>
      <c r="D920" s="2" t="s">
        <v>32</v>
      </c>
      <c r="E920" s="5">
        <v>-30958</v>
      </c>
      <c r="F920" s="3" t="s">
        <v>297</v>
      </c>
      <c r="G920" s="3" t="s">
        <v>57</v>
      </c>
      <c r="H920" s="2" t="s">
        <v>72</v>
      </c>
      <c r="I920" s="2" t="s">
        <v>2544</v>
      </c>
      <c r="J920" s="3" t="str">
        <f>HYPERLINK("https://www.boe.es/gazeta/dias/1815/03/28/pdfs/GMD-1815-37.pdf#page=5","Abrir facsímil")</f>
        <v>Abrir facsímil</v>
      </c>
      <c r="K920" s="3" t="s">
        <v>74</v>
      </c>
    </row>
    <row r="921" spans="1:11" ht="42" customHeight="1">
      <c r="A921" s="2" t="s">
        <v>2545</v>
      </c>
      <c r="B921" s="2" t="s">
        <v>2546</v>
      </c>
      <c r="C921" s="2" t="s">
        <v>17</v>
      </c>
      <c r="D921" s="2" t="s">
        <v>18</v>
      </c>
      <c r="E921" s="5">
        <v>-30881</v>
      </c>
      <c r="F921" s="3" t="s">
        <v>446</v>
      </c>
      <c r="G921" s="3" t="s">
        <v>38</v>
      </c>
      <c r="H921" s="2" t="s">
        <v>72</v>
      </c>
      <c r="I921" s="2" t="s">
        <v>2547</v>
      </c>
      <c r="J921" s="3" t="str">
        <f>HYPERLINK("https://www.boe.es/gazeta/dias/1815/06/13/pdfs/GMD-1815-71.pdf#page=8","Abrir facsímil")</f>
        <v>Abrir facsímil</v>
      </c>
      <c r="K921" s="3" t="s">
        <v>74</v>
      </c>
    </row>
    <row r="922" spans="1:11" ht="42" customHeight="1">
      <c r="A922" s="2" t="s">
        <v>2548</v>
      </c>
      <c r="B922" s="2" t="s">
        <v>2549</v>
      </c>
      <c r="C922" s="2" t="s">
        <v>195</v>
      </c>
      <c r="D922" s="2" t="s">
        <v>50</v>
      </c>
      <c r="E922" s="5">
        <v>-30888</v>
      </c>
      <c r="F922" s="3" t="s">
        <v>368</v>
      </c>
      <c r="G922" s="3" t="s">
        <v>38</v>
      </c>
      <c r="H922" s="2" t="s">
        <v>72</v>
      </c>
      <c r="I922" s="2" t="s">
        <v>2550</v>
      </c>
      <c r="J922" s="3" t="str">
        <f>HYPERLINK("https://www.boe.es/gazeta/dias/1815/06/06/pdfs/GMD-1815-68.pdf#page=8","Abrir facsímil")</f>
        <v>Abrir facsímil</v>
      </c>
      <c r="K922" s="3" t="s">
        <v>74</v>
      </c>
    </row>
    <row r="923" spans="1:11" ht="42" customHeight="1">
      <c r="A923" s="2" t="s">
        <v>2551</v>
      </c>
      <c r="B923" s="2" t="s">
        <v>2552</v>
      </c>
      <c r="C923" s="2" t="s">
        <v>31</v>
      </c>
      <c r="D923" s="2" t="s">
        <v>32</v>
      </c>
      <c r="E923" s="5">
        <v>-30739</v>
      </c>
      <c r="F923" s="3" t="s">
        <v>254</v>
      </c>
      <c r="G923" s="3" t="s">
        <v>224</v>
      </c>
      <c r="H923" s="2" t="s">
        <v>72</v>
      </c>
      <c r="I923" s="2" t="s">
        <v>2553</v>
      </c>
      <c r="J923" s="3" t="str">
        <f>HYPERLINK("https://www.boe.es/gazeta/dias/1815/11/02/pdfs/GMD-1815-137.pdf#page=9","Abrir facsímil")</f>
        <v>Abrir facsímil</v>
      </c>
      <c r="K923" s="3" t="s">
        <v>74</v>
      </c>
    </row>
    <row r="924" spans="1:11" ht="42" customHeight="1">
      <c r="A924" s="2" t="s">
        <v>2554</v>
      </c>
      <c r="B924" s="2" t="s">
        <v>2555</v>
      </c>
      <c r="C924" s="2" t="s">
        <v>31</v>
      </c>
      <c r="D924" s="2" t="s">
        <v>32</v>
      </c>
      <c r="E924" s="5">
        <v>-30958</v>
      </c>
      <c r="F924" s="3" t="s">
        <v>297</v>
      </c>
      <c r="G924" s="3" t="s">
        <v>71</v>
      </c>
      <c r="H924" s="2" t="s">
        <v>72</v>
      </c>
      <c r="I924" s="2" t="s">
        <v>2556</v>
      </c>
      <c r="J924" s="3" t="str">
        <f>HYPERLINK("https://www.boe.es/gazeta/dias/1815/03/28/pdfs/GMD-1815-37.pdf#page=7","Abrir facsímil")</f>
        <v>Abrir facsímil</v>
      </c>
      <c r="K924" s="3" t="s">
        <v>74</v>
      </c>
    </row>
    <row r="925" spans="1:11" ht="42" customHeight="1">
      <c r="A925" s="2" t="s">
        <v>2557</v>
      </c>
      <c r="B925" s="2" t="s">
        <v>2558</v>
      </c>
      <c r="C925" s="2" t="s">
        <v>17</v>
      </c>
      <c r="D925" s="2" t="s">
        <v>18</v>
      </c>
      <c r="E925" s="5">
        <v>-30989</v>
      </c>
      <c r="F925" s="3" t="s">
        <v>2441</v>
      </c>
      <c r="G925" s="3" t="s">
        <v>27</v>
      </c>
      <c r="H925" s="2" t="s">
        <v>72</v>
      </c>
      <c r="I925" s="2" t="s">
        <v>2559</v>
      </c>
      <c r="J925" s="3" t="str">
        <f>HYPERLINK("https://www.boe.es/gazeta/dias/1815/02/25/pdfs/GMD-1815-24.pdf#page=6","Abrir facsímil")</f>
        <v>Abrir facsímil</v>
      </c>
      <c r="K925" s="3" t="s">
        <v>74</v>
      </c>
    </row>
    <row r="926" spans="1:11" ht="42" customHeight="1">
      <c r="A926" s="2" t="s">
        <v>2560</v>
      </c>
      <c r="B926" s="2" t="s">
        <v>2561</v>
      </c>
      <c r="C926" s="2" t="s">
        <v>81</v>
      </c>
      <c r="D926" s="2" t="s">
        <v>50</v>
      </c>
      <c r="E926" s="5">
        <v>-30965</v>
      </c>
      <c r="F926" s="3" t="s">
        <v>1679</v>
      </c>
      <c r="G926" s="3" t="s">
        <v>38</v>
      </c>
      <c r="H926" s="2" t="s">
        <v>72</v>
      </c>
      <c r="I926" s="2" t="s">
        <v>2562</v>
      </c>
      <c r="J926" s="3" t="str">
        <f>HYPERLINK("https://www.boe.es/gazeta/dias/1815/03/21/pdfs/GMD-1815-34.pdf#page=8","Abrir facsímil")</f>
        <v>Abrir facsímil</v>
      </c>
      <c r="K926" s="3" t="s">
        <v>74</v>
      </c>
    </row>
    <row r="927" spans="1:11" ht="42" customHeight="1">
      <c r="A927" s="2" t="s">
        <v>2563</v>
      </c>
      <c r="B927" s="2" t="s">
        <v>2564</v>
      </c>
      <c r="C927" s="2" t="s">
        <v>17</v>
      </c>
      <c r="D927" s="2" t="s">
        <v>18</v>
      </c>
      <c r="E927" s="5">
        <v>-30825</v>
      </c>
      <c r="F927" s="3" t="s">
        <v>669</v>
      </c>
      <c r="G927" s="3" t="s">
        <v>88</v>
      </c>
      <c r="H927" s="2" t="s">
        <v>72</v>
      </c>
      <c r="I927" s="2" t="s">
        <v>2565</v>
      </c>
      <c r="J927" s="3" t="str">
        <f>HYPERLINK("https://www.boe.es/gazeta/dias/1815/08/08/pdfs/GMD-1815-97.pdf#page=10","Abrir facsímil")</f>
        <v>Abrir facsímil</v>
      </c>
      <c r="K927" s="3" t="s">
        <v>74</v>
      </c>
    </row>
    <row r="928" spans="1:11" ht="42" customHeight="1">
      <c r="A928" s="2" t="s">
        <v>2566</v>
      </c>
      <c r="B928" s="2" t="s">
        <v>2567</v>
      </c>
      <c r="C928" s="2" t="s">
        <v>49</v>
      </c>
      <c r="D928" s="2" t="s">
        <v>50</v>
      </c>
      <c r="E928" s="5">
        <v>-30886</v>
      </c>
      <c r="F928" s="3" t="s">
        <v>140</v>
      </c>
      <c r="G928" s="3" t="s">
        <v>224</v>
      </c>
      <c r="H928" s="2" t="s">
        <v>72</v>
      </c>
      <c r="I928" s="2" t="s">
        <v>2568</v>
      </c>
      <c r="J928" s="3" t="str">
        <f>HYPERLINK("https://www.boe.es/gazeta/dias/1815/06/08/pdfs/GMD-1815-69.pdf#page=9","Abrir facsímil")</f>
        <v>Abrir facsímil</v>
      </c>
      <c r="K928" s="3" t="s">
        <v>74</v>
      </c>
    </row>
    <row r="929" spans="1:11" ht="42" customHeight="1">
      <c r="A929" s="2" t="s">
        <v>2569</v>
      </c>
      <c r="B929" s="2" t="s">
        <v>2570</v>
      </c>
      <c r="C929" s="2" t="s">
        <v>31</v>
      </c>
      <c r="D929" s="2" t="s">
        <v>32</v>
      </c>
      <c r="E929" s="5">
        <v>-30958</v>
      </c>
      <c r="F929" s="3" t="s">
        <v>297</v>
      </c>
      <c r="G929" s="3" t="s">
        <v>27</v>
      </c>
      <c r="H929" s="2" t="s">
        <v>72</v>
      </c>
      <c r="I929" s="2" t="s">
        <v>2571</v>
      </c>
      <c r="J929" s="3" t="str">
        <f>HYPERLINK("https://www.boe.es/gazeta/dias/1815/03/28/pdfs/GMD-1815-37.pdf#page=6","Abrir facsímil")</f>
        <v>Abrir facsímil</v>
      </c>
      <c r="K929" s="3" t="s">
        <v>74</v>
      </c>
    </row>
    <row r="930" spans="1:11" ht="42" customHeight="1">
      <c r="A930" s="2" t="s">
        <v>2572</v>
      </c>
      <c r="B930" s="2" t="s">
        <v>2573</v>
      </c>
      <c r="C930" s="2" t="s">
        <v>31</v>
      </c>
      <c r="D930" s="2" t="s">
        <v>32</v>
      </c>
      <c r="E930" s="5">
        <v>-30991</v>
      </c>
      <c r="F930" s="3" t="s">
        <v>318</v>
      </c>
      <c r="G930" s="3" t="s">
        <v>1829</v>
      </c>
      <c r="H930" s="2" t="s">
        <v>72</v>
      </c>
      <c r="I930" s="2" t="s">
        <v>2574</v>
      </c>
      <c r="J930" s="3" t="str">
        <f>HYPERLINK("https://www.boe.es/gazeta/dias/1815/02/23/pdfs/GMD-1815-23.pdf#page=8","Abrir facsímil")</f>
        <v>Abrir facsímil</v>
      </c>
      <c r="K930" s="3" t="s">
        <v>74</v>
      </c>
    </row>
    <row r="931" spans="1:11" ht="42" customHeight="1">
      <c r="A931" s="2" t="s">
        <v>2575</v>
      </c>
      <c r="B931" s="2" t="s">
        <v>2576</v>
      </c>
      <c r="C931" s="2" t="s">
        <v>81</v>
      </c>
      <c r="D931" s="2" t="s">
        <v>50</v>
      </c>
      <c r="E931" s="5">
        <v>-30737</v>
      </c>
      <c r="F931" s="3" t="s">
        <v>1932</v>
      </c>
      <c r="G931" s="3" t="s">
        <v>38</v>
      </c>
      <c r="H931" s="2" t="s">
        <v>72</v>
      </c>
      <c r="I931" s="2" t="s">
        <v>2577</v>
      </c>
      <c r="J931" s="3" t="str">
        <f>HYPERLINK("https://www.boe.es/gazeta/dias/1815/11/04/pdfs/GMD-1815-138.pdf#page=8","Abrir facsímil")</f>
        <v>Abrir facsímil</v>
      </c>
      <c r="K931" s="3" t="s">
        <v>74</v>
      </c>
    </row>
    <row r="932" spans="1:11" ht="42" customHeight="1">
      <c r="A932" s="2" t="s">
        <v>2578</v>
      </c>
      <c r="B932" s="2" t="s">
        <v>2579</v>
      </c>
      <c r="C932" s="2" t="s">
        <v>49</v>
      </c>
      <c r="D932" s="2" t="s">
        <v>50</v>
      </c>
      <c r="E932" s="5">
        <v>-30881</v>
      </c>
      <c r="F932" s="3" t="s">
        <v>446</v>
      </c>
      <c r="G932" s="3" t="s">
        <v>276</v>
      </c>
      <c r="H932" s="2" t="s">
        <v>72</v>
      </c>
      <c r="I932" s="2" t="s">
        <v>2580</v>
      </c>
      <c r="J932" s="3" t="str">
        <f>HYPERLINK("https://www.boe.es/gazeta/dias/1815/06/13/pdfs/GMD-1815-71.pdf#page=12","Abrir facsímil")</f>
        <v>Abrir facsímil</v>
      </c>
      <c r="K932" s="3" t="s">
        <v>74</v>
      </c>
    </row>
    <row r="933" spans="1:11" ht="42" customHeight="1">
      <c r="A933" s="2" t="s">
        <v>2581</v>
      </c>
      <c r="B933" s="2" t="s">
        <v>2582</v>
      </c>
      <c r="C933" s="2" t="s">
        <v>49</v>
      </c>
      <c r="D933" s="2" t="s">
        <v>50</v>
      </c>
      <c r="E933" s="5">
        <v>-30825</v>
      </c>
      <c r="F933" s="3" t="s">
        <v>669</v>
      </c>
      <c r="G933" s="3" t="s">
        <v>88</v>
      </c>
      <c r="H933" s="2" t="s">
        <v>21</v>
      </c>
      <c r="I933" s="2" t="s">
        <v>2583</v>
      </c>
      <c r="J933" s="3" t="str">
        <f>HYPERLINK("https://www.boe.es/gazeta/dias/1815/08/08/pdfs/GMD-1815-97.pdf#page=10","Abrir facsímil")</f>
        <v>Abrir facsímil</v>
      </c>
      <c r="K933" s="3" t="s">
        <v>23</v>
      </c>
    </row>
    <row r="934" spans="1:11" ht="42" customHeight="1">
      <c r="A934" s="2" t="s">
        <v>2584</v>
      </c>
      <c r="B934" s="2" t="s">
        <v>2585</v>
      </c>
      <c r="C934" s="2" t="s">
        <v>31</v>
      </c>
      <c r="D934" s="2" t="s">
        <v>32</v>
      </c>
      <c r="E934" s="5">
        <v>-31038</v>
      </c>
      <c r="F934" s="3" t="s">
        <v>395</v>
      </c>
      <c r="G934" s="3" t="s">
        <v>71</v>
      </c>
      <c r="H934" s="2" t="s">
        <v>72</v>
      </c>
      <c r="I934" s="2" t="s">
        <v>2586</v>
      </c>
      <c r="J934" s="3" t="str">
        <f>HYPERLINK("https://www.boe.es/gazeta/dias/1815/01/07/pdfs/GMD-1815-3.pdf#page=7","Abrir facsímil")</f>
        <v>Abrir facsímil</v>
      </c>
      <c r="K934" s="3" t="s">
        <v>74</v>
      </c>
    </row>
    <row r="935" spans="1:11" ht="42" customHeight="1">
      <c r="A935" s="2" t="s">
        <v>2587</v>
      </c>
      <c r="B935" s="2" t="s">
        <v>2588</v>
      </c>
      <c r="C935" s="2" t="s">
        <v>49</v>
      </c>
      <c r="D935" s="2" t="s">
        <v>50</v>
      </c>
      <c r="E935" s="5">
        <v>-30893</v>
      </c>
      <c r="F935" s="3" t="s">
        <v>132</v>
      </c>
      <c r="G935" s="3" t="s">
        <v>155</v>
      </c>
      <c r="H935" s="2" t="s">
        <v>72</v>
      </c>
      <c r="I935" s="2" t="s">
        <v>2589</v>
      </c>
      <c r="J935" s="3" t="str">
        <f>HYPERLINK("https://www.boe.es/gazeta/dias/1815/06/01/pdfs/GMD-1815-66.pdf#page=6","Abrir facsímil")</f>
        <v>Abrir facsímil</v>
      </c>
      <c r="K935" s="3" t="s">
        <v>74</v>
      </c>
    </row>
    <row r="936" spans="1:11" ht="42" customHeight="1">
      <c r="A936" s="2" t="s">
        <v>2590</v>
      </c>
      <c r="B936" s="2" t="s">
        <v>2591</v>
      </c>
      <c r="C936" s="2" t="s">
        <v>195</v>
      </c>
      <c r="D936" s="2" t="s">
        <v>50</v>
      </c>
      <c r="E936" s="5">
        <v>-30888</v>
      </c>
      <c r="F936" s="3" t="s">
        <v>368</v>
      </c>
      <c r="G936" s="3" t="s">
        <v>224</v>
      </c>
      <c r="H936" s="2" t="s">
        <v>72</v>
      </c>
      <c r="I936" s="2" t="s">
        <v>2592</v>
      </c>
      <c r="J936" s="3" t="str">
        <f>HYPERLINK("https://www.boe.es/gazeta/dias/1815/06/06/pdfs/GMD-1815-68.pdf#page=9","Abrir facsímil")</f>
        <v>Abrir facsímil</v>
      </c>
      <c r="K936" s="3" t="s">
        <v>74</v>
      </c>
    </row>
    <row r="937" spans="1:11" ht="42" customHeight="1">
      <c r="A937" s="2" t="s">
        <v>2593</v>
      </c>
      <c r="B937" s="2" t="s">
        <v>2594</v>
      </c>
      <c r="C937" s="2" t="s">
        <v>31</v>
      </c>
      <c r="D937" s="2" t="s">
        <v>32</v>
      </c>
      <c r="E937" s="5">
        <v>-30982</v>
      </c>
      <c r="F937" s="3" t="s">
        <v>220</v>
      </c>
      <c r="G937" s="3" t="s">
        <v>57</v>
      </c>
      <c r="H937" s="2" t="s">
        <v>72</v>
      </c>
      <c r="I937" s="2" t="s">
        <v>2595</v>
      </c>
      <c r="J937" s="3" t="str">
        <f>HYPERLINK("https://www.boe.es/gazeta/dias/1815/03/04/pdfs/GMD-1815-27.pdf#page=5","Abrir facsímil")</f>
        <v>Abrir facsímil</v>
      </c>
      <c r="K937" s="3" t="s">
        <v>74</v>
      </c>
    </row>
    <row r="938" spans="1:11" ht="42" customHeight="1">
      <c r="A938" s="2" t="s">
        <v>2596</v>
      </c>
      <c r="B938" s="2" t="s">
        <v>2597</v>
      </c>
      <c r="C938" s="2" t="s">
        <v>49</v>
      </c>
      <c r="D938" s="2" t="s">
        <v>50</v>
      </c>
      <c r="E938" s="5">
        <v>-30865</v>
      </c>
      <c r="F938" s="3" t="s">
        <v>163</v>
      </c>
      <c r="G938" s="3" t="s">
        <v>71</v>
      </c>
      <c r="H938" s="2" t="s">
        <v>72</v>
      </c>
      <c r="I938" s="2" t="s">
        <v>2598</v>
      </c>
      <c r="J938" s="3" t="str">
        <f>HYPERLINK("https://www.boe.es/gazeta/dias/1815/06/29/pdfs/GMD-1815-78.pdf#page=7","Abrir facsímil")</f>
        <v>Abrir facsímil</v>
      </c>
      <c r="K938" s="3" t="s">
        <v>74</v>
      </c>
    </row>
    <row r="939" spans="1:11" ht="42" customHeight="1">
      <c r="A939" s="2" t="s">
        <v>2599</v>
      </c>
      <c r="B939" s="2" t="s">
        <v>2599</v>
      </c>
      <c r="C939" s="2" t="s">
        <v>31</v>
      </c>
      <c r="D939" s="2" t="s">
        <v>179</v>
      </c>
      <c r="E939" s="5">
        <v>-30860</v>
      </c>
      <c r="F939" s="3" t="s">
        <v>180</v>
      </c>
      <c r="G939" s="3" t="s">
        <v>27</v>
      </c>
      <c r="H939" s="2" t="s">
        <v>72</v>
      </c>
      <c r="I939" s="2" t="s">
        <v>2600</v>
      </c>
      <c r="J939" s="3" t="str">
        <f>HYPERLINK("https://www.boe.es/gazeta/dias/1815/07/04/pdfs/GMD-1815-82E.pdf#page=6","Abrir facsímil")</f>
        <v>Abrir facsímil</v>
      </c>
      <c r="K939" s="3" t="s">
        <v>74</v>
      </c>
    </row>
    <row r="940" spans="1:11" ht="42" customHeight="1">
      <c r="A940" s="2" t="s">
        <v>2601</v>
      </c>
      <c r="B940" s="2" t="s">
        <v>2601</v>
      </c>
      <c r="C940" s="2" t="s">
        <v>31</v>
      </c>
      <c r="D940" s="2" t="s">
        <v>32</v>
      </c>
      <c r="E940" s="5">
        <v>-30837</v>
      </c>
      <c r="F940" s="3" t="s">
        <v>2256</v>
      </c>
      <c r="G940" s="3" t="s">
        <v>20</v>
      </c>
      <c r="H940" s="2" t="s">
        <v>72</v>
      </c>
      <c r="I940" s="2" t="s">
        <v>2602</v>
      </c>
      <c r="J940" s="3" t="str">
        <f>HYPERLINK("https://www.boe.es/gazeta/dias/1815/07/27/pdfs/GMD-1815-92.pdf#page=4","Abrir facsímil")</f>
        <v>Abrir facsímil</v>
      </c>
      <c r="K940" s="3" t="s">
        <v>74</v>
      </c>
    </row>
    <row r="941" spans="1:11" ht="42" customHeight="1">
      <c r="A941" s="2" t="s">
        <v>2603</v>
      </c>
      <c r="B941" s="2" t="s">
        <v>2604</v>
      </c>
      <c r="C941" s="2" t="s">
        <v>195</v>
      </c>
      <c r="D941" s="2" t="s">
        <v>50</v>
      </c>
      <c r="E941" s="5">
        <v>-30991</v>
      </c>
      <c r="F941" s="3" t="s">
        <v>318</v>
      </c>
      <c r="G941" s="3" t="s">
        <v>319</v>
      </c>
      <c r="H941" s="2" t="s">
        <v>72</v>
      </c>
      <c r="I941" s="2" t="s">
        <v>2605</v>
      </c>
      <c r="J941" s="3" t="str">
        <f>HYPERLINK("https://www.boe.es/gazeta/dias/1815/02/23/pdfs/GMD-1815-23.pdf#page=6","Abrir facsímil")</f>
        <v>Abrir facsímil</v>
      </c>
      <c r="K941" s="3" t="s">
        <v>74</v>
      </c>
    </row>
    <row r="942" spans="1:11" ht="42" customHeight="1">
      <c r="A942" s="2" t="s">
        <v>2606</v>
      </c>
      <c r="B942" s="2" t="s">
        <v>2607</v>
      </c>
      <c r="C942" s="2" t="s">
        <v>17</v>
      </c>
      <c r="D942" s="2" t="s">
        <v>18</v>
      </c>
      <c r="E942" s="5">
        <v>-30942</v>
      </c>
      <c r="F942" s="3" t="s">
        <v>730</v>
      </c>
      <c r="G942" s="3" t="s">
        <v>71</v>
      </c>
      <c r="H942" s="2" t="s">
        <v>72</v>
      </c>
      <c r="I942" s="2" t="s">
        <v>2608</v>
      </c>
      <c r="J942" s="3" t="str">
        <f>HYPERLINK("https://www.boe.es/gazeta/dias/1815/04/13/pdfs/GMD-1815-45.pdf#page=7","Abrir facsímil")</f>
        <v>Abrir facsímil</v>
      </c>
      <c r="K942" s="3" t="s">
        <v>74</v>
      </c>
    </row>
    <row r="943" spans="1:11" ht="42" customHeight="1">
      <c r="A943" s="2" t="s">
        <v>2609</v>
      </c>
      <c r="B943" s="2" t="s">
        <v>2610</v>
      </c>
      <c r="C943" s="2" t="s">
        <v>17</v>
      </c>
      <c r="D943" s="2" t="s">
        <v>18</v>
      </c>
      <c r="E943" s="5">
        <v>-30844</v>
      </c>
      <c r="F943" s="3" t="s">
        <v>114</v>
      </c>
      <c r="G943" s="3" t="s">
        <v>71</v>
      </c>
      <c r="H943" s="2" t="s">
        <v>72</v>
      </c>
      <c r="I943" s="2" t="s">
        <v>2611</v>
      </c>
      <c r="J943" s="3" t="str">
        <f>HYPERLINK("https://www.boe.es/gazeta/dias/1815/07/20/pdfs/GMD-1815-89.pdf#page=7","Abrir facsímil")</f>
        <v>Abrir facsímil</v>
      </c>
      <c r="K943" s="3" t="s">
        <v>74</v>
      </c>
    </row>
    <row r="944" spans="1:11" ht="42" customHeight="1">
      <c r="A944" s="2" t="s">
        <v>2612</v>
      </c>
      <c r="B944" s="2" t="s">
        <v>2613</v>
      </c>
      <c r="C944" s="2" t="s">
        <v>49</v>
      </c>
      <c r="D944" s="2" t="s">
        <v>50</v>
      </c>
      <c r="E944" s="5">
        <v>-30865</v>
      </c>
      <c r="F944" s="3" t="s">
        <v>163</v>
      </c>
      <c r="G944" s="3" t="s">
        <v>38</v>
      </c>
      <c r="H944" s="2" t="s">
        <v>72</v>
      </c>
      <c r="I944" s="2" t="s">
        <v>2614</v>
      </c>
      <c r="J944" s="3" t="str">
        <f>HYPERLINK("https://www.boe.es/gazeta/dias/1815/06/29/pdfs/GMD-1815-78.pdf#page=8","Abrir facsímil")</f>
        <v>Abrir facsímil</v>
      </c>
      <c r="K944" s="3" t="s">
        <v>74</v>
      </c>
    </row>
    <row r="945" spans="1:11" ht="42" customHeight="1">
      <c r="A945" s="2" t="s">
        <v>2615</v>
      </c>
      <c r="B945" s="2" t="s">
        <v>2615</v>
      </c>
      <c r="C945" s="2" t="s">
        <v>31</v>
      </c>
      <c r="D945" s="2" t="s">
        <v>32</v>
      </c>
      <c r="E945" s="5">
        <v>-30884</v>
      </c>
      <c r="F945" s="3" t="s">
        <v>136</v>
      </c>
      <c r="G945" s="3" t="s">
        <v>97</v>
      </c>
      <c r="H945" s="2" t="s">
        <v>72</v>
      </c>
      <c r="I945" s="2" t="s">
        <v>2616</v>
      </c>
      <c r="J945" s="3" t="str">
        <f>HYPERLINK("https://www.boe.es/gazeta/dias/1815/06/10/pdfs/GMD-1815-70.pdf#page=3","Abrir facsímil")</f>
        <v>Abrir facsímil</v>
      </c>
      <c r="K945" s="3" t="s">
        <v>74</v>
      </c>
    </row>
    <row r="946" spans="1:11" ht="42" customHeight="1">
      <c r="A946" s="2" t="s">
        <v>2617</v>
      </c>
      <c r="B946" s="2" t="s">
        <v>2618</v>
      </c>
      <c r="C946" s="2" t="s">
        <v>49</v>
      </c>
      <c r="D946" s="2" t="s">
        <v>50</v>
      </c>
      <c r="E946" s="5">
        <v>-30865</v>
      </c>
      <c r="F946" s="3" t="s">
        <v>163</v>
      </c>
      <c r="G946" s="3" t="s">
        <v>27</v>
      </c>
      <c r="H946" s="2" t="s">
        <v>72</v>
      </c>
      <c r="I946" s="2" t="s">
        <v>2619</v>
      </c>
      <c r="J946" s="3" t="str">
        <f>HYPERLINK("https://www.boe.es/gazeta/dias/1815/06/29/pdfs/GMD-1815-78.pdf#page=6","Abrir facsímil")</f>
        <v>Abrir facsímil</v>
      </c>
      <c r="K946" s="3" t="s">
        <v>74</v>
      </c>
    </row>
    <row r="947" spans="1:11" ht="42" customHeight="1">
      <c r="A947" s="2" t="s">
        <v>2620</v>
      </c>
      <c r="B947" s="2" t="s">
        <v>2621</v>
      </c>
      <c r="C947" s="2" t="s">
        <v>31</v>
      </c>
      <c r="D947" s="2" t="s">
        <v>32</v>
      </c>
      <c r="E947" s="5">
        <v>-31042</v>
      </c>
      <c r="F947" s="3" t="s">
        <v>512</v>
      </c>
      <c r="G947" s="3" t="s">
        <v>1689</v>
      </c>
      <c r="H947" s="2" t="s">
        <v>21</v>
      </c>
      <c r="I947" s="2" t="s">
        <v>2622</v>
      </c>
      <c r="J947" s="3" t="str">
        <f>HYPERLINK("https://www.boe.es/gazeta/dias/1815/01/03/pdfs/GMD-1815-1.pdf#page=6","Abrir facsímil")</f>
        <v>Abrir facsímil</v>
      </c>
      <c r="K947" s="3" t="s">
        <v>23</v>
      </c>
    </row>
    <row r="948" spans="1:11" ht="42" customHeight="1">
      <c r="A948" s="2" t="s">
        <v>2623</v>
      </c>
      <c r="B948" s="2" t="s">
        <v>2624</v>
      </c>
      <c r="C948" s="2" t="s">
        <v>81</v>
      </c>
      <c r="D948" s="2" t="s">
        <v>50</v>
      </c>
      <c r="E948" s="5">
        <v>-30809</v>
      </c>
      <c r="F948" s="3" t="s">
        <v>82</v>
      </c>
      <c r="G948" s="3" t="s">
        <v>2625</v>
      </c>
      <c r="H948" s="2" t="s">
        <v>72</v>
      </c>
      <c r="I948" s="2" t="s">
        <v>2626</v>
      </c>
      <c r="J948" s="3" t="str">
        <f>HYPERLINK("https://www.boe.es/gazeta/dias/1815/08/24/pdfs/GMD-1815-104.pdf#page=3","Abrir facsímil")</f>
        <v>Abrir facsímil</v>
      </c>
      <c r="K948" s="3" t="s">
        <v>74</v>
      </c>
    </row>
    <row r="949" spans="1:11" ht="42" customHeight="1">
      <c r="A949" s="2" t="s">
        <v>2627</v>
      </c>
      <c r="B949" s="2" t="s">
        <v>2628</v>
      </c>
      <c r="C949" s="2" t="s">
        <v>31</v>
      </c>
      <c r="D949" s="2" t="s">
        <v>32</v>
      </c>
      <c r="E949" s="5">
        <v>-30937</v>
      </c>
      <c r="F949" s="3" t="s">
        <v>322</v>
      </c>
      <c r="G949" s="3" t="s">
        <v>27</v>
      </c>
      <c r="H949" s="2" t="s">
        <v>21</v>
      </c>
      <c r="I949" s="2" t="s">
        <v>2629</v>
      </c>
      <c r="J949" s="3" t="str">
        <f>HYPERLINK("https://www.boe.es/gazeta/dias/1815/04/18/pdfs/GMD-1815-47.pdf#page=6","Abrir facsímil")</f>
        <v>Abrir facsímil</v>
      </c>
      <c r="K949" s="3" t="s">
        <v>23</v>
      </c>
    </row>
    <row r="950" spans="1:11" ht="42" customHeight="1">
      <c r="A950" s="2" t="s">
        <v>2630</v>
      </c>
      <c r="B950" s="2" t="s">
        <v>2631</v>
      </c>
      <c r="C950" s="2" t="s">
        <v>31</v>
      </c>
      <c r="D950" s="2" t="s">
        <v>32</v>
      </c>
      <c r="E950" s="5">
        <v>-30916</v>
      </c>
      <c r="F950" s="3" t="s">
        <v>147</v>
      </c>
      <c r="G950" s="3" t="s">
        <v>38</v>
      </c>
      <c r="H950" s="2" t="s">
        <v>72</v>
      </c>
      <c r="I950" s="2" t="s">
        <v>2632</v>
      </c>
      <c r="J950" s="3" t="str">
        <f>HYPERLINK("https://www.boe.es/gazeta/dias/1815/05/09/pdfs/GMD-1815-56.pdf#page=8","Abrir facsímil")</f>
        <v>Abrir facsímil</v>
      </c>
      <c r="K950" s="3" t="s">
        <v>74</v>
      </c>
    </row>
    <row r="951" spans="1:11" ht="42" customHeight="1">
      <c r="A951" s="2" t="s">
        <v>2633</v>
      </c>
      <c r="B951" s="2" t="s">
        <v>2634</v>
      </c>
      <c r="C951" s="2" t="s">
        <v>31</v>
      </c>
      <c r="D951" s="2" t="s">
        <v>32</v>
      </c>
      <c r="E951" s="5">
        <v>-30860</v>
      </c>
      <c r="F951" s="3" t="s">
        <v>184</v>
      </c>
      <c r="G951" s="3" t="s">
        <v>20</v>
      </c>
      <c r="H951" s="2" t="s">
        <v>72</v>
      </c>
      <c r="I951" s="2" t="s">
        <v>2635</v>
      </c>
      <c r="J951" s="3" t="str">
        <f>HYPERLINK("https://www.boe.es/gazeta/dias/1815/07/04/pdfs/GMD-1815-81.pdf#page=4","Abrir facsímil")</f>
        <v>Abrir facsímil</v>
      </c>
      <c r="K951" s="3" t="s">
        <v>74</v>
      </c>
    </row>
    <row r="952" spans="1:11" ht="42" customHeight="1">
      <c r="A952" s="2" t="s">
        <v>2636</v>
      </c>
      <c r="B952" s="2" t="s">
        <v>2637</v>
      </c>
      <c r="C952" s="2" t="s">
        <v>31</v>
      </c>
      <c r="D952" s="2" t="s">
        <v>32</v>
      </c>
      <c r="E952" s="5">
        <v>-30839</v>
      </c>
      <c r="F952" s="3" t="s">
        <v>616</v>
      </c>
      <c r="G952" s="3" t="s">
        <v>27</v>
      </c>
      <c r="H952" s="2" t="s">
        <v>72</v>
      </c>
      <c r="I952" s="2" t="s">
        <v>2638</v>
      </c>
      <c r="J952" s="3" t="str">
        <f>HYPERLINK("https://www.boe.es/gazeta/dias/1815/07/25/pdfs/GMD-1815-91.pdf#page=6","Abrir facsímil")</f>
        <v>Abrir facsímil</v>
      </c>
      <c r="K952" s="3" t="s">
        <v>74</v>
      </c>
    </row>
    <row r="953" spans="1:11" ht="42" customHeight="1">
      <c r="A953" s="2" t="s">
        <v>2639</v>
      </c>
      <c r="B953" s="2" t="s">
        <v>2640</v>
      </c>
      <c r="C953" s="2" t="s">
        <v>31</v>
      </c>
      <c r="D953" s="2" t="s">
        <v>32</v>
      </c>
      <c r="E953" s="5">
        <v>-30977</v>
      </c>
      <c r="F953" s="3" t="s">
        <v>37</v>
      </c>
      <c r="G953" s="3" t="s">
        <v>38</v>
      </c>
      <c r="H953" s="2" t="s">
        <v>72</v>
      </c>
      <c r="I953" s="2" t="s">
        <v>2641</v>
      </c>
      <c r="J953" s="3" t="str">
        <f>HYPERLINK("https://www.boe.es/gazeta/dias/1815/03/09/pdfs/GMD-1815-29.pdf#page=8","Abrir facsímil")</f>
        <v>Abrir facsímil</v>
      </c>
      <c r="K953" s="3" t="s">
        <v>74</v>
      </c>
    </row>
    <row r="954" spans="1:11" ht="42" customHeight="1">
      <c r="A954" s="2" t="s">
        <v>2642</v>
      </c>
      <c r="B954" s="2" t="s">
        <v>2643</v>
      </c>
      <c r="C954" s="2" t="s">
        <v>195</v>
      </c>
      <c r="D954" s="2" t="s">
        <v>50</v>
      </c>
      <c r="E954" s="5">
        <v>-30835</v>
      </c>
      <c r="F954" s="3" t="s">
        <v>544</v>
      </c>
      <c r="G954" s="3" t="s">
        <v>52</v>
      </c>
      <c r="H954" s="2" t="s">
        <v>72</v>
      </c>
      <c r="I954" s="2" t="s">
        <v>2644</v>
      </c>
      <c r="J954" s="3" t="str">
        <f>HYPERLINK("https://www.boe.es/gazeta/dias/1815/07/29/pdfs/GMD-1815-93.pdf#page=11","Abrir facsímil")</f>
        <v>Abrir facsímil</v>
      </c>
      <c r="K954" s="3" t="s">
        <v>74</v>
      </c>
    </row>
    <row r="955" spans="1:11" ht="42" customHeight="1">
      <c r="A955" s="2" t="s">
        <v>2645</v>
      </c>
      <c r="B955" s="2" t="s">
        <v>2646</v>
      </c>
      <c r="C955" s="2" t="s">
        <v>31</v>
      </c>
      <c r="D955" s="2" t="s">
        <v>32</v>
      </c>
      <c r="E955" s="5">
        <v>-30779</v>
      </c>
      <c r="F955" s="3" t="s">
        <v>1426</v>
      </c>
      <c r="G955" s="3" t="s">
        <v>97</v>
      </c>
      <c r="H955" s="2" t="s">
        <v>72</v>
      </c>
      <c r="I955" s="2" t="s">
        <v>2647</v>
      </c>
      <c r="J955" s="3" t="str">
        <f>HYPERLINK("https://www.boe.es/gazeta/dias/1815/09/23/pdfs/GMD-1815-118.pdf#page=3","Abrir facsímil")</f>
        <v>Abrir facsímil</v>
      </c>
      <c r="K955" s="3" t="s">
        <v>74</v>
      </c>
    </row>
    <row r="956" spans="1:11" ht="42" customHeight="1">
      <c r="A956" s="2" t="s">
        <v>2648</v>
      </c>
      <c r="B956" s="2" t="s">
        <v>2649</v>
      </c>
      <c r="C956" s="2" t="s">
        <v>17</v>
      </c>
      <c r="D956" s="2" t="s">
        <v>18</v>
      </c>
      <c r="E956" s="5">
        <v>-30786</v>
      </c>
      <c r="F956" s="3" t="s">
        <v>558</v>
      </c>
      <c r="G956" s="3" t="s">
        <v>2650</v>
      </c>
      <c r="H956" s="2" t="s">
        <v>72</v>
      </c>
      <c r="I956" s="2" t="s">
        <v>2651</v>
      </c>
      <c r="J956" s="3" t="str">
        <f>HYPERLINK("https://www.boe.es/gazeta/dias/1815/09/16/pdfs/GMD-1815-115.pdf#page=7","Abrir facsímil")</f>
        <v>Abrir facsímil</v>
      </c>
      <c r="K956" s="3" t="s">
        <v>74</v>
      </c>
    </row>
    <row r="957" spans="1:11" ht="42" customHeight="1">
      <c r="A957" s="2" t="s">
        <v>2652</v>
      </c>
      <c r="B957" s="2" t="s">
        <v>2653</v>
      </c>
      <c r="C957" s="2" t="s">
        <v>31</v>
      </c>
      <c r="D957" s="2" t="s">
        <v>32</v>
      </c>
      <c r="E957" s="5">
        <v>-30751</v>
      </c>
      <c r="F957" s="3" t="s">
        <v>819</v>
      </c>
      <c r="G957" s="3" t="s">
        <v>2654</v>
      </c>
      <c r="H957" s="2" t="s">
        <v>21</v>
      </c>
      <c r="I957" s="2" t="s">
        <v>2655</v>
      </c>
      <c r="J957" s="3" t="str">
        <f>HYPERLINK("https://www.boe.es/gazeta/dias/1815/10/21/pdfs/GMD-1815-132.pdf#page=7","Abrir facsímil")</f>
        <v>Abrir facsímil</v>
      </c>
      <c r="K957" s="3" t="s">
        <v>23</v>
      </c>
    </row>
    <row r="958" spans="1:11" ht="42" customHeight="1">
      <c r="A958" s="2" t="s">
        <v>2656</v>
      </c>
      <c r="B958" s="2" t="s">
        <v>2657</v>
      </c>
      <c r="C958" s="2" t="s">
        <v>31</v>
      </c>
      <c r="D958" s="2" t="s">
        <v>32</v>
      </c>
      <c r="E958" s="5">
        <v>-30942</v>
      </c>
      <c r="F958" s="3" t="s">
        <v>730</v>
      </c>
      <c r="G958" s="3" t="s">
        <v>71</v>
      </c>
      <c r="H958" s="2" t="s">
        <v>72</v>
      </c>
      <c r="I958" s="2" t="s">
        <v>2658</v>
      </c>
      <c r="J958" s="3" t="str">
        <f>HYPERLINK("https://www.boe.es/gazeta/dias/1815/04/13/pdfs/GMD-1815-45.pdf#page=7","Abrir facsímil")</f>
        <v>Abrir facsímil</v>
      </c>
      <c r="K958" s="3" t="s">
        <v>74</v>
      </c>
    </row>
    <row r="959" spans="1:11" ht="42" customHeight="1">
      <c r="A959" s="2" t="s">
        <v>2659</v>
      </c>
      <c r="B959" s="2" t="s">
        <v>2660</v>
      </c>
      <c r="C959" s="2" t="s">
        <v>31</v>
      </c>
      <c r="D959" s="2" t="s">
        <v>32</v>
      </c>
      <c r="E959" s="5">
        <v>-30849</v>
      </c>
      <c r="F959" s="3" t="s">
        <v>501</v>
      </c>
      <c r="G959" s="3" t="s">
        <v>52</v>
      </c>
      <c r="H959" s="2" t="s">
        <v>21</v>
      </c>
      <c r="I959" s="2" t="s">
        <v>2661</v>
      </c>
      <c r="J959" s="3" t="str">
        <f>HYPERLINK("https://www.boe.es/gazeta/dias/1815/07/15/pdfs/GMD-1815-87.pdf#page=11","Abrir facsímil")</f>
        <v>Abrir facsímil</v>
      </c>
      <c r="K959" s="3" t="s">
        <v>23</v>
      </c>
    </row>
    <row r="960" spans="1:11" ht="42" customHeight="1">
      <c r="A960" s="2" t="s">
        <v>2662</v>
      </c>
      <c r="B960" s="2" t="s">
        <v>2663</v>
      </c>
      <c r="C960" s="2" t="s">
        <v>49</v>
      </c>
      <c r="D960" s="2" t="s">
        <v>50</v>
      </c>
      <c r="E960" s="5">
        <v>-30865</v>
      </c>
      <c r="F960" s="3" t="s">
        <v>163</v>
      </c>
      <c r="G960" s="3" t="s">
        <v>27</v>
      </c>
      <c r="H960" s="2" t="s">
        <v>72</v>
      </c>
      <c r="I960" s="2" t="s">
        <v>2664</v>
      </c>
      <c r="J960" s="3" t="str">
        <f>HYPERLINK("https://www.boe.es/gazeta/dias/1815/06/29/pdfs/GMD-1815-78.pdf#page=6","Abrir facsímil")</f>
        <v>Abrir facsímil</v>
      </c>
      <c r="K960" s="3" t="s">
        <v>74</v>
      </c>
    </row>
    <row r="961" spans="1:11" ht="42" customHeight="1">
      <c r="A961" s="2" t="s">
        <v>2665</v>
      </c>
      <c r="B961" s="2" t="s">
        <v>2666</v>
      </c>
      <c r="C961" s="2" t="s">
        <v>31</v>
      </c>
      <c r="D961" s="2" t="s">
        <v>32</v>
      </c>
      <c r="E961" s="5">
        <v>-30879</v>
      </c>
      <c r="F961" s="3" t="s">
        <v>754</v>
      </c>
      <c r="G961" s="3" t="s">
        <v>71</v>
      </c>
      <c r="H961" s="2" t="s">
        <v>72</v>
      </c>
      <c r="I961" s="2" t="s">
        <v>2667</v>
      </c>
      <c r="J961" s="3" t="str">
        <f>HYPERLINK("https://www.boe.es/gazeta/dias/1815/06/15/pdfs/GMD-1815-72.pdf#page=7","Abrir facsímil")</f>
        <v>Abrir facsímil</v>
      </c>
      <c r="K961" s="3" t="s">
        <v>74</v>
      </c>
    </row>
    <row r="962" spans="1:11" ht="42" customHeight="1">
      <c r="A962" s="2" t="s">
        <v>2668</v>
      </c>
      <c r="B962" s="2" t="s">
        <v>2669</v>
      </c>
      <c r="C962" s="2" t="s">
        <v>17</v>
      </c>
      <c r="D962" s="2" t="s">
        <v>18</v>
      </c>
      <c r="E962" s="5">
        <v>-30982</v>
      </c>
      <c r="F962" s="3" t="s">
        <v>220</v>
      </c>
      <c r="G962" s="3" t="s">
        <v>57</v>
      </c>
      <c r="H962" s="2" t="s">
        <v>72</v>
      </c>
      <c r="I962" s="2" t="s">
        <v>2670</v>
      </c>
      <c r="J962" s="3" t="str">
        <f>HYPERLINK("https://www.boe.es/gazeta/dias/1815/03/04/pdfs/GMD-1815-27.pdf#page=5","Abrir facsímil")</f>
        <v>Abrir facsímil</v>
      </c>
      <c r="K962" s="3" t="s">
        <v>74</v>
      </c>
    </row>
    <row r="963" spans="1:11" ht="42" customHeight="1">
      <c r="A963" s="2" t="s">
        <v>2671</v>
      </c>
      <c r="B963" s="2" t="s">
        <v>2672</v>
      </c>
      <c r="C963" s="2" t="s">
        <v>31</v>
      </c>
      <c r="D963" s="2" t="s">
        <v>32</v>
      </c>
      <c r="E963" s="5">
        <v>-30860</v>
      </c>
      <c r="F963" s="3" t="s">
        <v>184</v>
      </c>
      <c r="G963" s="3" t="s">
        <v>20</v>
      </c>
      <c r="H963" s="2" t="s">
        <v>72</v>
      </c>
      <c r="I963" s="2" t="s">
        <v>2673</v>
      </c>
      <c r="J963" s="3" t="str">
        <f>HYPERLINK("https://www.boe.es/gazeta/dias/1815/07/04/pdfs/GMD-1815-81.pdf#page=4","Abrir facsímil")</f>
        <v>Abrir facsímil</v>
      </c>
      <c r="K963" s="3" t="s">
        <v>74</v>
      </c>
    </row>
    <row r="964" spans="1:11" ht="42" customHeight="1">
      <c r="A964" s="2" t="s">
        <v>2674</v>
      </c>
      <c r="B964" s="2" t="s">
        <v>2675</v>
      </c>
      <c r="C964" s="2" t="s">
        <v>31</v>
      </c>
      <c r="D964" s="2" t="s">
        <v>32</v>
      </c>
      <c r="E964" s="5">
        <v>-30982</v>
      </c>
      <c r="F964" s="3" t="s">
        <v>220</v>
      </c>
      <c r="G964" s="3" t="s">
        <v>57</v>
      </c>
      <c r="H964" s="2" t="s">
        <v>72</v>
      </c>
      <c r="I964" s="2" t="s">
        <v>2676</v>
      </c>
      <c r="J964" s="3" t="str">
        <f>HYPERLINK("https://www.boe.es/gazeta/dias/1815/03/04/pdfs/GMD-1815-27.pdf#page=5","Abrir facsímil")</f>
        <v>Abrir facsímil</v>
      </c>
      <c r="K964" s="3" t="s">
        <v>74</v>
      </c>
    </row>
    <row r="965" spans="1:11" ht="42" customHeight="1">
      <c r="A965" s="2" t="s">
        <v>2677</v>
      </c>
      <c r="B965" s="2" t="s">
        <v>2678</v>
      </c>
      <c r="C965" s="2" t="s">
        <v>31</v>
      </c>
      <c r="D965" s="2" t="s">
        <v>32</v>
      </c>
      <c r="E965" s="5">
        <v>-30982</v>
      </c>
      <c r="F965" s="3" t="s">
        <v>220</v>
      </c>
      <c r="G965" s="3" t="s">
        <v>57</v>
      </c>
      <c r="H965" s="2" t="s">
        <v>72</v>
      </c>
      <c r="I965" s="2" t="s">
        <v>2679</v>
      </c>
      <c r="J965" s="3" t="str">
        <f>HYPERLINK("https://www.boe.es/gazeta/dias/1815/03/04/pdfs/GMD-1815-27.pdf#page=5","Abrir facsímil")</f>
        <v>Abrir facsímil</v>
      </c>
      <c r="K965" s="3" t="s">
        <v>74</v>
      </c>
    </row>
    <row r="966" spans="1:11" ht="42" customHeight="1">
      <c r="A966" s="2" t="s">
        <v>2680</v>
      </c>
      <c r="B966" s="2" t="s">
        <v>2680</v>
      </c>
      <c r="C966" s="2" t="s">
        <v>31</v>
      </c>
      <c r="D966" s="2" t="s">
        <v>32</v>
      </c>
      <c r="E966" s="5">
        <v>-30828</v>
      </c>
      <c r="F966" s="3" t="s">
        <v>1402</v>
      </c>
      <c r="G966" s="3" t="s">
        <v>377</v>
      </c>
      <c r="H966" s="2" t="s">
        <v>72</v>
      </c>
      <c r="I966" s="2" t="s">
        <v>2681</v>
      </c>
      <c r="J966" s="3" t="str">
        <f>HYPERLINK("https://www.boe.es/gazeta/dias/1815/08/05/pdfs/GMD-1815-96.pdf#page=2","Abrir facsímil")</f>
        <v>Abrir facsímil</v>
      </c>
      <c r="K966" s="3" t="s">
        <v>74</v>
      </c>
    </row>
    <row r="967" spans="1:11" ht="42" customHeight="1">
      <c r="A967" s="2" t="s">
        <v>2682</v>
      </c>
      <c r="B967" s="2" t="s">
        <v>2683</v>
      </c>
      <c r="C967" s="2" t="s">
        <v>49</v>
      </c>
      <c r="D967" s="2" t="s">
        <v>50</v>
      </c>
      <c r="E967" s="5">
        <v>-31024</v>
      </c>
      <c r="F967" s="3" t="s">
        <v>101</v>
      </c>
      <c r="G967" s="3" t="s">
        <v>258</v>
      </c>
      <c r="H967" s="2" t="s">
        <v>72</v>
      </c>
      <c r="I967" s="2" t="s">
        <v>2684</v>
      </c>
      <c r="J967" s="3" t="str">
        <f>HYPERLINK("https://www.boe.es/gazeta/dias/1815/01/21/pdfs/GMD-1815-9.pdf#page=6","Abrir facsímil")</f>
        <v>Abrir facsímil</v>
      </c>
      <c r="K967" s="3" t="s">
        <v>74</v>
      </c>
    </row>
    <row r="968" spans="1:11" ht="42" customHeight="1">
      <c r="A968" s="2" t="s">
        <v>2685</v>
      </c>
      <c r="B968" s="2" t="s">
        <v>2686</v>
      </c>
      <c r="C968" s="2" t="s">
        <v>49</v>
      </c>
      <c r="D968" s="2" t="s">
        <v>50</v>
      </c>
      <c r="E968" s="5">
        <v>-30767</v>
      </c>
      <c r="F968" s="3" t="s">
        <v>228</v>
      </c>
      <c r="G968" s="3" t="s">
        <v>88</v>
      </c>
      <c r="H968" s="2" t="s">
        <v>72</v>
      </c>
      <c r="I968" s="2" t="s">
        <v>2687</v>
      </c>
      <c r="J968" s="3" t="str">
        <f>HYPERLINK("https://www.boe.es/gazeta/dias/1815/10/05/pdfs/GMD-1815-125.pdf#page=10","Abrir facsímil")</f>
        <v>Abrir facsímil</v>
      </c>
      <c r="K968" s="3" t="s">
        <v>74</v>
      </c>
    </row>
    <row r="969" spans="1:11" ht="42" customHeight="1">
      <c r="A969" s="2" t="s">
        <v>2688</v>
      </c>
      <c r="B969" s="2" t="s">
        <v>2689</v>
      </c>
      <c r="C969" s="2" t="s">
        <v>31</v>
      </c>
      <c r="D969" s="2" t="s">
        <v>32</v>
      </c>
      <c r="E969" s="5">
        <v>-31038</v>
      </c>
      <c r="F969" s="3" t="s">
        <v>395</v>
      </c>
      <c r="G969" s="3" t="s">
        <v>396</v>
      </c>
      <c r="H969" s="2" t="s">
        <v>72</v>
      </c>
      <c r="I969" s="2" t="s">
        <v>2690</v>
      </c>
      <c r="J969" s="3" t="str">
        <f>HYPERLINK("https://www.boe.es/gazeta/dias/1815/01/07/pdfs/GMD-1815-3.pdf#page=5","Abrir facsímil")</f>
        <v>Abrir facsímil</v>
      </c>
      <c r="K969" s="3" t="s">
        <v>74</v>
      </c>
    </row>
    <row r="970" spans="1:11" ht="42" customHeight="1">
      <c r="A970" s="2" t="s">
        <v>2691</v>
      </c>
      <c r="B970" s="2" t="s">
        <v>2692</v>
      </c>
      <c r="C970" s="2" t="s">
        <v>31</v>
      </c>
      <c r="D970" s="2" t="s">
        <v>32</v>
      </c>
      <c r="E970" s="5">
        <v>-30842</v>
      </c>
      <c r="F970" s="3" t="s">
        <v>126</v>
      </c>
      <c r="G970" s="3" t="s">
        <v>276</v>
      </c>
      <c r="H970" s="2" t="s">
        <v>72</v>
      </c>
      <c r="I970" s="2" t="s">
        <v>2693</v>
      </c>
      <c r="J970" s="3" t="str">
        <f>HYPERLINK("https://www.boe.es/gazeta/dias/1815/07/22/pdfs/GMD-1815-90.pdf#page=12","Abrir facsímil")</f>
        <v>Abrir facsímil</v>
      </c>
      <c r="K970" s="3" t="s">
        <v>74</v>
      </c>
    </row>
    <row r="971" spans="1:11" ht="42" customHeight="1">
      <c r="A971" s="2" t="s">
        <v>2694</v>
      </c>
      <c r="B971" s="2" t="s">
        <v>2694</v>
      </c>
      <c r="C971" s="2" t="s">
        <v>17</v>
      </c>
      <c r="D971" s="2" t="s">
        <v>18</v>
      </c>
      <c r="E971" s="5">
        <v>-30968</v>
      </c>
      <c r="F971" s="3" t="s">
        <v>2695</v>
      </c>
      <c r="G971" s="3" t="s">
        <v>377</v>
      </c>
      <c r="H971" s="2" t="s">
        <v>72</v>
      </c>
      <c r="I971" s="2" t="s">
        <v>2696</v>
      </c>
      <c r="J971" s="3" t="str">
        <f>HYPERLINK("https://www.boe.es/gazeta/dias/1815/03/18/pdfs/GMD-1815-33.pdf#page=2","Abrir facsímil")</f>
        <v>Abrir facsímil</v>
      </c>
      <c r="K971" s="3" t="s">
        <v>74</v>
      </c>
    </row>
    <row r="972" spans="1:11" ht="42" customHeight="1">
      <c r="A972" s="2" t="s">
        <v>2697</v>
      </c>
      <c r="B972" s="2" t="s">
        <v>2698</v>
      </c>
      <c r="C972" s="2" t="s">
        <v>31</v>
      </c>
      <c r="D972" s="2" t="s">
        <v>32</v>
      </c>
      <c r="E972" s="5">
        <v>-30891</v>
      </c>
      <c r="F972" s="3" t="s">
        <v>498</v>
      </c>
      <c r="G972" s="3" t="s">
        <v>57</v>
      </c>
      <c r="H972" s="2" t="s">
        <v>72</v>
      </c>
      <c r="I972" s="2" t="s">
        <v>2699</v>
      </c>
      <c r="J972" s="3" t="str">
        <f>HYPERLINK("https://www.boe.es/gazeta/dias/1815/06/03/pdfs/GMD-1815-67.pdf#page=5","Abrir facsímil")</f>
        <v>Abrir facsímil</v>
      </c>
      <c r="K972" s="3" t="s">
        <v>74</v>
      </c>
    </row>
    <row r="973" spans="1:11" ht="42" customHeight="1">
      <c r="A973" s="2" t="s">
        <v>2700</v>
      </c>
      <c r="B973" s="2" t="s">
        <v>2701</v>
      </c>
      <c r="C973" s="2" t="s">
        <v>31</v>
      </c>
      <c r="D973" s="2" t="s">
        <v>32</v>
      </c>
      <c r="E973" s="5">
        <v>-30863</v>
      </c>
      <c r="F973" s="3" t="s">
        <v>110</v>
      </c>
      <c r="G973" s="3" t="s">
        <v>88</v>
      </c>
      <c r="H973" s="2" t="s">
        <v>72</v>
      </c>
      <c r="I973" s="2" t="s">
        <v>2702</v>
      </c>
      <c r="J973" s="3" t="str">
        <f>HYPERLINK("https://www.boe.es/gazeta/dias/1815/07/01/pdfs/GMD-1815-79.pdf#page=10","Abrir facsímil")</f>
        <v>Abrir facsímil</v>
      </c>
      <c r="K973" s="3" t="s">
        <v>74</v>
      </c>
    </row>
    <row r="974" spans="1:11" ht="42" customHeight="1">
      <c r="A974" s="2" t="s">
        <v>2703</v>
      </c>
      <c r="B974" s="2" t="s">
        <v>2704</v>
      </c>
      <c r="C974" s="2" t="s">
        <v>195</v>
      </c>
      <c r="D974" s="2" t="s">
        <v>50</v>
      </c>
      <c r="E974" s="5">
        <v>-31007</v>
      </c>
      <c r="F974" s="3" t="s">
        <v>200</v>
      </c>
      <c r="G974" s="3" t="s">
        <v>201</v>
      </c>
      <c r="H974" s="2" t="s">
        <v>72</v>
      </c>
      <c r="I974" s="2" t="s">
        <v>2705</v>
      </c>
      <c r="J974" s="3" t="str">
        <f>HYPERLINK("https://www.boe.es/gazeta/dias/1815/02/07/pdfs/GMD-1815-16.pdf#page=10","Abrir facsímil")</f>
        <v>Abrir facsímil</v>
      </c>
      <c r="K974" s="3" t="s">
        <v>74</v>
      </c>
    </row>
    <row r="975" spans="1:11" ht="42" customHeight="1">
      <c r="A975" s="2" t="s">
        <v>2706</v>
      </c>
      <c r="B975" s="2" t="s">
        <v>2707</v>
      </c>
      <c r="C975" s="2" t="s">
        <v>31</v>
      </c>
      <c r="D975" s="2" t="s">
        <v>32</v>
      </c>
      <c r="E975" s="5">
        <v>-30832</v>
      </c>
      <c r="F975" s="3" t="s">
        <v>266</v>
      </c>
      <c r="G975" s="3" t="s">
        <v>276</v>
      </c>
      <c r="H975" s="2" t="s">
        <v>72</v>
      </c>
      <c r="I975" s="2" t="s">
        <v>2708</v>
      </c>
      <c r="J975" s="3" t="str">
        <f>HYPERLINK("https://www.boe.es/gazeta/dias/1815/08/01/pdfs/GMD-1815-94.pdf#page=12","Abrir facsímil")</f>
        <v>Abrir facsímil</v>
      </c>
      <c r="K975" s="3" t="s">
        <v>74</v>
      </c>
    </row>
    <row r="976" spans="1:11" ht="42" customHeight="1">
      <c r="A976" s="2" t="s">
        <v>2706</v>
      </c>
      <c r="B976" s="2" t="s">
        <v>2707</v>
      </c>
      <c r="C976" s="2" t="s">
        <v>17</v>
      </c>
      <c r="D976" s="2" t="s">
        <v>18</v>
      </c>
      <c r="E976" s="5">
        <v>-30776</v>
      </c>
      <c r="F976" s="3" t="s">
        <v>118</v>
      </c>
      <c r="G976" s="3" t="s">
        <v>38</v>
      </c>
      <c r="H976" s="2" t="s">
        <v>72</v>
      </c>
      <c r="I976" s="2" t="s">
        <v>2709</v>
      </c>
      <c r="J976" s="3" t="str">
        <f>HYPERLINK("https://www.boe.es/gazeta/dias/1815/09/26/pdfs/GMD-1815-119.pdf#page=8","Abrir facsímil")</f>
        <v>Abrir facsímil</v>
      </c>
      <c r="K976" s="3" t="s">
        <v>74</v>
      </c>
    </row>
    <row r="977" spans="1:11" ht="42" customHeight="1">
      <c r="A977" s="2" t="s">
        <v>2706</v>
      </c>
      <c r="B977" s="2" t="s">
        <v>2707</v>
      </c>
      <c r="C977" s="2" t="s">
        <v>17</v>
      </c>
      <c r="D977" s="2" t="s">
        <v>18</v>
      </c>
      <c r="E977" s="5">
        <v>-30716</v>
      </c>
      <c r="F977" s="3" t="s">
        <v>589</v>
      </c>
      <c r="G977" s="3" t="s">
        <v>590</v>
      </c>
      <c r="H977" s="2" t="s">
        <v>72</v>
      </c>
      <c r="I977" s="2" t="s">
        <v>2710</v>
      </c>
      <c r="J977" s="3" t="str">
        <f>HYPERLINK("https://www.boe.es/gazeta/dias/1815/11/25/pdfs/GMD-1815-147.pdf#page=8","Abrir facsímil")</f>
        <v>Abrir facsímil</v>
      </c>
      <c r="K977" s="3" t="s">
        <v>74</v>
      </c>
    </row>
    <row r="978" spans="1:11" ht="42" customHeight="1">
      <c r="A978" s="2" t="s">
        <v>2711</v>
      </c>
      <c r="B978" s="2" t="s">
        <v>2712</v>
      </c>
      <c r="C978" s="2" t="s">
        <v>17</v>
      </c>
      <c r="D978" s="2" t="s">
        <v>18</v>
      </c>
      <c r="E978" s="5">
        <v>-30776</v>
      </c>
      <c r="F978" s="3" t="s">
        <v>118</v>
      </c>
      <c r="G978" s="3" t="s">
        <v>38</v>
      </c>
      <c r="H978" s="2" t="s">
        <v>72</v>
      </c>
      <c r="I978" s="2" t="s">
        <v>2713</v>
      </c>
      <c r="J978" s="3" t="str">
        <f>HYPERLINK("https://www.boe.es/gazeta/dias/1815/09/26/pdfs/GMD-1815-119.pdf#page=8","Abrir facsímil")</f>
        <v>Abrir facsímil</v>
      </c>
      <c r="K978" s="3" t="s">
        <v>74</v>
      </c>
    </row>
    <row r="979" spans="1:11" ht="42" customHeight="1">
      <c r="A979" s="2" t="s">
        <v>2714</v>
      </c>
      <c r="B979" s="2" t="s">
        <v>2715</v>
      </c>
      <c r="C979" s="2" t="s">
        <v>31</v>
      </c>
      <c r="D979" s="2" t="s">
        <v>32</v>
      </c>
      <c r="E979" s="5">
        <v>-30839</v>
      </c>
      <c r="F979" s="3" t="s">
        <v>616</v>
      </c>
      <c r="G979" s="3" t="s">
        <v>27</v>
      </c>
      <c r="H979" s="2" t="s">
        <v>72</v>
      </c>
      <c r="I979" s="2" t="s">
        <v>2716</v>
      </c>
      <c r="J979" s="3" t="str">
        <f>HYPERLINK("https://www.boe.es/gazeta/dias/1815/07/25/pdfs/GMD-1815-91.pdf#page=6","Abrir facsímil")</f>
        <v>Abrir facsímil</v>
      </c>
      <c r="K979" s="3" t="s">
        <v>74</v>
      </c>
    </row>
    <row r="980" spans="1:11" ht="42" customHeight="1">
      <c r="A980" s="2" t="s">
        <v>2717</v>
      </c>
      <c r="B980" s="2" t="s">
        <v>2718</v>
      </c>
      <c r="C980" s="2" t="s">
        <v>195</v>
      </c>
      <c r="D980" s="2" t="s">
        <v>50</v>
      </c>
      <c r="E980" s="5">
        <v>-31012</v>
      </c>
      <c r="F980" s="3" t="s">
        <v>529</v>
      </c>
      <c r="G980" s="3" t="s">
        <v>530</v>
      </c>
      <c r="H980" s="2" t="s">
        <v>72</v>
      </c>
      <c r="I980" s="2" t="s">
        <v>2719</v>
      </c>
      <c r="J980" s="3" t="str">
        <f>HYPERLINK("https://www.boe.es/gazeta/dias/1815/02/02/pdfs/GMD-1815-14.pdf#page=6","Abrir facsímil")</f>
        <v>Abrir facsímil</v>
      </c>
      <c r="K980" s="3" t="s">
        <v>74</v>
      </c>
    </row>
    <row r="981" spans="1:11" ht="42" customHeight="1">
      <c r="A981" s="2" t="s">
        <v>2720</v>
      </c>
      <c r="B981" s="2" t="s">
        <v>2721</v>
      </c>
      <c r="C981" s="2" t="s">
        <v>195</v>
      </c>
      <c r="D981" s="2" t="s">
        <v>50</v>
      </c>
      <c r="E981" s="5">
        <v>-31007</v>
      </c>
      <c r="F981" s="3" t="s">
        <v>200</v>
      </c>
      <c r="G981" s="3" t="s">
        <v>201</v>
      </c>
      <c r="H981" s="2" t="s">
        <v>72</v>
      </c>
      <c r="I981" s="2" t="s">
        <v>2722</v>
      </c>
      <c r="J981" s="3" t="str">
        <f>HYPERLINK("https://www.boe.es/gazeta/dias/1815/02/07/pdfs/GMD-1815-16.pdf#page=10","Abrir facsímil")</f>
        <v>Abrir facsímil</v>
      </c>
      <c r="K981" s="3" t="s">
        <v>74</v>
      </c>
    </row>
    <row r="982" spans="1:11" ht="42" customHeight="1">
      <c r="A982" s="2" t="s">
        <v>2723</v>
      </c>
      <c r="B982" s="2" t="s">
        <v>2724</v>
      </c>
      <c r="C982" s="2" t="s">
        <v>49</v>
      </c>
      <c r="D982" s="2" t="s">
        <v>50</v>
      </c>
      <c r="E982" s="5">
        <v>-30942</v>
      </c>
      <c r="F982" s="3" t="s">
        <v>730</v>
      </c>
      <c r="G982" s="3" t="s">
        <v>862</v>
      </c>
      <c r="H982" s="2" t="s">
        <v>21</v>
      </c>
      <c r="I982" s="2" t="s">
        <v>2725</v>
      </c>
      <c r="J982" s="3" t="str">
        <f>HYPERLINK("https://www.boe.es/gazeta/dias/1815/04/13/pdfs/GMD-1815-45.pdf#page=6","Abrir facsímil")</f>
        <v>Abrir facsímil</v>
      </c>
      <c r="K982" s="3" t="s">
        <v>23</v>
      </c>
    </row>
    <row r="983" spans="1:11" ht="42" customHeight="1">
      <c r="A983" s="2" t="s">
        <v>2726</v>
      </c>
      <c r="B983" s="2" t="s">
        <v>2727</v>
      </c>
      <c r="C983" s="2" t="s">
        <v>31</v>
      </c>
      <c r="D983" s="2" t="s">
        <v>32</v>
      </c>
      <c r="E983" s="5">
        <v>-30863</v>
      </c>
      <c r="F983" s="3" t="s">
        <v>110</v>
      </c>
      <c r="G983" s="3" t="s">
        <v>88</v>
      </c>
      <c r="H983" s="2" t="s">
        <v>72</v>
      </c>
      <c r="I983" s="2" t="s">
        <v>2728</v>
      </c>
      <c r="J983" s="3" t="str">
        <f>HYPERLINK("https://www.boe.es/gazeta/dias/1815/07/01/pdfs/GMD-1815-79.pdf#page=10","Abrir facsímil")</f>
        <v>Abrir facsímil</v>
      </c>
      <c r="K983" s="3" t="s">
        <v>74</v>
      </c>
    </row>
    <row r="984" spans="1:11" ht="42" customHeight="1">
      <c r="A984" s="2" t="s">
        <v>2729</v>
      </c>
      <c r="B984" s="2" t="s">
        <v>2730</v>
      </c>
      <c r="C984" s="2" t="s">
        <v>894</v>
      </c>
      <c r="D984" s="2" t="s">
        <v>18</v>
      </c>
      <c r="E984" s="5">
        <v>-30739</v>
      </c>
      <c r="F984" s="3" t="s">
        <v>254</v>
      </c>
      <c r="G984" s="3" t="s">
        <v>88</v>
      </c>
      <c r="H984" s="2" t="s">
        <v>72</v>
      </c>
      <c r="I984" s="2" t="s">
        <v>2731</v>
      </c>
      <c r="J984" s="3" t="str">
        <f>HYPERLINK("https://www.boe.es/gazeta/dias/1815/11/02/pdfs/GMD-1815-137.pdf#page=10","Abrir facsímil")</f>
        <v>Abrir facsímil</v>
      </c>
      <c r="K984" s="3" t="s">
        <v>74</v>
      </c>
    </row>
    <row r="985" spans="1:11" ht="42" customHeight="1">
      <c r="A985" s="2" t="s">
        <v>2732</v>
      </c>
      <c r="B985" s="2" t="s">
        <v>2733</v>
      </c>
      <c r="C985" s="2" t="s">
        <v>31</v>
      </c>
      <c r="D985" s="2" t="s">
        <v>32</v>
      </c>
      <c r="E985" s="5">
        <v>-30844</v>
      </c>
      <c r="F985" s="3" t="s">
        <v>114</v>
      </c>
      <c r="G985" s="3" t="s">
        <v>38</v>
      </c>
      <c r="H985" s="2" t="s">
        <v>72</v>
      </c>
      <c r="I985" s="2" t="s">
        <v>2734</v>
      </c>
      <c r="J985" s="3" t="str">
        <f>HYPERLINK("https://www.boe.es/gazeta/dias/1815/07/20/pdfs/GMD-1815-89.pdf#page=8","Abrir facsímil")</f>
        <v>Abrir facsímil</v>
      </c>
      <c r="K985" s="3" t="s">
        <v>74</v>
      </c>
    </row>
    <row r="986" spans="1:11" ht="42" customHeight="1">
      <c r="A986" s="2" t="s">
        <v>2735</v>
      </c>
      <c r="B986" s="2" t="s">
        <v>2735</v>
      </c>
      <c r="C986" s="2" t="s">
        <v>31</v>
      </c>
      <c r="D986" s="2" t="s">
        <v>32</v>
      </c>
      <c r="E986" s="5">
        <v>-30807</v>
      </c>
      <c r="F986" s="3" t="s">
        <v>586</v>
      </c>
      <c r="G986" s="3" t="s">
        <v>57</v>
      </c>
      <c r="H986" s="2" t="s">
        <v>72</v>
      </c>
      <c r="I986" s="2" t="s">
        <v>2736</v>
      </c>
      <c r="J986" s="3" t="str">
        <f>HYPERLINK("https://www.boe.es/gazeta/dias/1815/08/26/pdfs/GMD-1815-105.pdf#page=5","Abrir facsímil")</f>
        <v>Abrir facsímil</v>
      </c>
      <c r="K986" s="3" t="s">
        <v>74</v>
      </c>
    </row>
    <row r="987" spans="1:11" ht="42" customHeight="1">
      <c r="A987" s="2" t="s">
        <v>2737</v>
      </c>
      <c r="B987" s="2" t="s">
        <v>2738</v>
      </c>
      <c r="C987" s="2" t="s">
        <v>31</v>
      </c>
      <c r="D987" s="2" t="s">
        <v>32</v>
      </c>
      <c r="E987" s="5">
        <v>-30839</v>
      </c>
      <c r="F987" s="3" t="s">
        <v>616</v>
      </c>
      <c r="G987" s="3" t="s">
        <v>27</v>
      </c>
      <c r="H987" s="2" t="s">
        <v>72</v>
      </c>
      <c r="I987" s="2" t="s">
        <v>2739</v>
      </c>
      <c r="J987" s="3" t="str">
        <f>HYPERLINK("https://www.boe.es/gazeta/dias/1815/07/25/pdfs/GMD-1815-91.pdf#page=6","Abrir facsímil")</f>
        <v>Abrir facsímil</v>
      </c>
      <c r="K987" s="3" t="s">
        <v>74</v>
      </c>
    </row>
    <row r="988" spans="1:11" ht="42" customHeight="1">
      <c r="A988" s="2" t="s">
        <v>2740</v>
      </c>
      <c r="B988" s="2" t="s">
        <v>2740</v>
      </c>
      <c r="C988" s="2" t="s">
        <v>31</v>
      </c>
      <c r="D988" s="2" t="s">
        <v>179</v>
      </c>
      <c r="E988" s="5">
        <v>-30775</v>
      </c>
      <c r="F988" s="3" t="s">
        <v>2741</v>
      </c>
      <c r="G988" s="3" t="s">
        <v>410</v>
      </c>
      <c r="H988" s="2" t="s">
        <v>72</v>
      </c>
      <c r="I988" s="2" t="s">
        <v>2742</v>
      </c>
      <c r="J988" s="3" t="str">
        <f>HYPERLINK("https://www.boe.es/gazeta/dias/1815/09/27/pdfs/GMD-1815-120E.pdf#page=1","Abrir facsímil")</f>
        <v>Abrir facsímil</v>
      </c>
      <c r="K988" s="3" t="s">
        <v>74</v>
      </c>
    </row>
    <row r="989" spans="1:11" ht="42" customHeight="1">
      <c r="A989" s="2" t="s">
        <v>2743</v>
      </c>
      <c r="B989" s="2" t="s">
        <v>2744</v>
      </c>
      <c r="C989" s="2" t="s">
        <v>195</v>
      </c>
      <c r="D989" s="2" t="s">
        <v>50</v>
      </c>
      <c r="E989" s="5">
        <v>-30851</v>
      </c>
      <c r="F989" s="3" t="s">
        <v>442</v>
      </c>
      <c r="G989" s="3" t="s">
        <v>38</v>
      </c>
      <c r="H989" s="2" t="s">
        <v>72</v>
      </c>
      <c r="I989" s="2" t="s">
        <v>2745</v>
      </c>
      <c r="J989" s="3" t="str">
        <f>HYPERLINK("https://www.boe.es/gazeta/dias/1815/07/13/pdfs/GMD-1815-86.pdf#page=8","Abrir facsímil")</f>
        <v>Abrir facsímil</v>
      </c>
      <c r="K989" s="3" t="s">
        <v>74</v>
      </c>
    </row>
    <row r="990" spans="1:11" ht="42" customHeight="1">
      <c r="A990" s="2" t="s">
        <v>2746</v>
      </c>
      <c r="B990" s="2" t="s">
        <v>2747</v>
      </c>
      <c r="C990" s="2" t="s">
        <v>61</v>
      </c>
      <c r="D990" s="2" t="s">
        <v>50</v>
      </c>
      <c r="E990" s="5">
        <v>-30872</v>
      </c>
      <c r="F990" s="3" t="s">
        <v>167</v>
      </c>
      <c r="G990" s="3" t="s">
        <v>276</v>
      </c>
      <c r="H990" s="2" t="s">
        <v>72</v>
      </c>
      <c r="I990" s="2" t="s">
        <v>2748</v>
      </c>
      <c r="J990" s="3" t="str">
        <f>HYPERLINK("https://www.boe.es/gazeta/dias/1815/06/22/pdfs/GMD-1815-75.pdf#page=12","Abrir facsímil")</f>
        <v>Abrir facsímil</v>
      </c>
      <c r="K990" s="3" t="s">
        <v>74</v>
      </c>
    </row>
    <row r="991" spans="1:11" ht="42" customHeight="1">
      <c r="A991" s="2" t="s">
        <v>2749</v>
      </c>
      <c r="B991" s="2" t="s">
        <v>2750</v>
      </c>
      <c r="C991" s="2" t="s">
        <v>31</v>
      </c>
      <c r="D991" s="2" t="s">
        <v>32</v>
      </c>
      <c r="E991" s="5">
        <v>-30807</v>
      </c>
      <c r="F991" s="3" t="s">
        <v>586</v>
      </c>
      <c r="G991" s="3" t="s">
        <v>662</v>
      </c>
      <c r="H991" s="2" t="s">
        <v>72</v>
      </c>
      <c r="I991" s="2" t="s">
        <v>2751</v>
      </c>
      <c r="J991" s="3" t="str">
        <f>HYPERLINK("https://www.boe.es/gazeta/dias/1815/08/26/pdfs/GMD-1815-105.pdf#page=7","Abrir facsímil")</f>
        <v>Abrir facsímil</v>
      </c>
      <c r="K991" s="3" t="s">
        <v>74</v>
      </c>
    </row>
    <row r="992" spans="1:11" ht="42" customHeight="1">
      <c r="A992" s="2" t="s">
        <v>2752</v>
      </c>
      <c r="B992" s="2" t="s">
        <v>2753</v>
      </c>
      <c r="C992" s="2" t="s">
        <v>61</v>
      </c>
      <c r="D992" s="2" t="s">
        <v>50</v>
      </c>
      <c r="E992" s="5">
        <v>-30807</v>
      </c>
      <c r="F992" s="3" t="s">
        <v>586</v>
      </c>
      <c r="G992" s="3" t="s">
        <v>20</v>
      </c>
      <c r="H992" s="2" t="s">
        <v>72</v>
      </c>
      <c r="I992" s="2" t="s">
        <v>2754</v>
      </c>
      <c r="J992" s="3" t="str">
        <f>HYPERLINK("https://www.boe.es/gazeta/dias/1815/08/26/pdfs/GMD-1815-105.pdf#page=4","Abrir facsímil")</f>
        <v>Abrir facsímil</v>
      </c>
      <c r="K992" s="3" t="s">
        <v>74</v>
      </c>
    </row>
    <row r="993" spans="1:11" ht="42" customHeight="1">
      <c r="A993" s="2" t="s">
        <v>2752</v>
      </c>
      <c r="B993" s="2" t="s">
        <v>2753</v>
      </c>
      <c r="C993" s="2" t="s">
        <v>31</v>
      </c>
      <c r="D993" s="2" t="s">
        <v>32</v>
      </c>
      <c r="E993" s="5">
        <v>-30807</v>
      </c>
      <c r="F993" s="3" t="s">
        <v>586</v>
      </c>
      <c r="G993" s="3" t="s">
        <v>27</v>
      </c>
      <c r="H993" s="2" t="s">
        <v>72</v>
      </c>
      <c r="I993" s="2" t="s">
        <v>2755</v>
      </c>
      <c r="J993" s="3" t="str">
        <f>HYPERLINK("https://www.boe.es/gazeta/dias/1815/08/26/pdfs/GMD-1815-105.pdf#page=6","Abrir facsímil")</f>
        <v>Abrir facsímil</v>
      </c>
      <c r="K993" s="3" t="s">
        <v>74</v>
      </c>
    </row>
    <row r="994" spans="1:11" ht="42" customHeight="1">
      <c r="A994" s="2" t="s">
        <v>2756</v>
      </c>
      <c r="B994" s="2" t="s">
        <v>2756</v>
      </c>
      <c r="C994" s="2" t="s">
        <v>17</v>
      </c>
      <c r="D994" s="2" t="s">
        <v>18</v>
      </c>
      <c r="E994" s="5">
        <v>-30919</v>
      </c>
      <c r="F994" s="3" t="s">
        <v>792</v>
      </c>
      <c r="G994" s="3" t="s">
        <v>57</v>
      </c>
      <c r="H994" s="2" t="s">
        <v>72</v>
      </c>
      <c r="I994" s="2" t="s">
        <v>2757</v>
      </c>
      <c r="J994" s="3" t="str">
        <f>HYPERLINK("https://www.boe.es/gazeta/dias/1815/05/06/pdfs/GMD-1815-55.pdf#page=5","Abrir facsímil")</f>
        <v>Abrir facsímil</v>
      </c>
      <c r="K994" s="3" t="s">
        <v>74</v>
      </c>
    </row>
    <row r="995" spans="1:11" ht="42" customHeight="1">
      <c r="A995" s="2" t="s">
        <v>2756</v>
      </c>
      <c r="B995" s="2" t="s">
        <v>2756</v>
      </c>
      <c r="C995" s="2" t="s">
        <v>31</v>
      </c>
      <c r="D995" s="2" t="s">
        <v>32</v>
      </c>
      <c r="E995" s="5">
        <v>-30907</v>
      </c>
      <c r="F995" s="3" t="s">
        <v>301</v>
      </c>
      <c r="G995" s="3" t="s">
        <v>20</v>
      </c>
      <c r="H995" s="2" t="s">
        <v>72</v>
      </c>
      <c r="I995" s="2" t="s">
        <v>2758</v>
      </c>
      <c r="J995" s="3" t="str">
        <f>HYPERLINK("https://www.boe.es/gazeta/dias/1815/05/18/pdfs/GMD-1815-60.pdf#page=4","Abrir facsímil")</f>
        <v>Abrir facsímil</v>
      </c>
      <c r="K995" s="3" t="s">
        <v>74</v>
      </c>
    </row>
    <row r="996" spans="1:11" ht="42" customHeight="1">
      <c r="A996" s="2" t="s">
        <v>2759</v>
      </c>
      <c r="B996" s="2" t="s">
        <v>2760</v>
      </c>
      <c r="C996" s="2" t="s">
        <v>17</v>
      </c>
      <c r="D996" s="2" t="s">
        <v>18</v>
      </c>
      <c r="E996" s="5">
        <v>-30949</v>
      </c>
      <c r="F996" s="3" t="s">
        <v>420</v>
      </c>
      <c r="G996" s="3" t="s">
        <v>27</v>
      </c>
      <c r="H996" s="2" t="s">
        <v>72</v>
      </c>
      <c r="I996" s="2" t="s">
        <v>2761</v>
      </c>
      <c r="J996" s="3" t="str">
        <f>HYPERLINK("https://www.boe.es/gazeta/dias/1815/04/06/pdfs/GMD-1815-42.pdf#page=6","Abrir facsímil")</f>
        <v>Abrir facsímil</v>
      </c>
      <c r="K996" s="3" t="s">
        <v>74</v>
      </c>
    </row>
    <row r="997" spans="1:11" ht="42" customHeight="1">
      <c r="A997" s="2" t="s">
        <v>2762</v>
      </c>
      <c r="B997" s="2" t="s">
        <v>2763</v>
      </c>
      <c r="C997" s="2" t="s">
        <v>131</v>
      </c>
      <c r="D997" s="2" t="s">
        <v>50</v>
      </c>
      <c r="E997" s="5">
        <v>-31012</v>
      </c>
      <c r="F997" s="3" t="s">
        <v>529</v>
      </c>
      <c r="G997" s="3" t="s">
        <v>57</v>
      </c>
      <c r="H997" s="2" t="s">
        <v>72</v>
      </c>
      <c r="I997" s="2" t="s">
        <v>2764</v>
      </c>
      <c r="J997" s="3" t="str">
        <f>HYPERLINK("https://www.boe.es/gazeta/dias/1815/02/02/pdfs/GMD-1815-14.pdf#page=5","Abrir facsímil")</f>
        <v>Abrir facsímil</v>
      </c>
      <c r="K997" s="3" t="s">
        <v>74</v>
      </c>
    </row>
    <row r="998" spans="1:11" ht="42" customHeight="1">
      <c r="A998" s="2" t="s">
        <v>2765</v>
      </c>
      <c r="B998" s="2" t="s">
        <v>2766</v>
      </c>
      <c r="C998" s="2" t="s">
        <v>31</v>
      </c>
      <c r="D998" s="2" t="s">
        <v>32</v>
      </c>
      <c r="E998" s="5">
        <v>-30872</v>
      </c>
      <c r="F998" s="3" t="s">
        <v>167</v>
      </c>
      <c r="G998" s="3" t="s">
        <v>27</v>
      </c>
      <c r="H998" s="2" t="s">
        <v>72</v>
      </c>
      <c r="I998" s="2" t="s">
        <v>2767</v>
      </c>
      <c r="J998" s="3" t="str">
        <f>HYPERLINK("https://www.boe.es/gazeta/dias/1815/06/22/pdfs/GMD-1815-75.pdf#page=6","Abrir facsímil")</f>
        <v>Abrir facsímil</v>
      </c>
      <c r="K998" s="3" t="s">
        <v>74</v>
      </c>
    </row>
    <row r="999" spans="1:11" ht="42" customHeight="1">
      <c r="A999" s="2" t="s">
        <v>2768</v>
      </c>
      <c r="B999" s="2" t="s">
        <v>2769</v>
      </c>
      <c r="C999" s="2" t="s">
        <v>31</v>
      </c>
      <c r="D999" s="2" t="s">
        <v>32</v>
      </c>
      <c r="E999" s="5">
        <v>-30958</v>
      </c>
      <c r="F999" s="3" t="s">
        <v>297</v>
      </c>
      <c r="G999" s="3" t="s">
        <v>71</v>
      </c>
      <c r="H999" s="2" t="s">
        <v>21</v>
      </c>
      <c r="I999" s="2" t="s">
        <v>2770</v>
      </c>
      <c r="J999" s="3" t="str">
        <f>HYPERLINK("https://www.boe.es/gazeta/dias/1815/03/28/pdfs/GMD-1815-37.pdf#page=7","Abrir facsímil")</f>
        <v>Abrir facsímil</v>
      </c>
      <c r="K999" s="3" t="s">
        <v>23</v>
      </c>
    </row>
    <row r="1000" spans="1:11" ht="42" customHeight="1">
      <c r="A1000" s="2" t="s">
        <v>2771</v>
      </c>
      <c r="B1000" s="2" t="s">
        <v>2772</v>
      </c>
      <c r="C1000" s="2" t="s">
        <v>195</v>
      </c>
      <c r="D1000" s="2" t="s">
        <v>50</v>
      </c>
      <c r="E1000" s="5">
        <v>-30888</v>
      </c>
      <c r="F1000" s="3" t="s">
        <v>368</v>
      </c>
      <c r="G1000" s="3" t="s">
        <v>224</v>
      </c>
      <c r="H1000" s="2" t="s">
        <v>21</v>
      </c>
      <c r="I1000" s="2" t="s">
        <v>2773</v>
      </c>
      <c r="J1000" s="3" t="str">
        <f>HYPERLINK("https://www.boe.es/gazeta/dias/1815/06/06/pdfs/GMD-1815-68.pdf#page=9","Abrir facsímil")</f>
        <v>Abrir facsímil</v>
      </c>
      <c r="K1000" s="3" t="s">
        <v>23</v>
      </c>
    </row>
    <row r="1001" spans="1:11" ht="42" customHeight="1">
      <c r="A1001" s="2" t="s">
        <v>2774</v>
      </c>
      <c r="B1001" s="2" t="s">
        <v>2775</v>
      </c>
      <c r="C1001" s="2" t="s">
        <v>31</v>
      </c>
      <c r="D1001" s="2" t="s">
        <v>32</v>
      </c>
      <c r="E1001" s="5">
        <v>-30825</v>
      </c>
      <c r="F1001" s="3" t="s">
        <v>669</v>
      </c>
      <c r="G1001" s="3" t="s">
        <v>224</v>
      </c>
      <c r="H1001" s="2" t="s">
        <v>21</v>
      </c>
      <c r="I1001" s="2" t="s">
        <v>2776</v>
      </c>
      <c r="J1001" s="3" t="str">
        <f>HYPERLINK("https://www.boe.es/gazeta/dias/1815/08/08/pdfs/GMD-1815-97.pdf#page=9","Abrir facsímil")</f>
        <v>Abrir facsímil</v>
      </c>
      <c r="K1001" s="3" t="s">
        <v>23</v>
      </c>
    </row>
    <row r="1002" spans="1:11" ht="42" customHeight="1">
      <c r="A1002" s="2" t="s">
        <v>2777</v>
      </c>
      <c r="B1002" s="2" t="s">
        <v>2778</v>
      </c>
      <c r="C1002" s="2" t="s">
        <v>49</v>
      </c>
      <c r="D1002" s="2" t="s">
        <v>50</v>
      </c>
      <c r="E1002" s="5">
        <v>-30870</v>
      </c>
      <c r="F1002" s="3" t="s">
        <v>122</v>
      </c>
      <c r="G1002" s="3" t="s">
        <v>88</v>
      </c>
      <c r="H1002" s="2" t="s">
        <v>72</v>
      </c>
      <c r="I1002" s="2" t="s">
        <v>2779</v>
      </c>
      <c r="J1002" s="3" t="str">
        <f>HYPERLINK("https://www.boe.es/gazeta/dias/1815/06/24/pdfs/GMD-1815-76.pdf#page=10","Abrir facsímil")</f>
        <v>Abrir facsímil</v>
      </c>
      <c r="K1002" s="3" t="s">
        <v>74</v>
      </c>
    </row>
    <row r="1003" spans="1:11" ht="42" customHeight="1">
      <c r="A1003" s="2" t="s">
        <v>2780</v>
      </c>
      <c r="B1003" s="2" t="s">
        <v>2781</v>
      </c>
      <c r="C1003" s="2" t="s">
        <v>49</v>
      </c>
      <c r="D1003" s="2" t="s">
        <v>50</v>
      </c>
      <c r="E1003" s="5">
        <v>-30695</v>
      </c>
      <c r="F1003" s="3" t="s">
        <v>824</v>
      </c>
      <c r="G1003" s="3" t="s">
        <v>71</v>
      </c>
      <c r="H1003" s="2" t="s">
        <v>21</v>
      </c>
      <c r="I1003" s="2" t="s">
        <v>2782</v>
      </c>
      <c r="J1003" s="3" t="str">
        <f>HYPERLINK("https://www.boe.es/gazeta/dias/1815/12/16/pdfs/GMD-1815-156.pdf#page=7","Abrir facsímil")</f>
        <v>Abrir facsímil</v>
      </c>
      <c r="K1003" s="3" t="s">
        <v>23</v>
      </c>
    </row>
    <row r="1004" spans="1:11" ht="42" customHeight="1">
      <c r="A1004" s="2" t="s">
        <v>2783</v>
      </c>
      <c r="B1004" s="2" t="s">
        <v>2784</v>
      </c>
      <c r="C1004" s="2" t="s">
        <v>61</v>
      </c>
      <c r="D1004" s="2" t="s">
        <v>50</v>
      </c>
      <c r="E1004" s="5">
        <v>-31017</v>
      </c>
      <c r="F1004" s="3" t="s">
        <v>456</v>
      </c>
      <c r="G1004" s="3" t="s">
        <v>2785</v>
      </c>
      <c r="H1004" s="2" t="s">
        <v>72</v>
      </c>
      <c r="I1004" s="2" t="s">
        <v>2786</v>
      </c>
      <c r="J1004" s="3" t="str">
        <f>HYPERLINK("https://www.boe.es/gazeta/dias/1815/01/28/pdfs/GMD-1815-12.pdf#page=8","Abrir facsímil")</f>
        <v>Abrir facsímil</v>
      </c>
      <c r="K1004" s="3" t="s">
        <v>74</v>
      </c>
    </row>
    <row r="1005" spans="1:11" ht="42" customHeight="1">
      <c r="A1005" s="2" t="s">
        <v>2787</v>
      </c>
      <c r="B1005" s="2" t="s">
        <v>2788</v>
      </c>
      <c r="C1005" s="2" t="s">
        <v>49</v>
      </c>
      <c r="D1005" s="2" t="s">
        <v>50</v>
      </c>
      <c r="E1005" s="5">
        <v>-30767</v>
      </c>
      <c r="F1005" s="3" t="s">
        <v>228</v>
      </c>
      <c r="G1005" s="3" t="s">
        <v>88</v>
      </c>
      <c r="H1005" s="2" t="s">
        <v>72</v>
      </c>
      <c r="I1005" s="2" t="s">
        <v>2789</v>
      </c>
      <c r="J1005" s="3" t="str">
        <f>HYPERLINK("https://www.boe.es/gazeta/dias/1815/10/05/pdfs/GMD-1815-125.pdf#page=10","Abrir facsímil")</f>
        <v>Abrir facsímil</v>
      </c>
      <c r="K1005" s="3" t="s">
        <v>74</v>
      </c>
    </row>
    <row r="1006" spans="1:11" ht="42" customHeight="1">
      <c r="A1006" s="2" t="s">
        <v>2790</v>
      </c>
      <c r="B1006" s="2" t="s">
        <v>2791</v>
      </c>
      <c r="C1006" s="2" t="s">
        <v>49</v>
      </c>
      <c r="D1006" s="2" t="s">
        <v>50</v>
      </c>
      <c r="E1006" s="5">
        <v>-30886</v>
      </c>
      <c r="F1006" s="3" t="s">
        <v>140</v>
      </c>
      <c r="G1006" s="3" t="s">
        <v>224</v>
      </c>
      <c r="H1006" s="2" t="s">
        <v>72</v>
      </c>
      <c r="I1006" s="2" t="s">
        <v>2792</v>
      </c>
      <c r="J1006" s="3" t="str">
        <f>HYPERLINK("https://www.boe.es/gazeta/dias/1815/06/08/pdfs/GMD-1815-69.pdf#page=9","Abrir facsímil")</f>
        <v>Abrir facsímil</v>
      </c>
      <c r="K1006" s="3" t="s">
        <v>74</v>
      </c>
    </row>
    <row r="1007" spans="1:11" ht="42" customHeight="1">
      <c r="A1007" s="2" t="s">
        <v>2793</v>
      </c>
      <c r="B1007" s="2" t="s">
        <v>2794</v>
      </c>
      <c r="C1007" s="2" t="s">
        <v>49</v>
      </c>
      <c r="D1007" s="2" t="s">
        <v>50</v>
      </c>
      <c r="E1007" s="5">
        <v>-30741</v>
      </c>
      <c r="F1007" s="3" t="s">
        <v>1000</v>
      </c>
      <c r="G1007" s="3" t="s">
        <v>38</v>
      </c>
      <c r="H1007" s="2" t="s">
        <v>72</v>
      </c>
      <c r="I1007" s="2" t="s">
        <v>2795</v>
      </c>
      <c r="J1007" s="3" t="str">
        <f>HYPERLINK("https://www.boe.es/gazeta/dias/1815/10/31/pdfs/GMD-1815-136.pdf#page=8","Abrir facsímil")</f>
        <v>Abrir facsímil</v>
      </c>
      <c r="K1007" s="3" t="s">
        <v>74</v>
      </c>
    </row>
    <row r="1008" spans="1:11" ht="42" customHeight="1">
      <c r="A1008" s="2" t="s">
        <v>2796</v>
      </c>
      <c r="B1008" s="2" t="s">
        <v>2796</v>
      </c>
      <c r="C1008" s="2" t="s">
        <v>31</v>
      </c>
      <c r="D1008" s="2" t="s">
        <v>32</v>
      </c>
      <c r="E1008" s="5">
        <v>-30860</v>
      </c>
      <c r="F1008" s="3" t="s">
        <v>184</v>
      </c>
      <c r="G1008" s="3" t="s">
        <v>97</v>
      </c>
      <c r="H1008" s="2" t="s">
        <v>72</v>
      </c>
      <c r="I1008" s="2" t="s">
        <v>2797</v>
      </c>
      <c r="J1008" s="3" t="str">
        <f>HYPERLINK("https://www.boe.es/gazeta/dias/1815/07/04/pdfs/GMD-1815-81.pdf#page=3","Abrir facsímil")</f>
        <v>Abrir facsímil</v>
      </c>
      <c r="K1008" s="3" t="s">
        <v>74</v>
      </c>
    </row>
    <row r="1009" spans="1:11" ht="42" customHeight="1">
      <c r="A1009" s="2" t="s">
        <v>2798</v>
      </c>
      <c r="B1009" s="2" t="s">
        <v>2798</v>
      </c>
      <c r="C1009" s="2" t="s">
        <v>81</v>
      </c>
      <c r="D1009" s="2" t="s">
        <v>50</v>
      </c>
      <c r="E1009" s="5">
        <v>-30884</v>
      </c>
      <c r="F1009" s="3" t="s">
        <v>136</v>
      </c>
      <c r="G1009" s="3" t="s">
        <v>97</v>
      </c>
      <c r="H1009" s="2" t="s">
        <v>72</v>
      </c>
      <c r="I1009" s="2" t="s">
        <v>2799</v>
      </c>
      <c r="J1009" s="3" t="str">
        <f>HYPERLINK("https://www.boe.es/gazeta/dias/1815/06/10/pdfs/GMD-1815-70.pdf#page=3","Abrir facsímil")</f>
        <v>Abrir facsímil</v>
      </c>
      <c r="K1009" s="3" t="s">
        <v>74</v>
      </c>
    </row>
    <row r="1010" spans="1:11" ht="42" customHeight="1">
      <c r="A1010" s="2" t="s">
        <v>2800</v>
      </c>
      <c r="B1010" s="2" t="s">
        <v>2800</v>
      </c>
      <c r="C1010" s="2" t="s">
        <v>31</v>
      </c>
      <c r="D1010" s="2" t="s">
        <v>32</v>
      </c>
      <c r="E1010" s="5">
        <v>-30923</v>
      </c>
      <c r="F1010" s="3" t="s">
        <v>524</v>
      </c>
      <c r="G1010" s="3" t="s">
        <v>1289</v>
      </c>
      <c r="H1010" s="2" t="s">
        <v>72</v>
      </c>
      <c r="I1010" s="2" t="s">
        <v>2801</v>
      </c>
      <c r="J1010" s="3" t="str">
        <f>HYPERLINK("https://www.boe.es/gazeta/dias/1815/05/02/pdfs/GMD-1815-53.pdf#page=11","Abrir facsímil")</f>
        <v>Abrir facsímil</v>
      </c>
      <c r="K1010" s="3" t="s">
        <v>74</v>
      </c>
    </row>
    <row r="1011" spans="1:11" ht="42" customHeight="1">
      <c r="A1011" s="2" t="s">
        <v>2800</v>
      </c>
      <c r="B1011" s="2" t="s">
        <v>2800</v>
      </c>
      <c r="C1011" s="2" t="s">
        <v>49</v>
      </c>
      <c r="D1011" s="2" t="s">
        <v>50</v>
      </c>
      <c r="E1011" s="5">
        <v>-30919</v>
      </c>
      <c r="F1011" s="3" t="s">
        <v>792</v>
      </c>
      <c r="G1011" s="3" t="s">
        <v>793</v>
      </c>
      <c r="H1011" s="2" t="s">
        <v>72</v>
      </c>
      <c r="I1011" s="2" t="s">
        <v>2802</v>
      </c>
      <c r="J1011" s="3" t="str">
        <f>HYPERLINK("https://www.boe.es/gazeta/dias/1815/05/06/pdfs/GMD-1815-55.pdf#page=6","Abrir facsímil")</f>
        <v>Abrir facsímil</v>
      </c>
      <c r="K1011" s="3" t="s">
        <v>74</v>
      </c>
    </row>
    <row r="1012" spans="1:11" ht="42" customHeight="1">
      <c r="A1012" s="2" t="s">
        <v>2803</v>
      </c>
      <c r="B1012" s="2" t="s">
        <v>2804</v>
      </c>
      <c r="C1012" s="2" t="s">
        <v>195</v>
      </c>
      <c r="D1012" s="2" t="s">
        <v>50</v>
      </c>
      <c r="E1012" s="5">
        <v>-30888</v>
      </c>
      <c r="F1012" s="3" t="s">
        <v>368</v>
      </c>
      <c r="G1012" s="3" t="s">
        <v>38</v>
      </c>
      <c r="H1012" s="2" t="s">
        <v>72</v>
      </c>
      <c r="I1012" s="2" t="s">
        <v>2805</v>
      </c>
      <c r="J1012" s="3" t="str">
        <f>HYPERLINK("https://www.boe.es/gazeta/dias/1815/06/06/pdfs/GMD-1815-68.pdf#page=8","Abrir facsímil")</f>
        <v>Abrir facsímil</v>
      </c>
      <c r="K1012" s="3" t="s">
        <v>74</v>
      </c>
    </row>
    <row r="1013" spans="1:11" ht="42" customHeight="1">
      <c r="A1013" s="2" t="s">
        <v>2806</v>
      </c>
      <c r="B1013" s="2" t="s">
        <v>2806</v>
      </c>
      <c r="C1013" s="2" t="s">
        <v>31</v>
      </c>
      <c r="D1013" s="2" t="s">
        <v>32</v>
      </c>
      <c r="E1013" s="5">
        <v>-31035</v>
      </c>
      <c r="F1013" s="3" t="s">
        <v>42</v>
      </c>
      <c r="G1013" s="3" t="s">
        <v>2807</v>
      </c>
      <c r="H1013" s="2" t="s">
        <v>72</v>
      </c>
      <c r="I1013" s="2" t="s">
        <v>2808</v>
      </c>
      <c r="J1013" s="3" t="str">
        <f>HYPERLINK("https://www.boe.es/gazeta/dias/1815/01/10/pdfs/GMD-1815-4.pdf#page=5","Abrir facsímil")</f>
        <v>Abrir facsímil</v>
      </c>
      <c r="K1013" s="3" t="s">
        <v>74</v>
      </c>
    </row>
    <row r="1014" spans="1:11" ht="42" customHeight="1">
      <c r="A1014" s="2" t="s">
        <v>2806</v>
      </c>
      <c r="B1014" s="2" t="s">
        <v>2806</v>
      </c>
      <c r="C1014" s="2" t="s">
        <v>17</v>
      </c>
      <c r="D1014" s="2" t="s">
        <v>18</v>
      </c>
      <c r="E1014" s="5">
        <v>-31005</v>
      </c>
      <c r="F1014" s="3" t="s">
        <v>576</v>
      </c>
      <c r="G1014" s="3" t="s">
        <v>20</v>
      </c>
      <c r="H1014" s="2" t="s">
        <v>72</v>
      </c>
      <c r="I1014" s="2" t="s">
        <v>2809</v>
      </c>
      <c r="J1014" s="3" t="str">
        <f>HYPERLINK("https://www.boe.es/gazeta/dias/1815/02/09/pdfs/GMD-1815-17.pdf#page=4","Abrir facsímil")</f>
        <v>Abrir facsímil</v>
      </c>
      <c r="K1014" s="3" t="s">
        <v>74</v>
      </c>
    </row>
    <row r="1015" spans="1:11" ht="42" customHeight="1">
      <c r="A1015" s="2" t="s">
        <v>2806</v>
      </c>
      <c r="B1015" s="2" t="s">
        <v>2806</v>
      </c>
      <c r="C1015" s="2" t="s">
        <v>17</v>
      </c>
      <c r="D1015" s="2" t="s">
        <v>18</v>
      </c>
      <c r="E1015" s="5">
        <v>-30993</v>
      </c>
      <c r="F1015" s="3" t="s">
        <v>66</v>
      </c>
      <c r="G1015" s="3" t="s">
        <v>20</v>
      </c>
      <c r="H1015" s="2" t="s">
        <v>72</v>
      </c>
      <c r="I1015" s="2" t="s">
        <v>2810</v>
      </c>
      <c r="J1015" s="3" t="str">
        <f>HYPERLINK("https://www.boe.es/gazeta/dias/1815/02/21/pdfs/GMD-1815-22.pdf#page=4","Abrir facsímil")</f>
        <v>Abrir facsímil</v>
      </c>
      <c r="K1015" s="3" t="s">
        <v>74</v>
      </c>
    </row>
    <row r="1016" spans="1:11" ht="42" customHeight="1">
      <c r="A1016" s="2" t="s">
        <v>2811</v>
      </c>
      <c r="B1016" s="2" t="s">
        <v>2811</v>
      </c>
      <c r="C1016" s="2" t="s">
        <v>131</v>
      </c>
      <c r="D1016" s="2" t="s">
        <v>50</v>
      </c>
      <c r="E1016" s="5">
        <v>-30991</v>
      </c>
      <c r="F1016" s="3" t="s">
        <v>318</v>
      </c>
      <c r="G1016" s="3" t="s">
        <v>57</v>
      </c>
      <c r="H1016" s="2" t="s">
        <v>72</v>
      </c>
      <c r="I1016" s="2" t="s">
        <v>2812</v>
      </c>
      <c r="J1016" s="3" t="str">
        <f>HYPERLINK("https://www.boe.es/gazeta/dias/1815/02/23/pdfs/GMD-1815-23.pdf#page=5","Abrir facsímil")</f>
        <v>Abrir facsímil</v>
      </c>
      <c r="K1016" s="3" t="s">
        <v>74</v>
      </c>
    </row>
    <row r="1017" spans="1:11" ht="42" customHeight="1">
      <c r="A1017" s="2" t="s">
        <v>2806</v>
      </c>
      <c r="B1017" s="2" t="s">
        <v>2806</v>
      </c>
      <c r="C1017" s="2" t="s">
        <v>31</v>
      </c>
      <c r="D1017" s="2" t="s">
        <v>32</v>
      </c>
      <c r="E1017" s="5">
        <v>-30970</v>
      </c>
      <c r="F1017" s="3" t="s">
        <v>436</v>
      </c>
      <c r="G1017" s="3" t="s">
        <v>20</v>
      </c>
      <c r="H1017" s="2" t="s">
        <v>72</v>
      </c>
      <c r="I1017" s="2" t="s">
        <v>2813</v>
      </c>
      <c r="J1017" s="3" t="str">
        <f>HYPERLINK("https://www.boe.es/gazeta/dias/1815/03/16/pdfs/GMD-1815-32.pdf#page=4","Abrir facsímil")</f>
        <v>Abrir facsímil</v>
      </c>
      <c r="K1017" s="3" t="s">
        <v>74</v>
      </c>
    </row>
    <row r="1018" spans="1:11" ht="42" customHeight="1">
      <c r="A1018" s="2" t="s">
        <v>2806</v>
      </c>
      <c r="B1018" s="2" t="s">
        <v>2806</v>
      </c>
      <c r="C1018" s="2" t="s">
        <v>49</v>
      </c>
      <c r="D1018" s="2" t="s">
        <v>50</v>
      </c>
      <c r="E1018" s="5">
        <v>-30968</v>
      </c>
      <c r="F1018" s="3" t="s">
        <v>2695</v>
      </c>
      <c r="G1018" s="3" t="s">
        <v>2814</v>
      </c>
      <c r="H1018" s="2" t="s">
        <v>72</v>
      </c>
      <c r="I1018" s="2" t="s">
        <v>2815</v>
      </c>
      <c r="J1018" s="3" t="str">
        <f>HYPERLINK("https://www.boe.es/gazeta/dias/1815/03/18/pdfs/GMD-1815-33.pdf#page=10","Abrir facsímil")</f>
        <v>Abrir facsímil</v>
      </c>
      <c r="K1018" s="3" t="s">
        <v>74</v>
      </c>
    </row>
    <row r="1019" spans="1:11" ht="42" customHeight="1">
      <c r="A1019" s="2" t="s">
        <v>2811</v>
      </c>
      <c r="B1019" s="2" t="s">
        <v>2811</v>
      </c>
      <c r="C1019" s="2" t="s">
        <v>17</v>
      </c>
      <c r="D1019" s="2" t="s">
        <v>18</v>
      </c>
      <c r="E1019" s="5">
        <v>-30968</v>
      </c>
      <c r="F1019" s="3" t="s">
        <v>2695</v>
      </c>
      <c r="G1019" s="3" t="s">
        <v>57</v>
      </c>
      <c r="H1019" s="2" t="s">
        <v>72</v>
      </c>
      <c r="I1019" s="2" t="s">
        <v>2816</v>
      </c>
      <c r="J1019" s="3" t="str">
        <f>HYPERLINK("https://www.boe.es/gazeta/dias/1815/03/18/pdfs/GMD-1815-33.pdf#page=5","Abrir facsímil")</f>
        <v>Abrir facsímil</v>
      </c>
      <c r="K1019" s="3" t="s">
        <v>74</v>
      </c>
    </row>
    <row r="1020" spans="1:11" ht="42" customHeight="1">
      <c r="A1020" s="2" t="s">
        <v>2811</v>
      </c>
      <c r="B1020" s="2" t="s">
        <v>2811</v>
      </c>
      <c r="C1020" s="2" t="s">
        <v>49</v>
      </c>
      <c r="D1020" s="2" t="s">
        <v>50</v>
      </c>
      <c r="E1020" s="5">
        <v>-30963</v>
      </c>
      <c r="F1020" s="3" t="s">
        <v>879</v>
      </c>
      <c r="G1020" s="3" t="s">
        <v>57</v>
      </c>
      <c r="H1020" s="2" t="s">
        <v>72</v>
      </c>
      <c r="I1020" s="2" t="s">
        <v>2817</v>
      </c>
      <c r="J1020" s="3" t="str">
        <f>HYPERLINK("https://www.boe.es/gazeta/dias/1815/03/23/pdfs/GMD-1815-35.pdf#page=5","Abrir facsímil")</f>
        <v>Abrir facsímil</v>
      </c>
      <c r="K1020" s="3" t="s">
        <v>74</v>
      </c>
    </row>
    <row r="1021" spans="1:11" ht="42" customHeight="1">
      <c r="A1021" s="2" t="s">
        <v>2806</v>
      </c>
      <c r="B1021" s="2" t="s">
        <v>2806</v>
      </c>
      <c r="C1021" s="2" t="s">
        <v>81</v>
      </c>
      <c r="D1021" s="2" t="s">
        <v>50</v>
      </c>
      <c r="E1021" s="5">
        <v>-30954</v>
      </c>
      <c r="F1021" s="3" t="s">
        <v>409</v>
      </c>
      <c r="G1021" s="3" t="s">
        <v>57</v>
      </c>
      <c r="H1021" s="2" t="s">
        <v>72</v>
      </c>
      <c r="I1021" s="2" t="s">
        <v>2818</v>
      </c>
      <c r="J1021" s="3" t="str">
        <f>HYPERLINK("https://www.boe.es/gazeta/dias/1815/04/01/pdfs/GMD-1815-39.pdf#page=5","Abrir facsímil")</f>
        <v>Abrir facsímil</v>
      </c>
      <c r="K1021" s="3" t="s">
        <v>74</v>
      </c>
    </row>
    <row r="1022" spans="1:11" ht="42" customHeight="1">
      <c r="A1022" s="2" t="s">
        <v>2811</v>
      </c>
      <c r="B1022" s="2" t="s">
        <v>2811</v>
      </c>
      <c r="C1022" s="2" t="s">
        <v>31</v>
      </c>
      <c r="D1022" s="2" t="s">
        <v>32</v>
      </c>
      <c r="E1022" s="5">
        <v>-30947</v>
      </c>
      <c r="F1022" s="3" t="s">
        <v>159</v>
      </c>
      <c r="G1022" s="3" t="s">
        <v>57</v>
      </c>
      <c r="H1022" s="2" t="s">
        <v>72</v>
      </c>
      <c r="I1022" s="2" t="s">
        <v>2819</v>
      </c>
      <c r="J1022" s="3" t="str">
        <f>HYPERLINK("https://www.boe.es/gazeta/dias/1815/04/08/pdfs/GMD-1815-43.pdf#page=5","Abrir facsímil")</f>
        <v>Abrir facsímil</v>
      </c>
      <c r="K1022" s="3" t="s">
        <v>74</v>
      </c>
    </row>
    <row r="1023" spans="1:11" ht="42" customHeight="1">
      <c r="A1023" s="2" t="s">
        <v>2806</v>
      </c>
      <c r="B1023" s="2" t="s">
        <v>2806</v>
      </c>
      <c r="C1023" s="2" t="s">
        <v>31</v>
      </c>
      <c r="D1023" s="2" t="s">
        <v>32</v>
      </c>
      <c r="E1023" s="5">
        <v>-30937</v>
      </c>
      <c r="F1023" s="3" t="s">
        <v>322</v>
      </c>
      <c r="G1023" s="3" t="s">
        <v>27</v>
      </c>
      <c r="H1023" s="2" t="s">
        <v>72</v>
      </c>
      <c r="I1023" s="2" t="s">
        <v>2820</v>
      </c>
      <c r="J1023" s="3" t="str">
        <f>HYPERLINK("https://www.boe.es/gazeta/dias/1815/04/18/pdfs/GMD-1815-47.pdf#page=6","Abrir facsímil")</f>
        <v>Abrir facsímil</v>
      </c>
      <c r="K1023" s="3" t="s">
        <v>74</v>
      </c>
    </row>
    <row r="1024" spans="1:11" ht="42" customHeight="1">
      <c r="A1024" s="2" t="s">
        <v>2806</v>
      </c>
      <c r="B1024" s="2" t="s">
        <v>2806</v>
      </c>
      <c r="C1024" s="2" t="s">
        <v>31</v>
      </c>
      <c r="D1024" s="2" t="s">
        <v>32</v>
      </c>
      <c r="E1024" s="5">
        <v>-30916</v>
      </c>
      <c r="F1024" s="3" t="s">
        <v>147</v>
      </c>
      <c r="G1024" s="3" t="s">
        <v>224</v>
      </c>
      <c r="H1024" s="2" t="s">
        <v>72</v>
      </c>
      <c r="I1024" s="2" t="s">
        <v>2821</v>
      </c>
      <c r="J1024" s="3" t="str">
        <f>HYPERLINK("https://www.boe.es/gazeta/dias/1815/05/09/pdfs/GMD-1815-56.pdf#page=9","Abrir facsímil")</f>
        <v>Abrir facsímil</v>
      </c>
      <c r="K1024" s="3" t="s">
        <v>74</v>
      </c>
    </row>
    <row r="1025" spans="1:11" ht="42" customHeight="1">
      <c r="A1025" s="2" t="s">
        <v>2806</v>
      </c>
      <c r="B1025" s="2" t="s">
        <v>2806</v>
      </c>
      <c r="C1025" s="2" t="s">
        <v>31</v>
      </c>
      <c r="D1025" s="2" t="s">
        <v>32</v>
      </c>
      <c r="E1025" s="5">
        <v>-30900</v>
      </c>
      <c r="F1025" s="3" t="s">
        <v>921</v>
      </c>
      <c r="G1025" s="3" t="s">
        <v>38</v>
      </c>
      <c r="H1025" s="2" t="s">
        <v>72</v>
      </c>
      <c r="I1025" s="2" t="s">
        <v>2822</v>
      </c>
      <c r="J1025" s="3" t="str">
        <f>HYPERLINK("https://www.boe.es/gazeta/dias/1815/05/25/pdfs/GMD-1815-63.pdf#page=8","Abrir facsímil")</f>
        <v>Abrir facsímil</v>
      </c>
      <c r="K1025" s="3" t="s">
        <v>74</v>
      </c>
    </row>
    <row r="1026" spans="1:11" ht="42" customHeight="1">
      <c r="A1026" s="2" t="s">
        <v>2811</v>
      </c>
      <c r="B1026" s="2" t="s">
        <v>2811</v>
      </c>
      <c r="C1026" s="2" t="s">
        <v>81</v>
      </c>
      <c r="D1026" s="2" t="s">
        <v>50</v>
      </c>
      <c r="E1026" s="5">
        <v>-30898</v>
      </c>
      <c r="F1026" s="3" t="s">
        <v>212</v>
      </c>
      <c r="G1026" s="3" t="s">
        <v>57</v>
      </c>
      <c r="H1026" s="2" t="s">
        <v>72</v>
      </c>
      <c r="I1026" s="2" t="s">
        <v>2823</v>
      </c>
      <c r="J1026" s="3" t="str">
        <f>HYPERLINK("https://www.boe.es/gazeta/dias/1815/05/27/pdfs/GMD-1815-64.pdf#page=5","Abrir facsímil")</f>
        <v>Abrir facsímil</v>
      </c>
      <c r="K1026" s="3" t="s">
        <v>74</v>
      </c>
    </row>
    <row r="1027" spans="1:11" ht="42" customHeight="1">
      <c r="A1027" s="2" t="s">
        <v>2806</v>
      </c>
      <c r="B1027" s="2" t="s">
        <v>2806</v>
      </c>
      <c r="C1027" s="2" t="s">
        <v>49</v>
      </c>
      <c r="D1027" s="2" t="s">
        <v>50</v>
      </c>
      <c r="E1027" s="5">
        <v>-30886</v>
      </c>
      <c r="F1027" s="3" t="s">
        <v>140</v>
      </c>
      <c r="G1027" s="3" t="s">
        <v>57</v>
      </c>
      <c r="H1027" s="2" t="s">
        <v>72</v>
      </c>
      <c r="I1027" s="2" t="s">
        <v>2824</v>
      </c>
      <c r="J1027" s="3" t="str">
        <f>HYPERLINK("https://www.boe.es/gazeta/dias/1815/06/08/pdfs/GMD-1815-69.pdf#page=5","Abrir facsímil")</f>
        <v>Abrir facsímil</v>
      </c>
      <c r="K1027" s="3" t="s">
        <v>74</v>
      </c>
    </row>
    <row r="1028" spans="1:11" ht="42" customHeight="1">
      <c r="A1028" s="2" t="s">
        <v>2811</v>
      </c>
      <c r="B1028" s="2" t="s">
        <v>2811</v>
      </c>
      <c r="C1028" s="2" t="s">
        <v>31</v>
      </c>
      <c r="D1028" s="2" t="s">
        <v>32</v>
      </c>
      <c r="E1028" s="5">
        <v>-30872</v>
      </c>
      <c r="F1028" s="3" t="s">
        <v>167</v>
      </c>
      <c r="G1028" s="3" t="s">
        <v>2825</v>
      </c>
      <c r="H1028" s="2" t="s">
        <v>72</v>
      </c>
      <c r="I1028" s="2" t="s">
        <v>2826</v>
      </c>
      <c r="J1028" s="3" t="str">
        <f>HYPERLINK("https://www.boe.es/gazeta/dias/1815/06/22/pdfs/GMD-1815-75.pdf#page=10","Abrir facsímil")</f>
        <v>Abrir facsímil</v>
      </c>
      <c r="K1028" s="3" t="s">
        <v>74</v>
      </c>
    </row>
    <row r="1029" spans="1:11" ht="42" customHeight="1">
      <c r="A1029" s="2" t="s">
        <v>2811</v>
      </c>
      <c r="B1029" s="2" t="s">
        <v>2811</v>
      </c>
      <c r="C1029" s="2" t="s">
        <v>17</v>
      </c>
      <c r="D1029" s="2" t="s">
        <v>18</v>
      </c>
      <c r="E1029" s="5">
        <v>-30870</v>
      </c>
      <c r="F1029" s="3" t="s">
        <v>122</v>
      </c>
      <c r="G1029" s="3" t="s">
        <v>224</v>
      </c>
      <c r="H1029" s="2" t="s">
        <v>72</v>
      </c>
      <c r="I1029" s="2" t="s">
        <v>2827</v>
      </c>
      <c r="J1029" s="3" t="str">
        <f>HYPERLINK("https://www.boe.es/gazeta/dias/1815/06/24/pdfs/GMD-1815-76.pdf#page=9","Abrir facsímil")</f>
        <v>Abrir facsímil</v>
      </c>
      <c r="K1029" s="3" t="s">
        <v>74</v>
      </c>
    </row>
    <row r="1030" spans="1:11" ht="42" customHeight="1">
      <c r="A1030" s="2" t="s">
        <v>2806</v>
      </c>
      <c r="B1030" s="2" t="s">
        <v>2806</v>
      </c>
      <c r="C1030" s="2" t="s">
        <v>31</v>
      </c>
      <c r="D1030" s="2" t="s">
        <v>179</v>
      </c>
      <c r="E1030" s="5">
        <v>-30860</v>
      </c>
      <c r="F1030" s="3" t="s">
        <v>180</v>
      </c>
      <c r="G1030" s="3" t="s">
        <v>377</v>
      </c>
      <c r="H1030" s="2" t="s">
        <v>72</v>
      </c>
      <c r="I1030" s="2" t="s">
        <v>2828</v>
      </c>
      <c r="J1030" s="3" t="str">
        <f>HYPERLINK("https://www.boe.es/gazeta/dias/1815/07/04/pdfs/GMD-1815-82E.pdf#page=2","Abrir facsímil")</f>
        <v>Abrir facsímil</v>
      </c>
      <c r="K1030" s="3" t="s">
        <v>74</v>
      </c>
    </row>
    <row r="1031" spans="1:11" ht="42" customHeight="1">
      <c r="A1031" s="2" t="s">
        <v>2806</v>
      </c>
      <c r="B1031" s="2" t="s">
        <v>2806</v>
      </c>
      <c r="C1031" s="2" t="s">
        <v>31</v>
      </c>
      <c r="D1031" s="2" t="s">
        <v>179</v>
      </c>
      <c r="E1031" s="5">
        <v>-30860</v>
      </c>
      <c r="F1031" s="3" t="s">
        <v>180</v>
      </c>
      <c r="G1031" s="3" t="s">
        <v>20</v>
      </c>
      <c r="H1031" s="2" t="s">
        <v>72</v>
      </c>
      <c r="I1031" s="2" t="s">
        <v>2829</v>
      </c>
      <c r="J1031" s="3" t="str">
        <f>HYPERLINK("https://www.boe.es/gazeta/dias/1815/07/04/pdfs/GMD-1815-82E.pdf#page=4","Abrir facsímil")</f>
        <v>Abrir facsímil</v>
      </c>
      <c r="K1031" s="3" t="s">
        <v>74</v>
      </c>
    </row>
    <row r="1032" spans="1:11" ht="42" customHeight="1">
      <c r="A1032" s="2" t="s">
        <v>2806</v>
      </c>
      <c r="B1032" s="2" t="s">
        <v>2806</v>
      </c>
      <c r="C1032" s="2" t="s">
        <v>31</v>
      </c>
      <c r="D1032" s="2" t="s">
        <v>32</v>
      </c>
      <c r="E1032" s="5">
        <v>-30858</v>
      </c>
      <c r="F1032" s="3" t="s">
        <v>1928</v>
      </c>
      <c r="G1032" s="3" t="s">
        <v>2830</v>
      </c>
      <c r="H1032" s="2" t="s">
        <v>72</v>
      </c>
      <c r="I1032" s="2" t="s">
        <v>2831</v>
      </c>
      <c r="J1032" s="3" t="str">
        <f>HYPERLINK("https://www.boe.es/gazeta/dias/1815/07/06/pdfs/GMD-1815-83.pdf#page=5","Abrir facsímil")</f>
        <v>Abrir facsímil</v>
      </c>
      <c r="K1032" s="3" t="s">
        <v>74</v>
      </c>
    </row>
    <row r="1033" spans="1:11" ht="42" customHeight="1">
      <c r="A1033" s="2" t="s">
        <v>2811</v>
      </c>
      <c r="B1033" s="2" t="s">
        <v>2811</v>
      </c>
      <c r="C1033" s="2" t="s">
        <v>31</v>
      </c>
      <c r="D1033" s="2" t="s">
        <v>32</v>
      </c>
      <c r="E1033" s="5">
        <v>-30842</v>
      </c>
      <c r="F1033" s="3" t="s">
        <v>126</v>
      </c>
      <c r="G1033" s="3" t="s">
        <v>52</v>
      </c>
      <c r="H1033" s="2" t="s">
        <v>72</v>
      </c>
      <c r="I1033" s="2" t="s">
        <v>2832</v>
      </c>
      <c r="J1033" s="3" t="str">
        <f>HYPERLINK("https://www.boe.es/gazeta/dias/1815/07/22/pdfs/GMD-1815-90.pdf#page=11","Abrir facsímil")</f>
        <v>Abrir facsímil</v>
      </c>
      <c r="K1033" s="3" t="s">
        <v>74</v>
      </c>
    </row>
    <row r="1034" spans="1:11" ht="42" customHeight="1">
      <c r="A1034" s="2" t="s">
        <v>2811</v>
      </c>
      <c r="B1034" s="2" t="s">
        <v>2811</v>
      </c>
      <c r="C1034" s="2" t="s">
        <v>31</v>
      </c>
      <c r="D1034" s="2" t="s">
        <v>32</v>
      </c>
      <c r="E1034" s="5">
        <v>-30818</v>
      </c>
      <c r="F1034" s="3" t="s">
        <v>334</v>
      </c>
      <c r="G1034" s="3" t="s">
        <v>38</v>
      </c>
      <c r="H1034" s="2" t="s">
        <v>72</v>
      </c>
      <c r="I1034" s="2" t="s">
        <v>2833</v>
      </c>
      <c r="J1034" s="3" t="str">
        <f>HYPERLINK("https://www.boe.es/gazeta/dias/1815/08/15/pdfs/GMD-1815-100.pdf#page=8","Abrir facsímil")</f>
        <v>Abrir facsímil</v>
      </c>
      <c r="K1034" s="3" t="s">
        <v>74</v>
      </c>
    </row>
    <row r="1035" spans="1:11" ht="42" customHeight="1">
      <c r="A1035" s="2" t="s">
        <v>2806</v>
      </c>
      <c r="B1035" s="2" t="s">
        <v>2806</v>
      </c>
      <c r="C1035" s="2" t="s">
        <v>31</v>
      </c>
      <c r="D1035" s="2" t="s">
        <v>32</v>
      </c>
      <c r="E1035" s="5">
        <v>-30809</v>
      </c>
      <c r="F1035" s="3" t="s">
        <v>82</v>
      </c>
      <c r="G1035" s="3" t="s">
        <v>2625</v>
      </c>
      <c r="H1035" s="2" t="s">
        <v>72</v>
      </c>
      <c r="I1035" s="2" t="s">
        <v>2834</v>
      </c>
      <c r="J1035" s="3" t="str">
        <f>HYPERLINK("https://www.boe.es/gazeta/dias/1815/08/24/pdfs/GMD-1815-104.pdf#page=3","Abrir facsímil")</f>
        <v>Abrir facsímil</v>
      </c>
      <c r="K1035" s="3" t="s">
        <v>74</v>
      </c>
    </row>
    <row r="1036" spans="1:11" ht="42" customHeight="1">
      <c r="A1036" s="2" t="s">
        <v>2806</v>
      </c>
      <c r="B1036" s="2" t="s">
        <v>2806</v>
      </c>
      <c r="C1036" s="2" t="s">
        <v>61</v>
      </c>
      <c r="D1036" s="2" t="s">
        <v>50</v>
      </c>
      <c r="E1036" s="5">
        <v>-30800</v>
      </c>
      <c r="F1036" s="3" t="s">
        <v>26</v>
      </c>
      <c r="G1036" s="3" t="s">
        <v>38</v>
      </c>
      <c r="H1036" s="2" t="s">
        <v>72</v>
      </c>
      <c r="I1036" s="2" t="s">
        <v>2835</v>
      </c>
      <c r="J1036" s="3" t="str">
        <f>HYPERLINK("https://www.boe.es/gazeta/dias/1815/09/02/pdfs/GMD-1815-109.pdf#page=8","Abrir facsímil")</f>
        <v>Abrir facsímil</v>
      </c>
      <c r="K1036" s="3" t="s">
        <v>74</v>
      </c>
    </row>
    <row r="1037" spans="1:11" ht="42" customHeight="1">
      <c r="A1037" s="2" t="s">
        <v>2806</v>
      </c>
      <c r="B1037" s="2" t="s">
        <v>2806</v>
      </c>
      <c r="C1037" s="2" t="s">
        <v>49</v>
      </c>
      <c r="D1037" s="2" t="s">
        <v>50</v>
      </c>
      <c r="E1037" s="5">
        <v>-30788</v>
      </c>
      <c r="F1037" s="3" t="s">
        <v>96</v>
      </c>
      <c r="G1037" s="3" t="s">
        <v>27</v>
      </c>
      <c r="H1037" s="2" t="s">
        <v>72</v>
      </c>
      <c r="I1037" s="2" t="s">
        <v>2836</v>
      </c>
      <c r="J1037" s="3" t="str">
        <f>HYPERLINK("https://www.boe.es/gazeta/dias/1815/09/14/pdfs/GMD-1815-114.pdf#page=6","Abrir facsímil")</f>
        <v>Abrir facsímil</v>
      </c>
      <c r="K1037" s="3" t="s">
        <v>74</v>
      </c>
    </row>
    <row r="1038" spans="1:11" ht="42" customHeight="1">
      <c r="A1038" s="2" t="s">
        <v>2806</v>
      </c>
      <c r="B1038" s="2" t="s">
        <v>2806</v>
      </c>
      <c r="C1038" s="2" t="s">
        <v>31</v>
      </c>
      <c r="D1038" s="2" t="s">
        <v>32</v>
      </c>
      <c r="E1038" s="5">
        <v>-30786</v>
      </c>
      <c r="F1038" s="3" t="s">
        <v>558</v>
      </c>
      <c r="G1038" s="3" t="s">
        <v>57</v>
      </c>
      <c r="H1038" s="2" t="s">
        <v>72</v>
      </c>
      <c r="I1038" s="2" t="s">
        <v>2837</v>
      </c>
      <c r="J1038" s="3" t="str">
        <f>HYPERLINK("https://www.boe.es/gazeta/dias/1815/09/16/pdfs/GMD-1815-115.pdf#page=5","Abrir facsímil")</f>
        <v>Abrir facsímil</v>
      </c>
      <c r="K1038" s="3" t="s">
        <v>74</v>
      </c>
    </row>
    <row r="1039" spans="1:11" ht="42" customHeight="1">
      <c r="A1039" s="2" t="s">
        <v>2806</v>
      </c>
      <c r="B1039" s="2" t="s">
        <v>2806</v>
      </c>
      <c r="C1039" s="2" t="s">
        <v>31</v>
      </c>
      <c r="D1039" s="2" t="s">
        <v>32</v>
      </c>
      <c r="E1039" s="5">
        <v>-30734</v>
      </c>
      <c r="F1039" s="3" t="s">
        <v>376</v>
      </c>
      <c r="G1039" s="3" t="s">
        <v>57</v>
      </c>
      <c r="H1039" s="2" t="s">
        <v>72</v>
      </c>
      <c r="I1039" s="2" t="s">
        <v>2838</v>
      </c>
      <c r="J1039" s="3" t="str">
        <f>HYPERLINK("https://www.boe.es/gazeta/dias/1815/11/07/pdfs/GMD-1815-139.pdf#page=5","Abrir facsímil")</f>
        <v>Abrir facsímil</v>
      </c>
      <c r="K1039" s="3" t="s">
        <v>74</v>
      </c>
    </row>
    <row r="1040" spans="1:11" ht="42" customHeight="1">
      <c r="A1040" s="2" t="s">
        <v>2811</v>
      </c>
      <c r="B1040" s="2" t="s">
        <v>2811</v>
      </c>
      <c r="C1040" s="2" t="s">
        <v>31</v>
      </c>
      <c r="D1040" s="2" t="s">
        <v>32</v>
      </c>
      <c r="E1040" s="5">
        <v>-30716</v>
      </c>
      <c r="F1040" s="3" t="s">
        <v>589</v>
      </c>
      <c r="G1040" s="3" t="s">
        <v>71</v>
      </c>
      <c r="H1040" s="2" t="s">
        <v>72</v>
      </c>
      <c r="I1040" s="2" t="s">
        <v>2839</v>
      </c>
      <c r="J1040" s="3" t="str">
        <f>HYPERLINK("https://www.boe.es/gazeta/dias/1815/11/25/pdfs/GMD-1815-147.pdf#page=7","Abrir facsímil")</f>
        <v>Abrir facsímil</v>
      </c>
      <c r="K1040" s="3" t="s">
        <v>74</v>
      </c>
    </row>
    <row r="1041" spans="1:11" ht="42" customHeight="1">
      <c r="A1041" s="2" t="s">
        <v>2811</v>
      </c>
      <c r="B1041" s="2" t="s">
        <v>2811</v>
      </c>
      <c r="C1041" s="2" t="s">
        <v>31</v>
      </c>
      <c r="D1041" s="2" t="s">
        <v>32</v>
      </c>
      <c r="E1041" s="5">
        <v>-30697</v>
      </c>
      <c r="F1041" s="3" t="s">
        <v>381</v>
      </c>
      <c r="G1041" s="3" t="s">
        <v>71</v>
      </c>
      <c r="H1041" s="2" t="s">
        <v>72</v>
      </c>
      <c r="I1041" s="2" t="s">
        <v>2840</v>
      </c>
      <c r="J1041" s="3" t="str">
        <f>HYPERLINK("https://www.boe.es/gazeta/dias/1815/12/14/pdfs/GMD-1815-155.pdf#page=7","Abrir facsímil")</f>
        <v>Abrir facsímil</v>
      </c>
      <c r="K1041" s="3" t="s">
        <v>74</v>
      </c>
    </row>
    <row r="1042" spans="1:11" ht="42" customHeight="1">
      <c r="A1042" s="2" t="s">
        <v>2841</v>
      </c>
      <c r="B1042" s="2" t="s">
        <v>2841</v>
      </c>
      <c r="C1042" s="2" t="s">
        <v>49</v>
      </c>
      <c r="D1042" s="2" t="s">
        <v>50</v>
      </c>
      <c r="E1042" s="5">
        <v>-30965</v>
      </c>
      <c r="F1042" s="3" t="s">
        <v>1679</v>
      </c>
      <c r="G1042" s="3" t="s">
        <v>57</v>
      </c>
      <c r="H1042" s="2" t="s">
        <v>72</v>
      </c>
      <c r="I1042" s="2" t="s">
        <v>2842</v>
      </c>
      <c r="J1042" s="3" t="str">
        <f>HYPERLINK("https://www.boe.es/gazeta/dias/1815/03/21/pdfs/GMD-1815-34.pdf#page=5","Abrir facsímil")</f>
        <v>Abrir facsímil</v>
      </c>
      <c r="K1042" s="3" t="s">
        <v>74</v>
      </c>
    </row>
    <row r="1043" spans="1:11" ht="42" customHeight="1">
      <c r="A1043" s="2" t="s">
        <v>2843</v>
      </c>
      <c r="B1043" s="2" t="s">
        <v>2844</v>
      </c>
      <c r="C1043" s="2" t="s">
        <v>31</v>
      </c>
      <c r="D1043" s="2" t="s">
        <v>32</v>
      </c>
      <c r="E1043" s="5">
        <v>-30935</v>
      </c>
      <c r="F1043" s="3" t="s">
        <v>519</v>
      </c>
      <c r="G1043" s="3" t="s">
        <v>71</v>
      </c>
      <c r="H1043" s="2" t="s">
        <v>21</v>
      </c>
      <c r="I1043" s="2" t="s">
        <v>2845</v>
      </c>
      <c r="J1043" s="3" t="str">
        <f>HYPERLINK("https://www.boe.es/gazeta/dias/1815/04/20/pdfs/GMD-1815-48.pdf#page=7","Abrir facsímil")</f>
        <v>Abrir facsímil</v>
      </c>
      <c r="K1043" s="3" t="s">
        <v>23</v>
      </c>
    </row>
    <row r="1044" spans="1:11" ht="42" customHeight="1">
      <c r="A1044" s="2" t="s">
        <v>2846</v>
      </c>
      <c r="B1044" s="2" t="s">
        <v>2846</v>
      </c>
      <c r="C1044" s="2" t="s">
        <v>17</v>
      </c>
      <c r="D1044" s="2" t="s">
        <v>18</v>
      </c>
      <c r="E1044" s="5">
        <v>-30774</v>
      </c>
      <c r="F1044" s="3" t="s">
        <v>1143</v>
      </c>
      <c r="G1044" s="3" t="s">
        <v>2847</v>
      </c>
      <c r="H1044" s="2" t="s">
        <v>72</v>
      </c>
      <c r="I1044" s="2" t="s">
        <v>2848</v>
      </c>
      <c r="J1044" s="3" t="str">
        <f>HYPERLINK("https://www.boe.es/gazeta/dias/1815/09/28/pdfs/GMD-1815-121.pdf#page=5","Abrir facsímil")</f>
        <v>Abrir facsímil</v>
      </c>
      <c r="K1044" s="3" t="s">
        <v>74</v>
      </c>
    </row>
    <row r="1045" spans="1:11" ht="42" customHeight="1">
      <c r="A1045" s="2" t="s">
        <v>2849</v>
      </c>
      <c r="B1045" s="2" t="s">
        <v>2849</v>
      </c>
      <c r="C1045" s="2" t="s">
        <v>31</v>
      </c>
      <c r="D1045" s="2" t="s">
        <v>32</v>
      </c>
      <c r="E1045" s="5">
        <v>-31026</v>
      </c>
      <c r="F1045" s="3" t="s">
        <v>874</v>
      </c>
      <c r="G1045" s="3" t="s">
        <v>20</v>
      </c>
      <c r="H1045" s="2" t="s">
        <v>72</v>
      </c>
      <c r="I1045" s="2" t="s">
        <v>2850</v>
      </c>
      <c r="J1045" s="3" t="str">
        <f>HYPERLINK("https://www.boe.es/gazeta/dias/1815/01/19/pdfs/GMD-1815-8.pdf#page=4","Abrir facsímil")</f>
        <v>Abrir facsímil</v>
      </c>
      <c r="K1045" s="3" t="s">
        <v>74</v>
      </c>
    </row>
    <row r="1046" spans="1:11" ht="42" customHeight="1">
      <c r="A1046" s="2" t="s">
        <v>2851</v>
      </c>
      <c r="B1046" s="2" t="s">
        <v>2851</v>
      </c>
      <c r="C1046" s="2" t="s">
        <v>17</v>
      </c>
      <c r="D1046" s="2" t="s">
        <v>18</v>
      </c>
      <c r="E1046" s="5">
        <v>-30863</v>
      </c>
      <c r="F1046" s="3" t="s">
        <v>110</v>
      </c>
      <c r="G1046" s="3" t="s">
        <v>71</v>
      </c>
      <c r="H1046" s="2" t="s">
        <v>72</v>
      </c>
      <c r="I1046" s="2" t="s">
        <v>2852</v>
      </c>
      <c r="J1046" s="3" t="str">
        <f>HYPERLINK("https://www.boe.es/gazeta/dias/1815/07/01/pdfs/GMD-1815-79.pdf#page=7","Abrir facsímil")</f>
        <v>Abrir facsímil</v>
      </c>
      <c r="K1046" s="3" t="s">
        <v>74</v>
      </c>
    </row>
    <row r="1047" spans="1:11" ht="42" customHeight="1">
      <c r="A1047" s="2" t="s">
        <v>2853</v>
      </c>
      <c r="B1047" s="2" t="s">
        <v>2854</v>
      </c>
      <c r="C1047" s="2" t="s">
        <v>195</v>
      </c>
      <c r="D1047" s="2" t="s">
        <v>50</v>
      </c>
      <c r="E1047" s="5">
        <v>-30839</v>
      </c>
      <c r="F1047" s="3" t="s">
        <v>616</v>
      </c>
      <c r="G1047" s="3" t="s">
        <v>617</v>
      </c>
      <c r="H1047" s="2" t="s">
        <v>72</v>
      </c>
      <c r="I1047" s="2" t="s">
        <v>2855</v>
      </c>
      <c r="J1047" s="3" t="str">
        <f>HYPERLINK("https://www.boe.es/gazeta/dias/1815/07/25/pdfs/GMD-1815-91.pdf#page=8","Abrir facsímil")</f>
        <v>Abrir facsímil</v>
      </c>
      <c r="K1047" s="3" t="s">
        <v>74</v>
      </c>
    </row>
    <row r="1048" spans="1:11" ht="42" customHeight="1">
      <c r="A1048" s="2" t="s">
        <v>2856</v>
      </c>
      <c r="B1048" s="2" t="s">
        <v>2857</v>
      </c>
      <c r="C1048" s="2" t="s">
        <v>49</v>
      </c>
      <c r="D1048" s="2" t="s">
        <v>50</v>
      </c>
      <c r="E1048" s="5">
        <v>-30870</v>
      </c>
      <c r="F1048" s="3" t="s">
        <v>122</v>
      </c>
      <c r="G1048" s="3" t="s">
        <v>52</v>
      </c>
      <c r="H1048" s="2" t="s">
        <v>72</v>
      </c>
      <c r="I1048" s="2" t="s">
        <v>2858</v>
      </c>
      <c r="J1048" s="3" t="str">
        <f>HYPERLINK("https://www.boe.es/gazeta/dias/1815/06/24/pdfs/GMD-1815-76.pdf#page=11","Abrir facsímil")</f>
        <v>Abrir facsímil</v>
      </c>
      <c r="K1048" s="3" t="s">
        <v>74</v>
      </c>
    </row>
    <row r="1049" spans="1:11" ht="42" customHeight="1">
      <c r="A1049" s="2" t="s">
        <v>2859</v>
      </c>
      <c r="B1049" s="2" t="s">
        <v>2860</v>
      </c>
      <c r="C1049" s="2" t="s">
        <v>49</v>
      </c>
      <c r="D1049" s="2" t="s">
        <v>50</v>
      </c>
      <c r="E1049" s="5">
        <v>-30977</v>
      </c>
      <c r="F1049" s="3" t="s">
        <v>37</v>
      </c>
      <c r="G1049" s="3" t="s">
        <v>20</v>
      </c>
      <c r="H1049" s="2" t="s">
        <v>72</v>
      </c>
      <c r="I1049" s="2" t="s">
        <v>2861</v>
      </c>
      <c r="J1049" s="3" t="str">
        <f>HYPERLINK("https://www.boe.es/gazeta/dias/1815/03/09/pdfs/GMD-1815-29.pdf#page=4","Abrir facsímil")</f>
        <v>Abrir facsímil</v>
      </c>
      <c r="K1049" s="3" t="s">
        <v>74</v>
      </c>
    </row>
    <row r="1050" spans="1:11" ht="42" customHeight="1">
      <c r="A1050" s="2" t="s">
        <v>2862</v>
      </c>
      <c r="B1050" s="2" t="s">
        <v>2863</v>
      </c>
      <c r="C1050" s="2" t="s">
        <v>17</v>
      </c>
      <c r="D1050" s="2" t="s">
        <v>18</v>
      </c>
      <c r="E1050" s="5">
        <v>-30795</v>
      </c>
      <c r="F1050" s="3" t="s">
        <v>172</v>
      </c>
      <c r="G1050" s="3" t="s">
        <v>276</v>
      </c>
      <c r="H1050" s="2" t="s">
        <v>72</v>
      </c>
      <c r="I1050" s="2" t="s">
        <v>2864</v>
      </c>
      <c r="J1050" s="3" t="str">
        <f>HYPERLINK("https://www.boe.es/gazeta/dias/1815/09/07/pdfs/GMD-1815-111.pdf#page=12","Abrir facsímil")</f>
        <v>Abrir facsímil</v>
      </c>
      <c r="K1050" s="3" t="s">
        <v>74</v>
      </c>
    </row>
    <row r="1051" spans="1:11" ht="42" customHeight="1">
      <c r="A1051" s="2" t="s">
        <v>2862</v>
      </c>
      <c r="B1051" s="2" t="s">
        <v>2863</v>
      </c>
      <c r="C1051" s="2" t="s">
        <v>131</v>
      </c>
      <c r="D1051" s="2" t="s">
        <v>50</v>
      </c>
      <c r="E1051" s="5">
        <v>-30769</v>
      </c>
      <c r="F1051" s="3" t="s">
        <v>1641</v>
      </c>
      <c r="G1051" s="3" t="s">
        <v>38</v>
      </c>
      <c r="H1051" s="2" t="s">
        <v>72</v>
      </c>
      <c r="I1051" s="2" t="s">
        <v>2865</v>
      </c>
      <c r="J1051" s="3" t="str">
        <f>HYPERLINK("https://www.boe.es/gazeta/dias/1815/10/03/pdfs/GMD-1815-124.pdf#page=8","Abrir facsímil")</f>
        <v>Abrir facsímil</v>
      </c>
      <c r="K1051" s="3" t="s">
        <v>74</v>
      </c>
    </row>
    <row r="1052" spans="1:11" ht="42" customHeight="1">
      <c r="A1052" s="2" t="s">
        <v>2866</v>
      </c>
      <c r="B1052" s="2" t="s">
        <v>2867</v>
      </c>
      <c r="C1052" s="2" t="s">
        <v>49</v>
      </c>
      <c r="D1052" s="2" t="s">
        <v>50</v>
      </c>
      <c r="E1052" s="5">
        <v>-31042</v>
      </c>
      <c r="F1052" s="3" t="s">
        <v>512</v>
      </c>
      <c r="G1052" s="3" t="s">
        <v>20</v>
      </c>
      <c r="H1052" s="2" t="s">
        <v>72</v>
      </c>
      <c r="I1052" s="2" t="s">
        <v>2868</v>
      </c>
      <c r="J1052" s="3" t="str">
        <f>HYPERLINK("https://www.boe.es/gazeta/dias/1815/01/03/pdfs/GMD-1815-1.pdf#page=4","Abrir facsímil")</f>
        <v>Abrir facsímil</v>
      </c>
      <c r="K1052" s="3" t="s">
        <v>74</v>
      </c>
    </row>
    <row r="1053" spans="1:11" ht="42" customHeight="1">
      <c r="A1053" s="2" t="s">
        <v>2869</v>
      </c>
      <c r="B1053" s="2" t="s">
        <v>2870</v>
      </c>
      <c r="C1053" s="2" t="s">
        <v>31</v>
      </c>
      <c r="D1053" s="2" t="s">
        <v>32</v>
      </c>
      <c r="E1053" s="5">
        <v>-31038</v>
      </c>
      <c r="F1053" s="3" t="s">
        <v>395</v>
      </c>
      <c r="G1053" s="3" t="s">
        <v>396</v>
      </c>
      <c r="H1053" s="2" t="s">
        <v>72</v>
      </c>
      <c r="I1053" s="2" t="s">
        <v>2871</v>
      </c>
      <c r="J1053" s="3" t="str">
        <f>HYPERLINK("https://www.boe.es/gazeta/dias/1815/01/07/pdfs/GMD-1815-3.pdf#page=5","Abrir facsímil")</f>
        <v>Abrir facsímil</v>
      </c>
      <c r="K1053" s="3" t="s">
        <v>74</v>
      </c>
    </row>
    <row r="1054" spans="1:11" ht="42" customHeight="1">
      <c r="A1054" s="2" t="s">
        <v>2872</v>
      </c>
      <c r="B1054" s="2" t="s">
        <v>2873</v>
      </c>
      <c r="C1054" s="2" t="s">
        <v>49</v>
      </c>
      <c r="D1054" s="2" t="s">
        <v>50</v>
      </c>
      <c r="E1054" s="5">
        <v>-30865</v>
      </c>
      <c r="F1054" s="3" t="s">
        <v>163</v>
      </c>
      <c r="G1054" s="3" t="s">
        <v>38</v>
      </c>
      <c r="H1054" s="2" t="s">
        <v>72</v>
      </c>
      <c r="I1054" s="2" t="s">
        <v>2874</v>
      </c>
      <c r="J1054" s="3" t="str">
        <f>HYPERLINK("https://www.boe.es/gazeta/dias/1815/06/29/pdfs/GMD-1815-78.pdf#page=8","Abrir facsímil")</f>
        <v>Abrir facsímil</v>
      </c>
      <c r="K1054" s="3" t="s">
        <v>74</v>
      </c>
    </row>
    <row r="1055" spans="1:11" ht="42" customHeight="1">
      <c r="A1055" s="2" t="s">
        <v>2875</v>
      </c>
      <c r="B1055" s="2" t="s">
        <v>2876</v>
      </c>
      <c r="C1055" s="2" t="s">
        <v>31</v>
      </c>
      <c r="D1055" s="2" t="s">
        <v>32</v>
      </c>
      <c r="E1055" s="5">
        <v>-31031</v>
      </c>
      <c r="F1055" s="3" t="s">
        <v>105</v>
      </c>
      <c r="G1055" s="3" t="s">
        <v>38</v>
      </c>
      <c r="H1055" s="2" t="s">
        <v>72</v>
      </c>
      <c r="I1055" s="2" t="s">
        <v>2877</v>
      </c>
      <c r="J1055" s="3" t="str">
        <f>HYPERLINK("https://www.boe.es/gazeta/dias/1815/01/14/pdfs/GMD-1815-6.pdf#page=8","Abrir facsímil")</f>
        <v>Abrir facsímil</v>
      </c>
      <c r="K1055" s="3" t="s">
        <v>74</v>
      </c>
    </row>
    <row r="1056" spans="1:11" ht="42" customHeight="1">
      <c r="A1056" s="2" t="s">
        <v>2878</v>
      </c>
      <c r="B1056" s="2" t="s">
        <v>2878</v>
      </c>
      <c r="C1056" s="2" t="s">
        <v>31</v>
      </c>
      <c r="D1056" s="2" t="s">
        <v>32</v>
      </c>
      <c r="E1056" s="5">
        <v>-30888</v>
      </c>
      <c r="F1056" s="3" t="s">
        <v>368</v>
      </c>
      <c r="G1056" s="3" t="s">
        <v>377</v>
      </c>
      <c r="H1056" s="2" t="s">
        <v>72</v>
      </c>
      <c r="I1056" s="2" t="s">
        <v>2879</v>
      </c>
      <c r="J1056" s="3" t="str">
        <f>HYPERLINK("https://www.boe.es/gazeta/dias/1815/06/06/pdfs/GMD-1815-68.pdf#page=2","Abrir facsímil")</f>
        <v>Abrir facsímil</v>
      </c>
      <c r="K1056" s="3" t="s">
        <v>74</v>
      </c>
    </row>
    <row r="1057" spans="1:11" ht="42" customHeight="1">
      <c r="A1057" s="2" t="s">
        <v>2878</v>
      </c>
      <c r="B1057" s="2" t="s">
        <v>2878</v>
      </c>
      <c r="C1057" s="2" t="s">
        <v>31</v>
      </c>
      <c r="D1057" s="2" t="s">
        <v>32</v>
      </c>
      <c r="E1057" s="5">
        <v>-30860</v>
      </c>
      <c r="F1057" s="3" t="s">
        <v>184</v>
      </c>
      <c r="G1057" s="3" t="s">
        <v>410</v>
      </c>
      <c r="H1057" s="2" t="s">
        <v>72</v>
      </c>
      <c r="I1057" s="2" t="s">
        <v>2880</v>
      </c>
      <c r="J1057" s="3" t="str">
        <f>HYPERLINK("https://www.boe.es/gazeta/dias/1815/07/04/pdfs/GMD-1815-81.pdf#page=1","Abrir facsímil")</f>
        <v>Abrir facsímil</v>
      </c>
      <c r="K1057" s="3" t="s">
        <v>74</v>
      </c>
    </row>
    <row r="1058" spans="1:11" ht="42" customHeight="1">
      <c r="A1058" s="2" t="s">
        <v>2878</v>
      </c>
      <c r="B1058" s="2" t="s">
        <v>2878</v>
      </c>
      <c r="C1058" s="2" t="s">
        <v>31</v>
      </c>
      <c r="D1058" s="2" t="s">
        <v>32</v>
      </c>
      <c r="E1058" s="5">
        <v>-30860</v>
      </c>
      <c r="F1058" s="3" t="s">
        <v>184</v>
      </c>
      <c r="G1058" s="3" t="s">
        <v>97</v>
      </c>
      <c r="H1058" s="2" t="s">
        <v>72</v>
      </c>
      <c r="I1058" s="2" t="s">
        <v>2881</v>
      </c>
      <c r="J1058" s="3" t="str">
        <f>HYPERLINK("https://www.boe.es/gazeta/dias/1815/07/04/pdfs/GMD-1815-81.pdf#page=3","Abrir facsímil")</f>
        <v>Abrir facsímil</v>
      </c>
      <c r="K1058" s="3" t="s">
        <v>74</v>
      </c>
    </row>
    <row r="1059" spans="1:11" ht="42" customHeight="1">
      <c r="A1059" s="2" t="s">
        <v>2878</v>
      </c>
      <c r="B1059" s="2" t="s">
        <v>2878</v>
      </c>
      <c r="C1059" s="2" t="s">
        <v>31</v>
      </c>
      <c r="D1059" s="2" t="s">
        <v>32</v>
      </c>
      <c r="E1059" s="5">
        <v>-30858</v>
      </c>
      <c r="F1059" s="3" t="s">
        <v>1928</v>
      </c>
      <c r="G1059" s="3" t="s">
        <v>377</v>
      </c>
      <c r="H1059" s="2" t="s">
        <v>72</v>
      </c>
      <c r="I1059" s="2" t="s">
        <v>2882</v>
      </c>
      <c r="J1059" s="3" t="str">
        <f>HYPERLINK("https://www.boe.es/gazeta/dias/1815/07/06/pdfs/GMD-1815-83.pdf#page=2","Abrir facsímil")</f>
        <v>Abrir facsímil</v>
      </c>
      <c r="K1059" s="3" t="s">
        <v>74</v>
      </c>
    </row>
    <row r="1060" spans="1:11" ht="42" customHeight="1">
      <c r="A1060" s="2" t="s">
        <v>2883</v>
      </c>
      <c r="B1060" s="2" t="s">
        <v>2884</v>
      </c>
      <c r="C1060" s="2" t="s">
        <v>195</v>
      </c>
      <c r="D1060" s="2" t="s">
        <v>50</v>
      </c>
      <c r="E1060" s="5">
        <v>-30888</v>
      </c>
      <c r="F1060" s="3" t="s">
        <v>368</v>
      </c>
      <c r="G1060" s="3" t="s">
        <v>38</v>
      </c>
      <c r="H1060" s="2" t="s">
        <v>72</v>
      </c>
      <c r="I1060" s="2" t="s">
        <v>2885</v>
      </c>
      <c r="J1060" s="3" t="str">
        <f>HYPERLINK("https://www.boe.es/gazeta/dias/1815/06/06/pdfs/GMD-1815-68.pdf#page=8","Abrir facsímil")</f>
        <v>Abrir facsímil</v>
      </c>
      <c r="K1060" s="3" t="s">
        <v>74</v>
      </c>
    </row>
    <row r="1061" spans="1:11" ht="42" customHeight="1">
      <c r="A1061" s="2" t="s">
        <v>2886</v>
      </c>
      <c r="B1061" s="2" t="s">
        <v>2887</v>
      </c>
      <c r="C1061" s="2" t="s">
        <v>49</v>
      </c>
      <c r="D1061" s="2" t="s">
        <v>50</v>
      </c>
      <c r="E1061" s="5">
        <v>-30886</v>
      </c>
      <c r="F1061" s="3" t="s">
        <v>140</v>
      </c>
      <c r="G1061" s="3" t="s">
        <v>224</v>
      </c>
      <c r="H1061" s="2" t="s">
        <v>72</v>
      </c>
      <c r="I1061" s="2" t="s">
        <v>2888</v>
      </c>
      <c r="J1061" s="3" t="str">
        <f>HYPERLINK("https://www.boe.es/gazeta/dias/1815/06/08/pdfs/GMD-1815-69.pdf#page=9","Abrir facsímil")</f>
        <v>Abrir facsímil</v>
      </c>
      <c r="K1061" s="3" t="s">
        <v>74</v>
      </c>
    </row>
    <row r="1062" spans="1:11" ht="42" customHeight="1">
      <c r="A1062" s="2" t="s">
        <v>2889</v>
      </c>
      <c r="B1062" s="2" t="s">
        <v>2890</v>
      </c>
      <c r="C1062" s="2" t="s">
        <v>49</v>
      </c>
      <c r="D1062" s="2" t="s">
        <v>50</v>
      </c>
      <c r="E1062" s="5">
        <v>-30818</v>
      </c>
      <c r="F1062" s="3" t="s">
        <v>334</v>
      </c>
      <c r="G1062" s="3" t="s">
        <v>224</v>
      </c>
      <c r="H1062" s="2" t="s">
        <v>72</v>
      </c>
      <c r="I1062" s="2" t="s">
        <v>2891</v>
      </c>
      <c r="J1062" s="3" t="str">
        <f>HYPERLINK("https://www.boe.es/gazeta/dias/1815/08/15/pdfs/GMD-1815-100.pdf#page=9","Abrir facsímil")</f>
        <v>Abrir facsímil</v>
      </c>
      <c r="K1062" s="3" t="s">
        <v>74</v>
      </c>
    </row>
    <row r="1063" spans="1:11" ht="42" customHeight="1">
      <c r="A1063" s="2" t="s">
        <v>2892</v>
      </c>
      <c r="B1063" s="2" t="s">
        <v>2893</v>
      </c>
      <c r="C1063" s="2" t="s">
        <v>61</v>
      </c>
      <c r="D1063" s="2" t="s">
        <v>50</v>
      </c>
      <c r="E1063" s="5">
        <v>-30874</v>
      </c>
      <c r="F1063" s="3" t="s">
        <v>208</v>
      </c>
      <c r="G1063" s="3" t="s">
        <v>71</v>
      </c>
      <c r="H1063" s="2" t="s">
        <v>72</v>
      </c>
      <c r="I1063" s="2" t="s">
        <v>2894</v>
      </c>
      <c r="J1063" s="3" t="str">
        <f>HYPERLINK("https://www.boe.es/gazeta/dias/1815/06/20/pdfs/GMD-1815-74.pdf#page=7","Abrir facsímil")</f>
        <v>Abrir facsímil</v>
      </c>
      <c r="K1063" s="3" t="s">
        <v>74</v>
      </c>
    </row>
    <row r="1064" spans="1:11" ht="42" customHeight="1">
      <c r="A1064" s="2" t="s">
        <v>2895</v>
      </c>
      <c r="B1064" s="2" t="s">
        <v>2896</v>
      </c>
      <c r="C1064" s="2" t="s">
        <v>31</v>
      </c>
      <c r="D1064" s="2" t="s">
        <v>32</v>
      </c>
      <c r="E1064" s="5">
        <v>-31024</v>
      </c>
      <c r="F1064" s="3" t="s">
        <v>101</v>
      </c>
      <c r="G1064" s="3" t="s">
        <v>38</v>
      </c>
      <c r="H1064" s="2" t="s">
        <v>72</v>
      </c>
      <c r="I1064" s="2" t="s">
        <v>2897</v>
      </c>
      <c r="J1064" s="3" t="str">
        <f>HYPERLINK("https://www.boe.es/gazeta/dias/1815/01/21/pdfs/GMD-1815-9.pdf#page=8","Abrir facsímil")</f>
        <v>Abrir facsímil</v>
      </c>
      <c r="K1064" s="3" t="s">
        <v>74</v>
      </c>
    </row>
    <row r="1065" spans="1:11" ht="42" customHeight="1">
      <c r="A1065" s="2" t="s">
        <v>2898</v>
      </c>
      <c r="B1065" s="2" t="s">
        <v>2899</v>
      </c>
      <c r="C1065" s="2" t="s">
        <v>49</v>
      </c>
      <c r="D1065" s="2" t="s">
        <v>50</v>
      </c>
      <c r="E1065" s="5">
        <v>-30968</v>
      </c>
      <c r="F1065" s="3" t="s">
        <v>2695</v>
      </c>
      <c r="G1065" s="3" t="s">
        <v>57</v>
      </c>
      <c r="H1065" s="2" t="s">
        <v>72</v>
      </c>
      <c r="I1065" s="2" t="s">
        <v>2900</v>
      </c>
      <c r="J1065" s="3" t="str">
        <f>HYPERLINK("https://www.boe.es/gazeta/dias/1815/03/18/pdfs/GMD-1815-33.pdf#page=5","Abrir facsímil")</f>
        <v>Abrir facsímil</v>
      </c>
      <c r="K1065" s="3" t="s">
        <v>74</v>
      </c>
    </row>
    <row r="1066" spans="1:11" ht="42" customHeight="1">
      <c r="A1066" s="2" t="s">
        <v>2901</v>
      </c>
      <c r="B1066" s="2" t="s">
        <v>2902</v>
      </c>
      <c r="C1066" s="2" t="s">
        <v>195</v>
      </c>
      <c r="D1066" s="2" t="s">
        <v>50</v>
      </c>
      <c r="E1066" s="5">
        <v>-31000</v>
      </c>
      <c r="F1066" s="3" t="s">
        <v>70</v>
      </c>
      <c r="G1066" s="3" t="s">
        <v>71</v>
      </c>
      <c r="H1066" s="2" t="s">
        <v>72</v>
      </c>
      <c r="I1066" s="2" t="s">
        <v>2903</v>
      </c>
      <c r="J1066" s="3" t="str">
        <f>HYPERLINK("https://www.boe.es/gazeta/dias/1815/02/14/pdfs/GMD-1815-19.pdf#page=7","Abrir facsímil")</f>
        <v>Abrir facsímil</v>
      </c>
      <c r="K1066" s="3" t="s">
        <v>74</v>
      </c>
    </row>
    <row r="1067" spans="1:11" ht="42" customHeight="1">
      <c r="A1067" s="2" t="s">
        <v>2904</v>
      </c>
      <c r="B1067" s="2" t="s">
        <v>2905</v>
      </c>
      <c r="C1067" s="2" t="s">
        <v>17</v>
      </c>
      <c r="D1067" s="2" t="s">
        <v>18</v>
      </c>
      <c r="E1067" s="5">
        <v>-30923</v>
      </c>
      <c r="F1067" s="3" t="s">
        <v>524</v>
      </c>
      <c r="G1067" s="3" t="s">
        <v>88</v>
      </c>
      <c r="H1067" s="2" t="s">
        <v>72</v>
      </c>
      <c r="I1067" s="2" t="s">
        <v>2906</v>
      </c>
      <c r="J1067" s="3" t="str">
        <f>HYPERLINK("https://www.boe.es/gazeta/dias/1815/05/02/pdfs/GMD-1815-53.pdf#page=10","Abrir facsímil")</f>
        <v>Abrir facsímil</v>
      </c>
      <c r="K1067" s="3" t="s">
        <v>74</v>
      </c>
    </row>
    <row r="1068" spans="1:11" ht="42" customHeight="1">
      <c r="A1068" s="2" t="s">
        <v>2907</v>
      </c>
      <c r="B1068" s="2" t="s">
        <v>2908</v>
      </c>
      <c r="C1068" s="2" t="s">
        <v>81</v>
      </c>
      <c r="D1068" s="2" t="s">
        <v>50</v>
      </c>
      <c r="E1068" s="5">
        <v>-31019</v>
      </c>
      <c r="F1068" s="3" t="s">
        <v>1094</v>
      </c>
      <c r="G1068" s="3" t="s">
        <v>276</v>
      </c>
      <c r="H1068" s="2" t="s">
        <v>72</v>
      </c>
      <c r="I1068" s="2" t="s">
        <v>2909</v>
      </c>
      <c r="J1068" s="3" t="str">
        <f>HYPERLINK("https://www.boe.es/gazeta/dias/1815/01/26/pdfs/GMD-1815-11.pdf#page=12","Abrir facsímil")</f>
        <v>Abrir facsímil</v>
      </c>
      <c r="K1068" s="3" t="s">
        <v>74</v>
      </c>
    </row>
    <row r="1069" spans="1:11" ht="42" customHeight="1">
      <c r="A1069" s="2" t="s">
        <v>2910</v>
      </c>
      <c r="B1069" s="2" t="s">
        <v>2911</v>
      </c>
      <c r="C1069" s="2" t="s">
        <v>17</v>
      </c>
      <c r="D1069" s="2" t="s">
        <v>18</v>
      </c>
      <c r="E1069" s="5">
        <v>-30979</v>
      </c>
      <c r="F1069" s="3" t="s">
        <v>56</v>
      </c>
      <c r="G1069" s="3" t="s">
        <v>57</v>
      </c>
      <c r="H1069" s="2" t="s">
        <v>72</v>
      </c>
      <c r="I1069" s="2" t="s">
        <v>2912</v>
      </c>
      <c r="J1069" s="3" t="str">
        <f>HYPERLINK("https://www.boe.es/gazeta/dias/1815/03/07/pdfs/GMD-1815-28.pdf#page=5","Abrir facsímil")</f>
        <v>Abrir facsímil</v>
      </c>
      <c r="K1069" s="3" t="s">
        <v>74</v>
      </c>
    </row>
    <row r="1070" spans="1:11" ht="42" customHeight="1">
      <c r="A1070" s="2" t="s">
        <v>2913</v>
      </c>
      <c r="B1070" s="2" t="s">
        <v>2914</v>
      </c>
      <c r="C1070" s="2" t="s">
        <v>49</v>
      </c>
      <c r="D1070" s="2" t="s">
        <v>50</v>
      </c>
      <c r="E1070" s="5">
        <v>-30870</v>
      </c>
      <c r="F1070" s="3" t="s">
        <v>122</v>
      </c>
      <c r="G1070" s="3" t="s">
        <v>88</v>
      </c>
      <c r="H1070" s="2" t="s">
        <v>72</v>
      </c>
      <c r="I1070" s="2" t="s">
        <v>2915</v>
      </c>
      <c r="J1070" s="3" t="str">
        <f>HYPERLINK("https://www.boe.es/gazeta/dias/1815/06/24/pdfs/GMD-1815-76.pdf#page=10","Abrir facsímil")</f>
        <v>Abrir facsímil</v>
      </c>
      <c r="K1070" s="3" t="s">
        <v>74</v>
      </c>
    </row>
    <row r="1071" spans="1:11" ht="42" customHeight="1">
      <c r="A1071" s="2" t="s">
        <v>2916</v>
      </c>
      <c r="B1071" s="2" t="s">
        <v>2917</v>
      </c>
      <c r="C1071" s="2" t="s">
        <v>49</v>
      </c>
      <c r="D1071" s="2" t="s">
        <v>50</v>
      </c>
      <c r="E1071" s="5">
        <v>-30886</v>
      </c>
      <c r="F1071" s="3" t="s">
        <v>140</v>
      </c>
      <c r="G1071" s="3" t="s">
        <v>224</v>
      </c>
      <c r="H1071" s="2" t="s">
        <v>72</v>
      </c>
      <c r="I1071" s="2" t="s">
        <v>2918</v>
      </c>
      <c r="J1071" s="3" t="str">
        <f>HYPERLINK("https://www.boe.es/gazeta/dias/1815/06/08/pdfs/GMD-1815-69.pdf#page=9","Abrir facsímil")</f>
        <v>Abrir facsímil</v>
      </c>
      <c r="K1071" s="3" t="s">
        <v>74</v>
      </c>
    </row>
    <row r="1072" spans="1:11" ht="42" customHeight="1">
      <c r="A1072" s="2" t="s">
        <v>2919</v>
      </c>
      <c r="B1072" s="2" t="s">
        <v>2920</v>
      </c>
      <c r="C1072" s="2" t="s">
        <v>81</v>
      </c>
      <c r="D1072" s="2" t="s">
        <v>50</v>
      </c>
      <c r="E1072" s="5">
        <v>-30888</v>
      </c>
      <c r="F1072" s="3" t="s">
        <v>368</v>
      </c>
      <c r="G1072" s="3" t="s">
        <v>27</v>
      </c>
      <c r="H1072" s="2" t="s">
        <v>72</v>
      </c>
      <c r="I1072" s="2" t="s">
        <v>2921</v>
      </c>
      <c r="J1072" s="3" t="str">
        <f>HYPERLINK("https://www.boe.es/gazeta/dias/1815/06/06/pdfs/GMD-1815-68.pdf#page=6","Abrir facsímil")</f>
        <v>Abrir facsímil</v>
      </c>
      <c r="K1072" s="3" t="s">
        <v>74</v>
      </c>
    </row>
    <row r="1073" spans="1:11" ht="42" customHeight="1">
      <c r="A1073" s="2" t="s">
        <v>2922</v>
      </c>
      <c r="B1073" s="2" t="s">
        <v>2923</v>
      </c>
      <c r="C1073" s="2" t="s">
        <v>195</v>
      </c>
      <c r="D1073" s="2" t="s">
        <v>50</v>
      </c>
      <c r="E1073" s="5">
        <v>-30872</v>
      </c>
      <c r="F1073" s="3" t="s">
        <v>167</v>
      </c>
      <c r="G1073" s="3" t="s">
        <v>224</v>
      </c>
      <c r="H1073" s="2" t="s">
        <v>72</v>
      </c>
      <c r="I1073" s="2" t="s">
        <v>2924</v>
      </c>
      <c r="J1073" s="3" t="str">
        <f>HYPERLINK("https://www.boe.es/gazeta/dias/1815/06/22/pdfs/GMD-1815-75.pdf#page=9","Abrir facsímil")</f>
        <v>Abrir facsímil</v>
      </c>
      <c r="K1073" s="3" t="s">
        <v>74</v>
      </c>
    </row>
    <row r="1074" spans="1:11" ht="42" customHeight="1">
      <c r="A1074" s="2" t="s">
        <v>2925</v>
      </c>
      <c r="B1074" s="2" t="s">
        <v>2926</v>
      </c>
      <c r="C1074" s="2" t="s">
        <v>17</v>
      </c>
      <c r="D1074" s="2" t="s">
        <v>18</v>
      </c>
      <c r="E1074" s="5">
        <v>-30928</v>
      </c>
      <c r="F1074" s="3" t="s">
        <v>330</v>
      </c>
      <c r="G1074" s="3" t="s">
        <v>71</v>
      </c>
      <c r="H1074" s="2" t="s">
        <v>72</v>
      </c>
      <c r="I1074" s="2" t="s">
        <v>2927</v>
      </c>
      <c r="J1074" s="3" t="str">
        <f>HYPERLINK("https://www.boe.es/gazeta/dias/1815/04/27/pdfs/GMD-1815-51.pdf#page=7","Abrir facsímil")</f>
        <v>Abrir facsímil</v>
      </c>
      <c r="K1074" s="3" t="s">
        <v>74</v>
      </c>
    </row>
    <row r="1075" spans="1:11" ht="42" customHeight="1">
      <c r="A1075" s="2" t="s">
        <v>2928</v>
      </c>
      <c r="B1075" s="2" t="s">
        <v>2929</v>
      </c>
      <c r="C1075" s="2" t="s">
        <v>49</v>
      </c>
      <c r="D1075" s="2" t="s">
        <v>50</v>
      </c>
      <c r="E1075" s="5">
        <v>-30886</v>
      </c>
      <c r="F1075" s="3" t="s">
        <v>140</v>
      </c>
      <c r="G1075" s="3" t="s">
        <v>224</v>
      </c>
      <c r="H1075" s="2" t="s">
        <v>72</v>
      </c>
      <c r="I1075" s="2" t="s">
        <v>2930</v>
      </c>
      <c r="J1075" s="3" t="str">
        <f>HYPERLINK("https://www.boe.es/gazeta/dias/1815/06/08/pdfs/GMD-1815-69.pdf#page=9","Abrir facsímil")</f>
        <v>Abrir facsímil</v>
      </c>
      <c r="K1075" s="3" t="s">
        <v>74</v>
      </c>
    </row>
    <row r="1076" spans="1:11" ht="42" customHeight="1">
      <c r="A1076" s="2" t="s">
        <v>2931</v>
      </c>
      <c r="B1076" s="2" t="s">
        <v>2932</v>
      </c>
      <c r="C1076" s="2" t="s">
        <v>31</v>
      </c>
      <c r="D1076" s="2" t="s">
        <v>32</v>
      </c>
      <c r="E1076" s="5">
        <v>-30914</v>
      </c>
      <c r="F1076" s="3" t="s">
        <v>338</v>
      </c>
      <c r="G1076" s="3" t="s">
        <v>88</v>
      </c>
      <c r="H1076" s="2" t="s">
        <v>21</v>
      </c>
      <c r="I1076" s="2" t="s">
        <v>2933</v>
      </c>
      <c r="J1076" s="3" t="str">
        <f>HYPERLINK("https://www.boe.es/gazeta/dias/1815/05/11/pdfs/GMD-1815-57.pdf#page=10","Abrir facsímil")</f>
        <v>Abrir facsímil</v>
      </c>
      <c r="K1076" s="3" t="s">
        <v>23</v>
      </c>
    </row>
    <row r="1077" spans="1:11" ht="42" customHeight="1">
      <c r="A1077" s="2" t="s">
        <v>2934</v>
      </c>
      <c r="B1077" s="2" t="s">
        <v>2935</v>
      </c>
      <c r="C1077" s="2" t="s">
        <v>17</v>
      </c>
      <c r="D1077" s="2" t="s">
        <v>18</v>
      </c>
      <c r="E1077" s="5">
        <v>-30879</v>
      </c>
      <c r="F1077" s="3" t="s">
        <v>754</v>
      </c>
      <c r="G1077" s="3" t="s">
        <v>276</v>
      </c>
      <c r="H1077" s="2" t="s">
        <v>72</v>
      </c>
      <c r="I1077" s="2" t="s">
        <v>2936</v>
      </c>
      <c r="J1077" s="3" t="str">
        <f>HYPERLINK("https://www.boe.es/gazeta/dias/1815/06/15/pdfs/GMD-1815-72.pdf#page=12","Abrir facsímil")</f>
        <v>Abrir facsímil</v>
      </c>
      <c r="K1077" s="3" t="s">
        <v>74</v>
      </c>
    </row>
    <row r="1078" spans="1:11" ht="42" customHeight="1">
      <c r="A1078" s="2" t="s">
        <v>2937</v>
      </c>
      <c r="B1078" s="2" t="s">
        <v>2938</v>
      </c>
      <c r="C1078" s="2" t="s">
        <v>31</v>
      </c>
      <c r="D1078" s="2" t="s">
        <v>32</v>
      </c>
      <c r="E1078" s="5">
        <v>-30697</v>
      </c>
      <c r="F1078" s="3" t="s">
        <v>381</v>
      </c>
      <c r="G1078" s="3" t="s">
        <v>1556</v>
      </c>
      <c r="H1078" s="2" t="s">
        <v>72</v>
      </c>
      <c r="I1078" s="2" t="s">
        <v>2939</v>
      </c>
      <c r="J1078" s="3" t="str">
        <f>HYPERLINK("https://www.boe.es/gazeta/dias/1815/12/14/pdfs/GMD-1815-155.pdf#page=8","Abrir facsímil")</f>
        <v>Abrir facsímil</v>
      </c>
      <c r="K1078" s="3" t="s">
        <v>74</v>
      </c>
    </row>
    <row r="1079" spans="1:11" ht="42" customHeight="1">
      <c r="A1079" s="2" t="s">
        <v>2940</v>
      </c>
      <c r="B1079" s="2" t="s">
        <v>2941</v>
      </c>
      <c r="C1079" s="2" t="s">
        <v>49</v>
      </c>
      <c r="D1079" s="2" t="s">
        <v>50</v>
      </c>
      <c r="E1079" s="5">
        <v>-30863</v>
      </c>
      <c r="F1079" s="3" t="s">
        <v>110</v>
      </c>
      <c r="G1079" s="3" t="s">
        <v>224</v>
      </c>
      <c r="H1079" s="2" t="s">
        <v>72</v>
      </c>
      <c r="I1079" s="2" t="s">
        <v>2942</v>
      </c>
      <c r="J1079" s="3" t="str">
        <f>HYPERLINK("https://www.boe.es/gazeta/dias/1815/07/01/pdfs/GMD-1815-79.pdf#page=9","Abrir facsímil")</f>
        <v>Abrir facsímil</v>
      </c>
      <c r="K1079" s="3" t="s">
        <v>74</v>
      </c>
    </row>
    <row r="1080" spans="1:11" ht="42" customHeight="1">
      <c r="A1080" s="2" t="s">
        <v>2943</v>
      </c>
      <c r="B1080" s="2" t="s">
        <v>2943</v>
      </c>
      <c r="C1080" s="2" t="s">
        <v>31</v>
      </c>
      <c r="D1080" s="2" t="s">
        <v>32</v>
      </c>
      <c r="E1080" s="5">
        <v>-30720</v>
      </c>
      <c r="F1080" s="3" t="s">
        <v>373</v>
      </c>
      <c r="G1080" s="3" t="s">
        <v>377</v>
      </c>
      <c r="H1080" s="2" t="s">
        <v>72</v>
      </c>
      <c r="I1080" s="2" t="s">
        <v>2944</v>
      </c>
      <c r="J1080" s="3" t="str">
        <f>HYPERLINK("https://www.boe.es/gazeta/dias/1815/11/21/pdfs/GMD-1815-145.pdf#page=2","Abrir facsímil")</f>
        <v>Abrir facsímil</v>
      </c>
      <c r="K1080" s="3" t="s">
        <v>74</v>
      </c>
    </row>
    <row r="1081" spans="1:11" ht="42" customHeight="1">
      <c r="A1081" s="2" t="s">
        <v>2945</v>
      </c>
      <c r="B1081" s="2" t="s">
        <v>2946</v>
      </c>
      <c r="C1081" s="2" t="s">
        <v>31</v>
      </c>
      <c r="D1081" s="2" t="s">
        <v>32</v>
      </c>
      <c r="E1081" s="5">
        <v>-30949</v>
      </c>
      <c r="F1081" s="3" t="s">
        <v>420</v>
      </c>
      <c r="G1081" s="3" t="s">
        <v>27</v>
      </c>
      <c r="H1081" s="2" t="s">
        <v>72</v>
      </c>
      <c r="I1081" s="2" t="s">
        <v>2947</v>
      </c>
      <c r="J1081" s="3" t="str">
        <f>HYPERLINK("https://www.boe.es/gazeta/dias/1815/04/06/pdfs/GMD-1815-42.pdf#page=6","Abrir facsímil")</f>
        <v>Abrir facsímil</v>
      </c>
      <c r="K1081" s="3" t="s">
        <v>74</v>
      </c>
    </row>
    <row r="1082" spans="1:11" ht="42" customHeight="1">
      <c r="A1082" s="2" t="s">
        <v>2948</v>
      </c>
      <c r="B1082" s="2" t="s">
        <v>2949</v>
      </c>
      <c r="C1082" s="2" t="s">
        <v>31</v>
      </c>
      <c r="D1082" s="2" t="s">
        <v>32</v>
      </c>
      <c r="E1082" s="5">
        <v>-30825</v>
      </c>
      <c r="F1082" s="3" t="s">
        <v>669</v>
      </c>
      <c r="G1082" s="3" t="s">
        <v>224</v>
      </c>
      <c r="H1082" s="2" t="s">
        <v>72</v>
      </c>
      <c r="I1082" s="2" t="s">
        <v>2950</v>
      </c>
      <c r="J1082" s="3" t="str">
        <f>HYPERLINK("https://www.boe.es/gazeta/dias/1815/08/08/pdfs/GMD-1815-97.pdf#page=9","Abrir facsímil")</f>
        <v>Abrir facsímil</v>
      </c>
      <c r="K1082" s="3" t="s">
        <v>74</v>
      </c>
    </row>
    <row r="1083" spans="1:11" ht="42" customHeight="1">
      <c r="A1083" s="2" t="s">
        <v>2951</v>
      </c>
      <c r="B1083" s="2" t="s">
        <v>2952</v>
      </c>
      <c r="C1083" s="2" t="s">
        <v>17</v>
      </c>
      <c r="D1083" s="2" t="s">
        <v>18</v>
      </c>
      <c r="E1083" s="5">
        <v>-30767</v>
      </c>
      <c r="F1083" s="3" t="s">
        <v>228</v>
      </c>
      <c r="G1083" s="3" t="s">
        <v>88</v>
      </c>
      <c r="H1083" s="2" t="s">
        <v>72</v>
      </c>
      <c r="I1083" s="2" t="s">
        <v>2953</v>
      </c>
      <c r="J1083" s="3" t="str">
        <f>HYPERLINK("https://www.boe.es/gazeta/dias/1815/10/05/pdfs/GMD-1815-125.pdf#page=10","Abrir facsímil")</f>
        <v>Abrir facsímil</v>
      </c>
      <c r="K1083" s="3" t="s">
        <v>74</v>
      </c>
    </row>
    <row r="1084" spans="1:11" ht="42" customHeight="1">
      <c r="A1084" s="2" t="s">
        <v>2954</v>
      </c>
      <c r="B1084" s="2" t="s">
        <v>2955</v>
      </c>
      <c r="C1084" s="2" t="s">
        <v>31</v>
      </c>
      <c r="D1084" s="2" t="s">
        <v>32</v>
      </c>
      <c r="E1084" s="5">
        <v>-30905</v>
      </c>
      <c r="F1084" s="3" t="s">
        <v>901</v>
      </c>
      <c r="G1084" s="3" t="s">
        <v>71</v>
      </c>
      <c r="H1084" s="2" t="s">
        <v>72</v>
      </c>
      <c r="I1084" s="2" t="s">
        <v>2956</v>
      </c>
      <c r="J1084" s="3" t="str">
        <f>HYPERLINK("https://www.boe.es/gazeta/dias/1815/05/20/pdfs/GMD-1815-61.pdf#page=7","Abrir facsímil")</f>
        <v>Abrir facsímil</v>
      </c>
      <c r="K1084" s="3" t="s">
        <v>74</v>
      </c>
    </row>
    <row r="1085" spans="1:11" ht="42" customHeight="1">
      <c r="A1085" s="2" t="s">
        <v>2957</v>
      </c>
      <c r="B1085" s="2" t="s">
        <v>2958</v>
      </c>
      <c r="C1085" s="2" t="s">
        <v>61</v>
      </c>
      <c r="D1085" s="2" t="s">
        <v>50</v>
      </c>
      <c r="E1085" s="5">
        <v>-30942</v>
      </c>
      <c r="F1085" s="3" t="s">
        <v>730</v>
      </c>
      <c r="G1085" s="3" t="s">
        <v>38</v>
      </c>
      <c r="H1085" s="2" t="s">
        <v>72</v>
      </c>
      <c r="I1085" s="2" t="s">
        <v>2959</v>
      </c>
      <c r="J1085" s="3" t="str">
        <f>HYPERLINK("https://www.boe.es/gazeta/dias/1815/04/13/pdfs/GMD-1815-45.pdf#page=8","Abrir facsímil")</f>
        <v>Abrir facsímil</v>
      </c>
      <c r="K1085" s="3" t="s">
        <v>74</v>
      </c>
    </row>
    <row r="1086" spans="1:11" ht="42" customHeight="1">
      <c r="A1086" s="2" t="s">
        <v>2960</v>
      </c>
      <c r="B1086" s="2" t="s">
        <v>2961</v>
      </c>
      <c r="C1086" s="2" t="s">
        <v>49</v>
      </c>
      <c r="D1086" s="2" t="s">
        <v>50</v>
      </c>
      <c r="E1086" s="5">
        <v>-30818</v>
      </c>
      <c r="F1086" s="3" t="s">
        <v>334</v>
      </c>
      <c r="G1086" s="3" t="s">
        <v>224</v>
      </c>
      <c r="H1086" s="2" t="s">
        <v>72</v>
      </c>
      <c r="I1086" s="2" t="s">
        <v>2962</v>
      </c>
      <c r="J1086" s="3" t="str">
        <f>HYPERLINK("https://www.boe.es/gazeta/dias/1815/08/15/pdfs/GMD-1815-100.pdf#page=9","Abrir facsímil")</f>
        <v>Abrir facsímil</v>
      </c>
      <c r="K1086" s="3" t="s">
        <v>74</v>
      </c>
    </row>
    <row r="1087" spans="1:11" ht="42" customHeight="1">
      <c r="A1087" s="2" t="s">
        <v>2963</v>
      </c>
      <c r="B1087" s="2" t="s">
        <v>2964</v>
      </c>
      <c r="C1087" s="2" t="s">
        <v>17</v>
      </c>
      <c r="D1087" s="2" t="s">
        <v>18</v>
      </c>
      <c r="E1087" s="5">
        <v>-30877</v>
      </c>
      <c r="F1087" s="3" t="s">
        <v>548</v>
      </c>
      <c r="G1087" s="3" t="s">
        <v>2965</v>
      </c>
      <c r="H1087" s="2" t="s">
        <v>72</v>
      </c>
      <c r="I1087" s="2" t="s">
        <v>2966</v>
      </c>
      <c r="J1087" s="3" t="str">
        <f>HYPERLINK("https://www.boe.es/gazeta/dias/1815/06/17/pdfs/GMD-1815-73.pdf#page=6","Abrir facsímil")</f>
        <v>Abrir facsímil</v>
      </c>
      <c r="K1087" s="3" t="s">
        <v>74</v>
      </c>
    </row>
    <row r="1088" spans="1:11" ht="42" customHeight="1">
      <c r="A1088" s="2" t="s">
        <v>2967</v>
      </c>
      <c r="B1088" s="2" t="s">
        <v>2968</v>
      </c>
      <c r="C1088" s="2" t="s">
        <v>17</v>
      </c>
      <c r="D1088" s="2" t="s">
        <v>18</v>
      </c>
      <c r="E1088" s="5">
        <v>-31000</v>
      </c>
      <c r="F1088" s="3" t="s">
        <v>70</v>
      </c>
      <c r="G1088" s="3" t="s">
        <v>57</v>
      </c>
      <c r="H1088" s="2" t="s">
        <v>21</v>
      </c>
      <c r="I1088" s="2" t="s">
        <v>2969</v>
      </c>
      <c r="J1088" s="3" t="str">
        <f>HYPERLINK("https://www.boe.es/gazeta/dias/1815/02/14/pdfs/GMD-1815-19.pdf#page=5","Abrir facsímil")</f>
        <v>Abrir facsímil</v>
      </c>
      <c r="K1088" s="3" t="s">
        <v>23</v>
      </c>
    </row>
    <row r="1089" spans="1:11" ht="42" customHeight="1">
      <c r="A1089" s="2" t="s">
        <v>2970</v>
      </c>
      <c r="B1089" s="2" t="s">
        <v>2971</v>
      </c>
      <c r="C1089" s="2" t="s">
        <v>17</v>
      </c>
      <c r="D1089" s="2" t="s">
        <v>18</v>
      </c>
      <c r="E1089" s="5">
        <v>-30930</v>
      </c>
      <c r="F1089" s="3" t="s">
        <v>51</v>
      </c>
      <c r="G1089" s="3" t="s">
        <v>52</v>
      </c>
      <c r="H1089" s="2" t="s">
        <v>72</v>
      </c>
      <c r="I1089" s="2" t="s">
        <v>2972</v>
      </c>
      <c r="J1089" s="3" t="str">
        <f>HYPERLINK("https://www.boe.es/gazeta/dias/1815/04/25/pdfs/GMD-1815-50.pdf#page=11","Abrir facsímil")</f>
        <v>Abrir facsímil</v>
      </c>
      <c r="K1089" s="3" t="s">
        <v>74</v>
      </c>
    </row>
    <row r="1090" spans="1:11" ht="42" customHeight="1">
      <c r="A1090" s="2" t="s">
        <v>2973</v>
      </c>
      <c r="B1090" s="2" t="s">
        <v>2974</v>
      </c>
      <c r="C1090" s="2" t="s">
        <v>17</v>
      </c>
      <c r="D1090" s="2" t="s">
        <v>18</v>
      </c>
      <c r="E1090" s="5">
        <v>-30954</v>
      </c>
      <c r="F1090" s="3" t="s">
        <v>409</v>
      </c>
      <c r="G1090" s="3" t="s">
        <v>71</v>
      </c>
      <c r="H1090" s="2" t="s">
        <v>72</v>
      </c>
      <c r="I1090" s="2" t="s">
        <v>2975</v>
      </c>
      <c r="J1090" s="3" t="str">
        <f>HYPERLINK("https://www.boe.es/gazeta/dias/1815/04/01/pdfs/GMD-1815-39.pdf#page=7","Abrir facsímil")</f>
        <v>Abrir facsímil</v>
      </c>
      <c r="K1090" s="3" t="s">
        <v>74</v>
      </c>
    </row>
    <row r="1091" spans="1:11" ht="42" customHeight="1">
      <c r="A1091" s="2" t="s">
        <v>2976</v>
      </c>
      <c r="B1091" s="2" t="s">
        <v>2977</v>
      </c>
      <c r="C1091" s="2" t="s">
        <v>17</v>
      </c>
      <c r="D1091" s="2" t="s">
        <v>18</v>
      </c>
      <c r="E1091" s="5">
        <v>-31012</v>
      </c>
      <c r="F1091" s="3" t="s">
        <v>529</v>
      </c>
      <c r="G1091" s="3" t="s">
        <v>57</v>
      </c>
      <c r="H1091" s="2" t="s">
        <v>72</v>
      </c>
      <c r="I1091" s="2" t="s">
        <v>2978</v>
      </c>
      <c r="J1091" s="3" t="str">
        <f>HYPERLINK("https://www.boe.es/gazeta/dias/1815/02/02/pdfs/GMD-1815-14.pdf#page=5","Abrir facsímil")</f>
        <v>Abrir facsímil</v>
      </c>
      <c r="K1091" s="3" t="s">
        <v>74</v>
      </c>
    </row>
    <row r="1092" spans="1:11" ht="42" customHeight="1">
      <c r="A1092" s="2" t="s">
        <v>2979</v>
      </c>
      <c r="B1092" s="2" t="s">
        <v>2980</v>
      </c>
      <c r="C1092" s="2" t="s">
        <v>195</v>
      </c>
      <c r="D1092" s="2" t="s">
        <v>50</v>
      </c>
      <c r="E1092" s="5">
        <v>-30874</v>
      </c>
      <c r="F1092" s="3" t="s">
        <v>208</v>
      </c>
      <c r="G1092" s="3" t="s">
        <v>71</v>
      </c>
      <c r="H1092" s="2" t="s">
        <v>72</v>
      </c>
      <c r="I1092" s="2" t="s">
        <v>2981</v>
      </c>
      <c r="J1092" s="3" t="str">
        <f>HYPERLINK("https://www.boe.es/gazeta/dias/1815/06/20/pdfs/GMD-1815-74.pdf#page=7","Abrir facsímil")</f>
        <v>Abrir facsímil</v>
      </c>
      <c r="K1092" s="3" t="s">
        <v>74</v>
      </c>
    </row>
    <row r="1093" spans="1:11" ht="42" customHeight="1">
      <c r="A1093" s="2" t="s">
        <v>2982</v>
      </c>
      <c r="B1093" s="2" t="s">
        <v>2983</v>
      </c>
      <c r="C1093" s="2" t="s">
        <v>17</v>
      </c>
      <c r="D1093" s="2" t="s">
        <v>18</v>
      </c>
      <c r="E1093" s="5">
        <v>-30968</v>
      </c>
      <c r="F1093" s="3" t="s">
        <v>2695</v>
      </c>
      <c r="G1093" s="3" t="s">
        <v>71</v>
      </c>
      <c r="H1093" s="2" t="s">
        <v>72</v>
      </c>
      <c r="I1093" s="2" t="s">
        <v>2984</v>
      </c>
      <c r="J1093" s="3" t="str">
        <f>HYPERLINK("https://www.boe.es/gazeta/dias/1815/03/18/pdfs/GMD-1815-33.pdf#page=7","Abrir facsímil")</f>
        <v>Abrir facsímil</v>
      </c>
      <c r="K1093" s="3" t="s">
        <v>74</v>
      </c>
    </row>
    <row r="1094" spans="1:11" ht="42" customHeight="1">
      <c r="A1094" s="2" t="s">
        <v>2985</v>
      </c>
      <c r="B1094" s="2" t="s">
        <v>2986</v>
      </c>
      <c r="C1094" s="2" t="s">
        <v>49</v>
      </c>
      <c r="D1094" s="2" t="s">
        <v>50</v>
      </c>
      <c r="E1094" s="5">
        <v>-30863</v>
      </c>
      <c r="F1094" s="3" t="s">
        <v>110</v>
      </c>
      <c r="G1094" s="3" t="s">
        <v>88</v>
      </c>
      <c r="H1094" s="2" t="s">
        <v>72</v>
      </c>
      <c r="I1094" s="2" t="s">
        <v>2987</v>
      </c>
      <c r="J1094" s="3" t="str">
        <f>HYPERLINK("https://www.boe.es/gazeta/dias/1815/07/01/pdfs/GMD-1815-79.pdf#page=10","Abrir facsímil")</f>
        <v>Abrir facsímil</v>
      </c>
      <c r="K1094" s="3" t="s">
        <v>74</v>
      </c>
    </row>
    <row r="1095" spans="1:11" ht="42" customHeight="1">
      <c r="A1095" s="2" t="s">
        <v>2988</v>
      </c>
      <c r="B1095" s="2" t="s">
        <v>2989</v>
      </c>
      <c r="C1095" s="2" t="s">
        <v>31</v>
      </c>
      <c r="D1095" s="2" t="s">
        <v>32</v>
      </c>
      <c r="E1095" s="5">
        <v>-31028</v>
      </c>
      <c r="F1095" s="3" t="s">
        <v>517</v>
      </c>
      <c r="G1095" s="3" t="s">
        <v>88</v>
      </c>
      <c r="H1095" s="2" t="s">
        <v>21</v>
      </c>
      <c r="I1095" s="2" t="s">
        <v>2990</v>
      </c>
      <c r="J1095" s="3" t="str">
        <f>HYPERLINK("https://www.boe.es/gazeta/dias/1815/01/17/pdfs/GMD-1815-7.pdf#page=10","Abrir facsímil")</f>
        <v>Abrir facsímil</v>
      </c>
      <c r="K1095" s="3" t="s">
        <v>23</v>
      </c>
    </row>
    <row r="1096" spans="1:11" ht="42" customHeight="1">
      <c r="A1096" s="2" t="s">
        <v>2991</v>
      </c>
      <c r="B1096" s="2" t="s">
        <v>2992</v>
      </c>
      <c r="C1096" s="2" t="s">
        <v>61</v>
      </c>
      <c r="D1096" s="2" t="s">
        <v>50</v>
      </c>
      <c r="E1096" s="5">
        <v>-30874</v>
      </c>
      <c r="F1096" s="3" t="s">
        <v>208</v>
      </c>
      <c r="G1096" s="3" t="s">
        <v>38</v>
      </c>
      <c r="H1096" s="2" t="s">
        <v>72</v>
      </c>
      <c r="I1096" s="2" t="s">
        <v>2993</v>
      </c>
      <c r="J1096" s="3" t="str">
        <f>HYPERLINK("https://www.boe.es/gazeta/dias/1815/06/20/pdfs/GMD-1815-74.pdf#page=8","Abrir facsímil")</f>
        <v>Abrir facsímil</v>
      </c>
      <c r="K1096" s="3" t="s">
        <v>74</v>
      </c>
    </row>
    <row r="1097" spans="1:11" ht="42" customHeight="1">
      <c r="A1097" s="2" t="s">
        <v>2994</v>
      </c>
      <c r="B1097" s="2" t="s">
        <v>2995</v>
      </c>
      <c r="C1097" s="2" t="s">
        <v>49</v>
      </c>
      <c r="D1097" s="2" t="s">
        <v>50</v>
      </c>
      <c r="E1097" s="5">
        <v>-30865</v>
      </c>
      <c r="F1097" s="3" t="s">
        <v>163</v>
      </c>
      <c r="G1097" s="3" t="s">
        <v>71</v>
      </c>
      <c r="H1097" s="2" t="s">
        <v>72</v>
      </c>
      <c r="I1097" s="2" t="s">
        <v>2996</v>
      </c>
      <c r="J1097" s="3" t="str">
        <f>HYPERLINK("https://www.boe.es/gazeta/dias/1815/06/29/pdfs/GMD-1815-78.pdf#page=7","Abrir facsímil")</f>
        <v>Abrir facsímil</v>
      </c>
      <c r="K1097" s="3" t="s">
        <v>74</v>
      </c>
    </row>
    <row r="1098" spans="1:11" ht="42" customHeight="1">
      <c r="A1098" s="2" t="s">
        <v>2997</v>
      </c>
      <c r="B1098" s="2" t="s">
        <v>2998</v>
      </c>
      <c r="C1098" s="2" t="s">
        <v>31</v>
      </c>
      <c r="D1098" s="2" t="s">
        <v>32</v>
      </c>
      <c r="E1098" s="5">
        <v>-30716</v>
      </c>
      <c r="F1098" s="3" t="s">
        <v>589</v>
      </c>
      <c r="G1098" s="3" t="s">
        <v>20</v>
      </c>
      <c r="H1098" s="2" t="s">
        <v>72</v>
      </c>
      <c r="I1098" s="2" t="s">
        <v>2999</v>
      </c>
      <c r="J1098" s="3" t="str">
        <f>HYPERLINK("https://www.boe.es/gazeta/dias/1815/11/25/pdfs/GMD-1815-147.pdf#page=4","Abrir facsímil")</f>
        <v>Abrir facsímil</v>
      </c>
      <c r="K1098" s="3" t="s">
        <v>74</v>
      </c>
    </row>
    <row r="1099" spans="1:11" ht="42" customHeight="1">
      <c r="A1099" s="2" t="s">
        <v>3000</v>
      </c>
      <c r="B1099" s="2" t="s">
        <v>3001</v>
      </c>
      <c r="C1099" s="2" t="s">
        <v>31</v>
      </c>
      <c r="D1099" s="2" t="s">
        <v>32</v>
      </c>
      <c r="E1099" s="5">
        <v>-31007</v>
      </c>
      <c r="F1099" s="3" t="s">
        <v>200</v>
      </c>
      <c r="G1099" s="3" t="s">
        <v>276</v>
      </c>
      <c r="H1099" s="2" t="s">
        <v>72</v>
      </c>
      <c r="I1099" s="2" t="s">
        <v>3002</v>
      </c>
      <c r="J1099" s="3" t="str">
        <f>HYPERLINK("https://www.boe.es/gazeta/dias/1815/02/07/pdfs/GMD-1815-16.pdf#page=12","Abrir facsímil")</f>
        <v>Abrir facsímil</v>
      </c>
      <c r="K1099" s="3" t="s">
        <v>74</v>
      </c>
    </row>
    <row r="1100" spans="1:11" ht="42" customHeight="1">
      <c r="A1100" s="2" t="s">
        <v>3000</v>
      </c>
      <c r="B1100" s="2" t="s">
        <v>3001</v>
      </c>
      <c r="C1100" s="2" t="s">
        <v>31</v>
      </c>
      <c r="D1100" s="2" t="s">
        <v>32</v>
      </c>
      <c r="E1100" s="5">
        <v>-30951</v>
      </c>
      <c r="F1100" s="3" t="s">
        <v>87</v>
      </c>
      <c r="G1100" s="3" t="s">
        <v>88</v>
      </c>
      <c r="H1100" s="2" t="s">
        <v>72</v>
      </c>
      <c r="I1100" s="2" t="s">
        <v>3003</v>
      </c>
      <c r="J1100" s="3" t="str">
        <f>HYPERLINK("https://www.boe.es/gazeta/dias/1815/04/04/pdfs/GMD-1815-41.pdf#page=10","Abrir facsímil")</f>
        <v>Abrir facsímil</v>
      </c>
      <c r="K1100" s="3" t="s">
        <v>74</v>
      </c>
    </row>
    <row r="1101" spans="1:11" ht="42" customHeight="1">
      <c r="A1101" s="2" t="s">
        <v>3004</v>
      </c>
      <c r="B1101" s="2" t="s">
        <v>3005</v>
      </c>
      <c r="C1101" s="2" t="s">
        <v>31</v>
      </c>
      <c r="D1101" s="2" t="s">
        <v>32</v>
      </c>
      <c r="E1101" s="5">
        <v>-30937</v>
      </c>
      <c r="F1101" s="3" t="s">
        <v>322</v>
      </c>
      <c r="G1101" s="3" t="s">
        <v>27</v>
      </c>
      <c r="H1101" s="2" t="s">
        <v>72</v>
      </c>
      <c r="I1101" s="2" t="s">
        <v>3006</v>
      </c>
      <c r="J1101" s="3" t="str">
        <f>HYPERLINK("https://www.boe.es/gazeta/dias/1815/04/18/pdfs/GMD-1815-47.pdf#page=6","Abrir facsímil")</f>
        <v>Abrir facsímil</v>
      </c>
      <c r="K1101" s="3" t="s">
        <v>74</v>
      </c>
    </row>
    <row r="1102" spans="1:11" ht="42" customHeight="1">
      <c r="A1102" s="2" t="s">
        <v>3004</v>
      </c>
      <c r="B1102" s="2" t="s">
        <v>3005</v>
      </c>
      <c r="C1102" s="2" t="s">
        <v>31</v>
      </c>
      <c r="D1102" s="2" t="s">
        <v>32</v>
      </c>
      <c r="E1102" s="5">
        <v>-30933</v>
      </c>
      <c r="F1102" s="3" t="s">
        <v>725</v>
      </c>
      <c r="G1102" s="3" t="s">
        <v>3007</v>
      </c>
      <c r="H1102" s="2" t="s">
        <v>72</v>
      </c>
      <c r="I1102" s="2" t="s">
        <v>3008</v>
      </c>
      <c r="J1102" s="3" t="str">
        <f>HYPERLINK("https://www.boe.es/gazeta/dias/1815/04/22/pdfs/GMD-1815-49.pdf#page=8","Abrir facsímil")</f>
        <v>Abrir facsímil</v>
      </c>
      <c r="K1102" s="3" t="s">
        <v>74</v>
      </c>
    </row>
    <row r="1103" spans="1:11" ht="42" customHeight="1">
      <c r="A1103" s="2" t="s">
        <v>3009</v>
      </c>
      <c r="B1103" s="2" t="s">
        <v>3010</v>
      </c>
      <c r="C1103" s="2" t="s">
        <v>61</v>
      </c>
      <c r="D1103" s="2" t="s">
        <v>50</v>
      </c>
      <c r="E1103" s="5">
        <v>-30907</v>
      </c>
      <c r="F1103" s="3" t="s">
        <v>301</v>
      </c>
      <c r="G1103" s="3" t="s">
        <v>3011</v>
      </c>
      <c r="H1103" s="2" t="s">
        <v>72</v>
      </c>
      <c r="I1103" s="2" t="s">
        <v>3012</v>
      </c>
      <c r="J1103" s="3" t="str">
        <f>HYPERLINK("https://www.boe.es/gazeta/dias/1815/05/18/pdfs/GMD-1815-60.pdf#page=8","Abrir facsímil")</f>
        <v>Abrir facsímil</v>
      </c>
      <c r="K1103" s="3" t="s">
        <v>74</v>
      </c>
    </row>
    <row r="1104" spans="1:11" ht="42" customHeight="1">
      <c r="A1104" s="2" t="s">
        <v>3013</v>
      </c>
      <c r="B1104" s="2" t="s">
        <v>3014</v>
      </c>
      <c r="C1104" s="2" t="s">
        <v>17</v>
      </c>
      <c r="D1104" s="2" t="s">
        <v>18</v>
      </c>
      <c r="E1104" s="5">
        <v>-30788</v>
      </c>
      <c r="F1104" s="3" t="s">
        <v>96</v>
      </c>
      <c r="G1104" s="3" t="s">
        <v>38</v>
      </c>
      <c r="H1104" s="2" t="s">
        <v>72</v>
      </c>
      <c r="I1104" s="2" t="s">
        <v>3015</v>
      </c>
      <c r="J1104" s="3" t="str">
        <f>HYPERLINK("https://www.boe.es/gazeta/dias/1815/09/14/pdfs/GMD-1815-114.pdf#page=8","Abrir facsímil")</f>
        <v>Abrir facsímil</v>
      </c>
      <c r="K1104" s="3" t="s">
        <v>74</v>
      </c>
    </row>
    <row r="1105" spans="1:11" ht="42" customHeight="1">
      <c r="A1105" s="2" t="s">
        <v>3016</v>
      </c>
      <c r="B1105" s="2" t="s">
        <v>3016</v>
      </c>
      <c r="C1105" s="2" t="s">
        <v>31</v>
      </c>
      <c r="D1105" s="2" t="s">
        <v>32</v>
      </c>
      <c r="E1105" s="5">
        <v>-30816</v>
      </c>
      <c r="F1105" s="3" t="s">
        <v>1253</v>
      </c>
      <c r="G1105" s="3" t="s">
        <v>97</v>
      </c>
      <c r="H1105" s="2" t="s">
        <v>72</v>
      </c>
      <c r="I1105" s="2" t="s">
        <v>3017</v>
      </c>
      <c r="J1105" s="3" t="str">
        <f>HYPERLINK("https://www.boe.es/gazeta/dias/1815/08/17/pdfs/GMD-1815-101.pdf#page=3","Abrir facsímil")</f>
        <v>Abrir facsímil</v>
      </c>
      <c r="K1105" s="3" t="s">
        <v>74</v>
      </c>
    </row>
    <row r="1106" spans="1:11" ht="42" customHeight="1">
      <c r="A1106" s="2" t="s">
        <v>3018</v>
      </c>
      <c r="B1106" s="2" t="s">
        <v>3019</v>
      </c>
      <c r="C1106" s="2" t="s">
        <v>31</v>
      </c>
      <c r="D1106" s="2" t="s">
        <v>32</v>
      </c>
      <c r="E1106" s="5">
        <v>-31038</v>
      </c>
      <c r="F1106" s="3" t="s">
        <v>395</v>
      </c>
      <c r="G1106" s="3" t="s">
        <v>396</v>
      </c>
      <c r="H1106" s="2" t="s">
        <v>72</v>
      </c>
      <c r="I1106" s="2" t="s">
        <v>3020</v>
      </c>
      <c r="J1106" s="3" t="str">
        <f>HYPERLINK("https://www.boe.es/gazeta/dias/1815/01/07/pdfs/GMD-1815-3.pdf#page=5","Abrir facsímil")</f>
        <v>Abrir facsímil</v>
      </c>
      <c r="K1106" s="3" t="s">
        <v>74</v>
      </c>
    </row>
    <row r="1107" spans="1:11" ht="42" customHeight="1">
      <c r="A1107" s="2" t="s">
        <v>3021</v>
      </c>
      <c r="B1107" s="2" t="s">
        <v>3022</v>
      </c>
      <c r="C1107" s="2" t="s">
        <v>31</v>
      </c>
      <c r="D1107" s="2" t="s">
        <v>32</v>
      </c>
      <c r="E1107" s="5">
        <v>-30755</v>
      </c>
      <c r="F1107" s="3" t="s">
        <v>598</v>
      </c>
      <c r="G1107" s="3" t="s">
        <v>276</v>
      </c>
      <c r="H1107" s="2" t="s">
        <v>72</v>
      </c>
      <c r="I1107" s="2" t="s">
        <v>3023</v>
      </c>
      <c r="J1107" s="3" t="str">
        <f>HYPERLINK("https://www.boe.es/gazeta/dias/1815/10/17/pdfs/GMD-1815-130.pdf#page=12","Abrir facsímil")</f>
        <v>Abrir facsímil</v>
      </c>
      <c r="K1107" s="3" t="s">
        <v>74</v>
      </c>
    </row>
    <row r="1108" spans="1:11" ht="42" customHeight="1">
      <c r="A1108" s="2" t="s">
        <v>3024</v>
      </c>
      <c r="B1108" s="2" t="s">
        <v>3025</v>
      </c>
      <c r="C1108" s="2" t="s">
        <v>195</v>
      </c>
      <c r="D1108" s="2" t="s">
        <v>50</v>
      </c>
      <c r="E1108" s="5">
        <v>-30842</v>
      </c>
      <c r="F1108" s="3" t="s">
        <v>126</v>
      </c>
      <c r="G1108" s="3" t="s">
        <v>276</v>
      </c>
      <c r="H1108" s="2" t="s">
        <v>21</v>
      </c>
      <c r="I1108" s="2" t="s">
        <v>3026</v>
      </c>
      <c r="J1108" s="3" t="str">
        <f>HYPERLINK("https://www.boe.es/gazeta/dias/1815/07/22/pdfs/GMD-1815-90.pdf#page=12","Abrir facsímil")</f>
        <v>Abrir facsímil</v>
      </c>
      <c r="K1108" s="3" t="s">
        <v>23</v>
      </c>
    </row>
    <row r="1109" spans="1:11" ht="42" customHeight="1">
      <c r="A1109" s="2" t="s">
        <v>3027</v>
      </c>
      <c r="B1109" s="2" t="s">
        <v>3028</v>
      </c>
      <c r="C1109" s="2" t="s">
        <v>31</v>
      </c>
      <c r="D1109" s="2" t="s">
        <v>32</v>
      </c>
      <c r="E1109" s="5">
        <v>-30860</v>
      </c>
      <c r="F1109" s="3" t="s">
        <v>184</v>
      </c>
      <c r="G1109" s="3" t="s">
        <v>20</v>
      </c>
      <c r="H1109" s="2" t="s">
        <v>72</v>
      </c>
      <c r="I1109" s="2" t="s">
        <v>3029</v>
      </c>
      <c r="J1109" s="3" t="str">
        <f>HYPERLINK("https://www.boe.es/gazeta/dias/1815/07/04/pdfs/GMD-1815-81.pdf#page=4","Abrir facsímil")</f>
        <v>Abrir facsímil</v>
      </c>
      <c r="K1109" s="3" t="s">
        <v>74</v>
      </c>
    </row>
    <row r="1110" spans="1:11" ht="42" customHeight="1">
      <c r="A1110" s="2" t="s">
        <v>3030</v>
      </c>
      <c r="B1110" s="2" t="s">
        <v>3031</v>
      </c>
      <c r="C1110" s="2" t="s">
        <v>31</v>
      </c>
      <c r="D1110" s="2" t="s">
        <v>32</v>
      </c>
      <c r="E1110" s="5">
        <v>-30977</v>
      </c>
      <c r="F1110" s="3" t="s">
        <v>37</v>
      </c>
      <c r="G1110" s="3" t="s">
        <v>71</v>
      </c>
      <c r="H1110" s="2" t="s">
        <v>72</v>
      </c>
      <c r="I1110" s="2" t="s">
        <v>3032</v>
      </c>
      <c r="J1110" s="3" t="str">
        <f>HYPERLINK("https://www.boe.es/gazeta/dias/1815/03/09/pdfs/GMD-1815-29.pdf#page=7","Abrir facsímil")</f>
        <v>Abrir facsímil</v>
      </c>
      <c r="K1110" s="3" t="s">
        <v>74</v>
      </c>
    </row>
    <row r="1111" spans="1:11" ht="42" customHeight="1">
      <c r="A1111" s="2" t="s">
        <v>3033</v>
      </c>
      <c r="B1111" s="2" t="s">
        <v>3033</v>
      </c>
      <c r="C1111" s="2" t="s">
        <v>17</v>
      </c>
      <c r="D1111" s="2" t="s">
        <v>18</v>
      </c>
      <c r="E1111" s="5">
        <v>-30965</v>
      </c>
      <c r="F1111" s="3" t="s">
        <v>1679</v>
      </c>
      <c r="G1111" s="3" t="s">
        <v>97</v>
      </c>
      <c r="H1111" s="2" t="s">
        <v>72</v>
      </c>
      <c r="I1111" s="2" t="s">
        <v>3034</v>
      </c>
      <c r="J1111" s="3" t="str">
        <f>HYPERLINK("https://www.boe.es/gazeta/dias/1815/03/21/pdfs/GMD-1815-34.pdf#page=3","Abrir facsímil")</f>
        <v>Abrir facsímil</v>
      </c>
      <c r="K1111" s="3" t="s">
        <v>74</v>
      </c>
    </row>
    <row r="1112" spans="1:11" ht="42" customHeight="1">
      <c r="A1112" s="2" t="s">
        <v>3035</v>
      </c>
      <c r="B1112" s="2" t="s">
        <v>3035</v>
      </c>
      <c r="C1112" s="2" t="s">
        <v>17</v>
      </c>
      <c r="D1112" s="2" t="s">
        <v>18</v>
      </c>
      <c r="E1112" s="5">
        <v>-30685</v>
      </c>
      <c r="F1112" s="3" t="s">
        <v>1453</v>
      </c>
      <c r="G1112" s="3" t="s">
        <v>97</v>
      </c>
      <c r="H1112" s="2" t="s">
        <v>72</v>
      </c>
      <c r="I1112" s="2" t="s">
        <v>3036</v>
      </c>
      <c r="J1112" s="3" t="str">
        <f>HYPERLINK("https://www.boe.es/gazeta/dias/1815/12/26/pdfs/GMD-1815-160.pdf#page=3","Abrir facsímil")</f>
        <v>Abrir facsímil</v>
      </c>
      <c r="K1112" s="3" t="s">
        <v>74</v>
      </c>
    </row>
    <row r="1113" spans="1:11" ht="42" customHeight="1">
      <c r="A1113" s="2" t="s">
        <v>3037</v>
      </c>
      <c r="B1113" s="2" t="s">
        <v>3038</v>
      </c>
      <c r="C1113" s="2" t="s">
        <v>17</v>
      </c>
      <c r="D1113" s="2" t="s">
        <v>18</v>
      </c>
      <c r="E1113" s="5">
        <v>-30685</v>
      </c>
      <c r="F1113" s="3" t="s">
        <v>1453</v>
      </c>
      <c r="G1113" s="3" t="s">
        <v>57</v>
      </c>
      <c r="H1113" s="2" t="s">
        <v>72</v>
      </c>
      <c r="I1113" s="2" t="s">
        <v>3039</v>
      </c>
      <c r="J1113" s="3" t="str">
        <f>HYPERLINK("https://www.boe.es/gazeta/dias/1815/12/26/pdfs/GMD-1815-160.pdf#page=5","Abrir facsímil")</f>
        <v>Abrir facsímil</v>
      </c>
      <c r="K1113" s="3" t="s">
        <v>74</v>
      </c>
    </row>
    <row r="1114" spans="1:11" ht="42" customHeight="1">
      <c r="A1114" s="2" t="s">
        <v>3040</v>
      </c>
      <c r="B1114" s="2" t="s">
        <v>3041</v>
      </c>
      <c r="C1114" s="2" t="s">
        <v>31</v>
      </c>
      <c r="D1114" s="2" t="s">
        <v>32</v>
      </c>
      <c r="E1114" s="5">
        <v>-30825</v>
      </c>
      <c r="F1114" s="3" t="s">
        <v>669</v>
      </c>
      <c r="G1114" s="3" t="s">
        <v>224</v>
      </c>
      <c r="H1114" s="2" t="s">
        <v>72</v>
      </c>
      <c r="I1114" s="2" t="s">
        <v>3042</v>
      </c>
      <c r="J1114" s="3" t="str">
        <f>HYPERLINK("https://www.boe.es/gazeta/dias/1815/08/08/pdfs/GMD-1815-97.pdf#page=9","Abrir facsímil")</f>
        <v>Abrir facsímil</v>
      </c>
      <c r="K1114" s="3" t="s">
        <v>74</v>
      </c>
    </row>
    <row r="1115" spans="1:11" ht="42" customHeight="1">
      <c r="A1115" s="2" t="s">
        <v>3043</v>
      </c>
      <c r="B1115" s="2" t="s">
        <v>3044</v>
      </c>
      <c r="C1115" s="2" t="s">
        <v>49</v>
      </c>
      <c r="D1115" s="2" t="s">
        <v>50</v>
      </c>
      <c r="E1115" s="5">
        <v>-30865</v>
      </c>
      <c r="F1115" s="3" t="s">
        <v>163</v>
      </c>
      <c r="G1115" s="3" t="s">
        <v>38</v>
      </c>
      <c r="H1115" s="2" t="s">
        <v>72</v>
      </c>
      <c r="I1115" s="2" t="s">
        <v>3045</v>
      </c>
      <c r="J1115" s="3" t="str">
        <f>HYPERLINK("https://www.boe.es/gazeta/dias/1815/06/29/pdfs/GMD-1815-78.pdf#page=8","Abrir facsímil")</f>
        <v>Abrir facsímil</v>
      </c>
      <c r="K1115" s="3" t="s">
        <v>74</v>
      </c>
    </row>
    <row r="1116" spans="1:11" ht="42" customHeight="1">
      <c r="A1116" s="2" t="s">
        <v>3046</v>
      </c>
      <c r="B1116" s="2" t="s">
        <v>3047</v>
      </c>
      <c r="C1116" s="2" t="s">
        <v>49</v>
      </c>
      <c r="D1116" s="2" t="s">
        <v>50</v>
      </c>
      <c r="E1116" s="5">
        <v>-30767</v>
      </c>
      <c r="F1116" s="3" t="s">
        <v>228</v>
      </c>
      <c r="G1116" s="3" t="s">
        <v>224</v>
      </c>
      <c r="H1116" s="2" t="s">
        <v>72</v>
      </c>
      <c r="I1116" s="2" t="s">
        <v>3048</v>
      </c>
      <c r="J1116" s="3" t="str">
        <f>HYPERLINK("https://www.boe.es/gazeta/dias/1815/10/05/pdfs/GMD-1815-125.pdf#page=9","Abrir facsímil")</f>
        <v>Abrir facsímil</v>
      </c>
      <c r="K1116" s="3" t="s">
        <v>74</v>
      </c>
    </row>
    <row r="1117" spans="1:11" ht="42" customHeight="1">
      <c r="A1117" s="2" t="s">
        <v>3049</v>
      </c>
      <c r="B1117" s="2" t="s">
        <v>3050</v>
      </c>
      <c r="C1117" s="2" t="s">
        <v>195</v>
      </c>
      <c r="D1117" s="2" t="s">
        <v>50</v>
      </c>
      <c r="E1117" s="5">
        <v>-30963</v>
      </c>
      <c r="F1117" s="3" t="s">
        <v>879</v>
      </c>
      <c r="G1117" s="3" t="s">
        <v>71</v>
      </c>
      <c r="H1117" s="2" t="s">
        <v>72</v>
      </c>
      <c r="I1117" s="2" t="s">
        <v>3051</v>
      </c>
      <c r="J1117" s="3" t="str">
        <f>HYPERLINK("https://www.boe.es/gazeta/dias/1815/03/23/pdfs/GMD-1815-35.pdf#page=7","Abrir facsímil")</f>
        <v>Abrir facsímil</v>
      </c>
      <c r="K1117" s="3" t="s">
        <v>74</v>
      </c>
    </row>
    <row r="1118" spans="1:11" ht="42" customHeight="1">
      <c r="A1118" s="2" t="s">
        <v>3052</v>
      </c>
      <c r="B1118" s="2" t="s">
        <v>3053</v>
      </c>
      <c r="C1118" s="2" t="s">
        <v>31</v>
      </c>
      <c r="D1118" s="2" t="s">
        <v>32</v>
      </c>
      <c r="E1118" s="5">
        <v>-30790</v>
      </c>
      <c r="F1118" s="3" t="s">
        <v>285</v>
      </c>
      <c r="G1118" s="3" t="s">
        <v>20</v>
      </c>
      <c r="H1118" s="2" t="s">
        <v>72</v>
      </c>
      <c r="I1118" s="2" t="s">
        <v>3054</v>
      </c>
      <c r="J1118" s="3" t="str">
        <f>HYPERLINK("https://www.boe.es/gazeta/dias/1815/09/12/pdfs/GMD-1815-113.pdf#page=4","Abrir facsímil")</f>
        <v>Abrir facsímil</v>
      </c>
      <c r="K1118" s="3" t="s">
        <v>74</v>
      </c>
    </row>
    <row r="1119" spans="1:11" ht="42" customHeight="1">
      <c r="A1119" s="2" t="s">
        <v>3055</v>
      </c>
      <c r="B1119" s="2" t="s">
        <v>3056</v>
      </c>
      <c r="C1119" s="2" t="s">
        <v>17</v>
      </c>
      <c r="D1119" s="2" t="s">
        <v>18</v>
      </c>
      <c r="E1119" s="5">
        <v>-31035</v>
      </c>
      <c r="F1119" s="3" t="s">
        <v>42</v>
      </c>
      <c r="G1119" s="3" t="s">
        <v>20</v>
      </c>
      <c r="H1119" s="2" t="s">
        <v>72</v>
      </c>
      <c r="I1119" s="2" t="s">
        <v>3057</v>
      </c>
      <c r="J1119" s="3" t="str">
        <f>HYPERLINK("https://www.boe.es/gazeta/dias/1815/01/10/pdfs/GMD-1815-4.pdf#page=4","Abrir facsímil")</f>
        <v>Abrir facsímil</v>
      </c>
      <c r="K1119" s="3" t="s">
        <v>74</v>
      </c>
    </row>
    <row r="1120" spans="1:11" ht="42" customHeight="1">
      <c r="A1120" s="2" t="s">
        <v>3058</v>
      </c>
      <c r="B1120" s="2" t="s">
        <v>3059</v>
      </c>
      <c r="C1120" s="2" t="s">
        <v>49</v>
      </c>
      <c r="D1120" s="2" t="s">
        <v>50</v>
      </c>
      <c r="E1120" s="5">
        <v>-30825</v>
      </c>
      <c r="F1120" s="3" t="s">
        <v>669</v>
      </c>
      <c r="G1120" s="3" t="s">
        <v>276</v>
      </c>
      <c r="H1120" s="2" t="s">
        <v>21</v>
      </c>
      <c r="I1120" s="2" t="s">
        <v>3060</v>
      </c>
      <c r="J1120" s="3" t="str">
        <f>HYPERLINK("https://www.boe.es/gazeta/dias/1815/08/08/pdfs/GMD-1815-97.pdf#page=12","Abrir facsímil")</f>
        <v>Abrir facsímil</v>
      </c>
      <c r="K1120" s="3" t="s">
        <v>23</v>
      </c>
    </row>
    <row r="1121" spans="1:11" ht="42" customHeight="1">
      <c r="A1121" s="2" t="s">
        <v>3061</v>
      </c>
      <c r="B1121" s="2" t="s">
        <v>3062</v>
      </c>
      <c r="C1121" s="2" t="s">
        <v>49</v>
      </c>
      <c r="D1121" s="2" t="s">
        <v>50</v>
      </c>
      <c r="E1121" s="5">
        <v>-30767</v>
      </c>
      <c r="F1121" s="3" t="s">
        <v>228</v>
      </c>
      <c r="G1121" s="3" t="s">
        <v>88</v>
      </c>
      <c r="H1121" s="2" t="s">
        <v>72</v>
      </c>
      <c r="I1121" s="2" t="s">
        <v>3063</v>
      </c>
      <c r="J1121" s="3" t="str">
        <f>HYPERLINK("https://www.boe.es/gazeta/dias/1815/10/05/pdfs/GMD-1815-125.pdf#page=10","Abrir facsímil")</f>
        <v>Abrir facsímil</v>
      </c>
      <c r="K1121" s="3" t="s">
        <v>74</v>
      </c>
    </row>
    <row r="1122" spans="1:11" ht="42" customHeight="1">
      <c r="A1122" s="2" t="s">
        <v>3064</v>
      </c>
      <c r="B1122" s="2" t="s">
        <v>3065</v>
      </c>
      <c r="C1122" s="2" t="s">
        <v>81</v>
      </c>
      <c r="D1122" s="2" t="s">
        <v>50</v>
      </c>
      <c r="E1122" s="5">
        <v>-30695</v>
      </c>
      <c r="F1122" s="3" t="s">
        <v>824</v>
      </c>
      <c r="G1122" s="3" t="s">
        <v>38</v>
      </c>
      <c r="H1122" s="2" t="s">
        <v>72</v>
      </c>
      <c r="I1122" s="2" t="s">
        <v>3066</v>
      </c>
      <c r="J1122" s="3" t="str">
        <f>HYPERLINK("https://www.boe.es/gazeta/dias/1815/12/16/pdfs/GMD-1815-156.pdf#page=8","Abrir facsímil")</f>
        <v>Abrir facsímil</v>
      </c>
      <c r="K1122" s="3" t="s">
        <v>74</v>
      </c>
    </row>
    <row r="1123" spans="1:11" ht="42" customHeight="1">
      <c r="A1123" s="2" t="s">
        <v>3067</v>
      </c>
      <c r="B1123" s="2" t="s">
        <v>3068</v>
      </c>
      <c r="C1123" s="2" t="s">
        <v>49</v>
      </c>
      <c r="D1123" s="2" t="s">
        <v>50</v>
      </c>
      <c r="E1123" s="5">
        <v>-30865</v>
      </c>
      <c r="F1123" s="3" t="s">
        <v>163</v>
      </c>
      <c r="G1123" s="3" t="s">
        <v>27</v>
      </c>
      <c r="H1123" s="2" t="s">
        <v>72</v>
      </c>
      <c r="I1123" s="2" t="s">
        <v>3069</v>
      </c>
      <c r="J1123" s="3" t="str">
        <f>HYPERLINK("https://www.boe.es/gazeta/dias/1815/06/29/pdfs/GMD-1815-78.pdf#page=6","Abrir facsímil")</f>
        <v>Abrir facsímil</v>
      </c>
      <c r="K1123" s="3" t="s">
        <v>74</v>
      </c>
    </row>
    <row r="1124" spans="1:11" ht="42" customHeight="1">
      <c r="A1124" s="2" t="s">
        <v>3070</v>
      </c>
      <c r="B1124" s="2" t="s">
        <v>3071</v>
      </c>
      <c r="C1124" s="2" t="s">
        <v>49</v>
      </c>
      <c r="D1124" s="2" t="s">
        <v>50</v>
      </c>
      <c r="E1124" s="5">
        <v>-30872</v>
      </c>
      <c r="F1124" s="3" t="s">
        <v>167</v>
      </c>
      <c r="G1124" s="3" t="s">
        <v>224</v>
      </c>
      <c r="H1124" s="2" t="s">
        <v>21</v>
      </c>
      <c r="I1124" s="2" t="s">
        <v>3072</v>
      </c>
      <c r="J1124" s="3" t="str">
        <f>HYPERLINK("https://www.boe.es/gazeta/dias/1815/06/22/pdfs/GMD-1815-75.pdf#page=9","Abrir facsímil")</f>
        <v>Abrir facsímil</v>
      </c>
      <c r="K1124" s="3" t="s">
        <v>23</v>
      </c>
    </row>
    <row r="1125" spans="1:11" ht="42" customHeight="1">
      <c r="A1125" s="2" t="s">
        <v>3073</v>
      </c>
      <c r="B1125" s="2" t="s">
        <v>3073</v>
      </c>
      <c r="C1125" s="2" t="s">
        <v>17</v>
      </c>
      <c r="D1125" s="2" t="s">
        <v>18</v>
      </c>
      <c r="E1125" s="5">
        <v>-30858</v>
      </c>
      <c r="F1125" s="3" t="s">
        <v>1928</v>
      </c>
      <c r="G1125" s="3" t="s">
        <v>377</v>
      </c>
      <c r="H1125" s="2" t="s">
        <v>72</v>
      </c>
      <c r="I1125" s="2" t="s">
        <v>3074</v>
      </c>
      <c r="J1125" s="3" t="str">
        <f>HYPERLINK("https://www.boe.es/gazeta/dias/1815/07/06/pdfs/GMD-1815-83.pdf#page=2","Abrir facsímil")</f>
        <v>Abrir facsímil</v>
      </c>
      <c r="K1125" s="3" t="s">
        <v>74</v>
      </c>
    </row>
    <row r="1126" spans="1:11" ht="42" customHeight="1">
      <c r="A1126" s="2" t="s">
        <v>3075</v>
      </c>
      <c r="B1126" s="2" t="s">
        <v>3075</v>
      </c>
      <c r="C1126" s="2" t="s">
        <v>31</v>
      </c>
      <c r="D1126" s="2" t="s">
        <v>32</v>
      </c>
      <c r="E1126" s="5">
        <v>-30877</v>
      </c>
      <c r="F1126" s="3" t="s">
        <v>548</v>
      </c>
      <c r="G1126" s="3" t="s">
        <v>97</v>
      </c>
      <c r="H1126" s="2" t="s">
        <v>72</v>
      </c>
      <c r="I1126" s="2" t="s">
        <v>3076</v>
      </c>
      <c r="J1126" s="3" t="str">
        <f>HYPERLINK("https://www.boe.es/gazeta/dias/1815/06/17/pdfs/GMD-1815-73.pdf#page=3","Abrir facsímil")</f>
        <v>Abrir facsímil</v>
      </c>
      <c r="K1126" s="3" t="s">
        <v>74</v>
      </c>
    </row>
    <row r="1127" spans="1:11" ht="42" customHeight="1">
      <c r="A1127" s="2" t="s">
        <v>3077</v>
      </c>
      <c r="B1127" s="2" t="s">
        <v>3077</v>
      </c>
      <c r="C1127" s="2" t="s">
        <v>49</v>
      </c>
      <c r="D1127" s="2" t="s">
        <v>50</v>
      </c>
      <c r="E1127" s="5">
        <v>-31031</v>
      </c>
      <c r="F1127" s="3" t="s">
        <v>105</v>
      </c>
      <c r="G1127" s="3" t="s">
        <v>377</v>
      </c>
      <c r="H1127" s="2" t="s">
        <v>72</v>
      </c>
      <c r="I1127" s="2" t="s">
        <v>3078</v>
      </c>
      <c r="J1127" s="3" t="str">
        <f>HYPERLINK("https://www.boe.es/gazeta/dias/1815/01/14/pdfs/GMD-1815-6.pdf#page=2","Abrir facsímil")</f>
        <v>Abrir facsímil</v>
      </c>
      <c r="K1127" s="3" t="s">
        <v>74</v>
      </c>
    </row>
    <row r="1128" spans="1:11" ht="42" customHeight="1">
      <c r="A1128" s="2" t="s">
        <v>3077</v>
      </c>
      <c r="B1128" s="2" t="s">
        <v>3077</v>
      </c>
      <c r="C1128" s="2" t="s">
        <v>17</v>
      </c>
      <c r="D1128" s="2" t="s">
        <v>18</v>
      </c>
      <c r="E1128" s="5">
        <v>-31017</v>
      </c>
      <c r="F1128" s="3" t="s">
        <v>456</v>
      </c>
      <c r="G1128" s="3" t="s">
        <v>377</v>
      </c>
      <c r="H1128" s="2" t="s">
        <v>72</v>
      </c>
      <c r="I1128" s="2" t="s">
        <v>3079</v>
      </c>
      <c r="J1128" s="3" t="str">
        <f>HYPERLINK("https://www.boe.es/gazeta/dias/1815/01/28/pdfs/GMD-1815-12.pdf#page=2","Abrir facsímil")</f>
        <v>Abrir facsímil</v>
      </c>
      <c r="K1128" s="3" t="s">
        <v>74</v>
      </c>
    </row>
    <row r="1129" spans="1:11" ht="42" customHeight="1">
      <c r="A1129" s="2" t="s">
        <v>3077</v>
      </c>
      <c r="B1129" s="2" t="s">
        <v>3077</v>
      </c>
      <c r="C1129" s="2" t="s">
        <v>49</v>
      </c>
      <c r="D1129" s="2" t="s">
        <v>50</v>
      </c>
      <c r="E1129" s="5">
        <v>-31005</v>
      </c>
      <c r="F1129" s="3" t="s">
        <v>576</v>
      </c>
      <c r="G1129" s="3" t="s">
        <v>97</v>
      </c>
      <c r="H1129" s="2" t="s">
        <v>72</v>
      </c>
      <c r="I1129" s="2" t="s">
        <v>3080</v>
      </c>
      <c r="J1129" s="3" t="str">
        <f>HYPERLINK("https://www.boe.es/gazeta/dias/1815/02/09/pdfs/GMD-1815-17.pdf#page=3","Abrir facsímil")</f>
        <v>Abrir facsímil</v>
      </c>
      <c r="K1129" s="3" t="s">
        <v>74</v>
      </c>
    </row>
    <row r="1130" spans="1:11" ht="42" customHeight="1">
      <c r="A1130" s="2" t="s">
        <v>3077</v>
      </c>
      <c r="B1130" s="2" t="s">
        <v>3077</v>
      </c>
      <c r="C1130" s="2" t="s">
        <v>31</v>
      </c>
      <c r="D1130" s="2" t="s">
        <v>32</v>
      </c>
      <c r="E1130" s="5">
        <v>-30998</v>
      </c>
      <c r="F1130" s="3" t="s">
        <v>539</v>
      </c>
      <c r="G1130" s="3" t="s">
        <v>97</v>
      </c>
      <c r="H1130" s="2" t="s">
        <v>72</v>
      </c>
      <c r="I1130" s="2" t="s">
        <v>3081</v>
      </c>
      <c r="J1130" s="3" t="str">
        <f>HYPERLINK("https://www.boe.es/gazeta/dias/1815/02/16/pdfs/GMD-1815-20.pdf#page=3","Abrir facsímil")</f>
        <v>Abrir facsímil</v>
      </c>
      <c r="K1130" s="3" t="s">
        <v>74</v>
      </c>
    </row>
    <row r="1131" spans="1:11" ht="42" customHeight="1">
      <c r="A1131" s="2" t="s">
        <v>3077</v>
      </c>
      <c r="B1131" s="2" t="s">
        <v>3077</v>
      </c>
      <c r="C1131" s="2" t="s">
        <v>31</v>
      </c>
      <c r="D1131" s="2" t="s">
        <v>32</v>
      </c>
      <c r="E1131" s="5">
        <v>-30982</v>
      </c>
      <c r="F1131" s="3" t="s">
        <v>220</v>
      </c>
      <c r="G1131" s="3" t="s">
        <v>377</v>
      </c>
      <c r="H1131" s="2" t="s">
        <v>72</v>
      </c>
      <c r="I1131" s="2" t="s">
        <v>3082</v>
      </c>
      <c r="J1131" s="3" t="str">
        <f>HYPERLINK("https://www.boe.es/gazeta/dias/1815/03/04/pdfs/GMD-1815-27.pdf#page=2","Abrir facsímil")</f>
        <v>Abrir facsímil</v>
      </c>
      <c r="K1131" s="3" t="s">
        <v>74</v>
      </c>
    </row>
    <row r="1132" spans="1:11" ht="42" customHeight="1">
      <c r="A1132" s="2" t="s">
        <v>3077</v>
      </c>
      <c r="B1132" s="2" t="s">
        <v>3077</v>
      </c>
      <c r="C1132" s="2" t="s">
        <v>897</v>
      </c>
      <c r="D1132" s="2" t="s">
        <v>50</v>
      </c>
      <c r="E1132" s="5">
        <v>-30954</v>
      </c>
      <c r="F1132" s="3" t="s">
        <v>409</v>
      </c>
      <c r="G1132" s="3" t="s">
        <v>97</v>
      </c>
      <c r="H1132" s="2" t="s">
        <v>72</v>
      </c>
      <c r="I1132" s="2" t="s">
        <v>3083</v>
      </c>
      <c r="J1132" s="3" t="str">
        <f>HYPERLINK("https://www.boe.es/gazeta/dias/1815/04/01/pdfs/GMD-1815-39.pdf#page=3","Abrir facsímil")</f>
        <v>Abrir facsímil</v>
      </c>
      <c r="K1132" s="3" t="s">
        <v>74</v>
      </c>
    </row>
    <row r="1133" spans="1:11" ht="42" customHeight="1">
      <c r="A1133" s="2" t="s">
        <v>3077</v>
      </c>
      <c r="B1133" s="2" t="s">
        <v>3077</v>
      </c>
      <c r="C1133" s="2" t="s">
        <v>17</v>
      </c>
      <c r="D1133" s="2" t="s">
        <v>18</v>
      </c>
      <c r="E1133" s="5">
        <v>-30942</v>
      </c>
      <c r="F1133" s="3" t="s">
        <v>730</v>
      </c>
      <c r="G1133" s="3" t="s">
        <v>97</v>
      </c>
      <c r="H1133" s="2" t="s">
        <v>72</v>
      </c>
      <c r="I1133" s="2" t="s">
        <v>3084</v>
      </c>
      <c r="J1133" s="3" t="str">
        <f>HYPERLINK("https://www.boe.es/gazeta/dias/1815/04/13/pdfs/GMD-1815-45.pdf#page=3","Abrir facsímil")</f>
        <v>Abrir facsímil</v>
      </c>
      <c r="K1133" s="3" t="s">
        <v>74</v>
      </c>
    </row>
    <row r="1134" spans="1:11" ht="42" customHeight="1">
      <c r="A1134" s="2" t="s">
        <v>3077</v>
      </c>
      <c r="B1134" s="2" t="s">
        <v>3077</v>
      </c>
      <c r="C1134" s="2" t="s">
        <v>81</v>
      </c>
      <c r="D1134" s="2" t="s">
        <v>50</v>
      </c>
      <c r="E1134" s="5">
        <v>-30916</v>
      </c>
      <c r="F1134" s="3" t="s">
        <v>147</v>
      </c>
      <c r="G1134" s="3" t="s">
        <v>377</v>
      </c>
      <c r="H1134" s="2" t="s">
        <v>72</v>
      </c>
      <c r="I1134" s="2" t="s">
        <v>3085</v>
      </c>
      <c r="J1134" s="3" t="str">
        <f>HYPERLINK("https://www.boe.es/gazeta/dias/1815/05/09/pdfs/GMD-1815-56.pdf#page=2","Abrir facsímil")</f>
        <v>Abrir facsímil</v>
      </c>
      <c r="K1134" s="3" t="s">
        <v>74</v>
      </c>
    </row>
    <row r="1135" spans="1:11" ht="42" customHeight="1">
      <c r="A1135" s="2" t="s">
        <v>3077</v>
      </c>
      <c r="B1135" s="2" t="s">
        <v>3077</v>
      </c>
      <c r="C1135" s="2" t="s">
        <v>31</v>
      </c>
      <c r="D1135" s="2" t="s">
        <v>32</v>
      </c>
      <c r="E1135" s="5">
        <v>-30900</v>
      </c>
      <c r="F1135" s="3" t="s">
        <v>921</v>
      </c>
      <c r="G1135" s="3" t="s">
        <v>20</v>
      </c>
      <c r="H1135" s="2" t="s">
        <v>72</v>
      </c>
      <c r="I1135" s="2" t="s">
        <v>3086</v>
      </c>
      <c r="J1135" s="3" t="str">
        <f>HYPERLINK("https://www.boe.es/gazeta/dias/1815/05/25/pdfs/GMD-1815-63.pdf#page=4","Abrir facsímil")</f>
        <v>Abrir facsímil</v>
      </c>
      <c r="K1135" s="3" t="s">
        <v>74</v>
      </c>
    </row>
    <row r="1136" spans="1:11" ht="42" customHeight="1">
      <c r="A1136" s="2" t="s">
        <v>3077</v>
      </c>
      <c r="B1136" s="2" t="s">
        <v>3077</v>
      </c>
      <c r="C1136" s="2" t="s">
        <v>897</v>
      </c>
      <c r="D1136" s="2" t="s">
        <v>50</v>
      </c>
      <c r="E1136" s="5">
        <v>-30893</v>
      </c>
      <c r="F1136" s="3" t="s">
        <v>132</v>
      </c>
      <c r="G1136" s="3" t="s">
        <v>377</v>
      </c>
      <c r="H1136" s="2" t="s">
        <v>72</v>
      </c>
      <c r="I1136" s="2" t="s">
        <v>3087</v>
      </c>
      <c r="J1136" s="3" t="str">
        <f>HYPERLINK("https://www.boe.es/gazeta/dias/1815/06/01/pdfs/GMD-1815-66.pdf#page=2","Abrir facsímil")</f>
        <v>Abrir facsímil</v>
      </c>
      <c r="K1136" s="3" t="s">
        <v>74</v>
      </c>
    </row>
    <row r="1137" spans="1:11" ht="42" customHeight="1">
      <c r="A1137" s="2" t="s">
        <v>3088</v>
      </c>
      <c r="B1137" s="2" t="s">
        <v>3088</v>
      </c>
      <c r="C1137" s="2" t="s">
        <v>49</v>
      </c>
      <c r="D1137" s="2" t="s">
        <v>50</v>
      </c>
      <c r="E1137" s="5">
        <v>-30893</v>
      </c>
      <c r="F1137" s="3" t="s">
        <v>132</v>
      </c>
      <c r="G1137" s="3" t="s">
        <v>97</v>
      </c>
      <c r="H1137" s="2" t="s">
        <v>72</v>
      </c>
      <c r="I1137" s="2" t="s">
        <v>3089</v>
      </c>
      <c r="J1137" s="3" t="str">
        <f>HYPERLINK("https://www.boe.es/gazeta/dias/1815/06/01/pdfs/GMD-1815-66.pdf#page=3","Abrir facsímil")</f>
        <v>Abrir facsímil</v>
      </c>
      <c r="K1137" s="3" t="s">
        <v>74</v>
      </c>
    </row>
    <row r="1138" spans="1:11" ht="42" customHeight="1">
      <c r="A1138" s="2" t="s">
        <v>3077</v>
      </c>
      <c r="B1138" s="2" t="s">
        <v>3077</v>
      </c>
      <c r="C1138" s="2" t="s">
        <v>897</v>
      </c>
      <c r="D1138" s="2" t="s">
        <v>50</v>
      </c>
      <c r="E1138" s="5">
        <v>-30872</v>
      </c>
      <c r="F1138" s="3" t="s">
        <v>167</v>
      </c>
      <c r="G1138" s="3" t="s">
        <v>3090</v>
      </c>
      <c r="H1138" s="2" t="s">
        <v>72</v>
      </c>
      <c r="I1138" s="2" t="s">
        <v>3091</v>
      </c>
      <c r="J1138" s="3" t="str">
        <f>HYPERLINK("https://www.boe.es/gazeta/dias/1815/06/22/pdfs/GMD-1815-75.pdf#page=3","Abrir facsímil")</f>
        <v>Abrir facsímil</v>
      </c>
      <c r="K1138" s="3" t="s">
        <v>74</v>
      </c>
    </row>
    <row r="1139" spans="1:11" ht="42" customHeight="1">
      <c r="A1139" s="2" t="s">
        <v>3077</v>
      </c>
      <c r="B1139" s="2" t="s">
        <v>3077</v>
      </c>
      <c r="C1139" s="2" t="s">
        <v>897</v>
      </c>
      <c r="D1139" s="2" t="s">
        <v>50</v>
      </c>
      <c r="E1139" s="5">
        <v>-30872</v>
      </c>
      <c r="F1139" s="3" t="s">
        <v>167</v>
      </c>
      <c r="G1139" s="3" t="s">
        <v>377</v>
      </c>
      <c r="H1139" s="2" t="s">
        <v>72</v>
      </c>
      <c r="I1139" s="2" t="s">
        <v>3092</v>
      </c>
      <c r="J1139" s="3" t="str">
        <f>HYPERLINK("https://www.boe.es/gazeta/dias/1815/06/22/pdfs/GMD-1815-75.pdf#page=2","Abrir facsímil")</f>
        <v>Abrir facsímil</v>
      </c>
      <c r="K1139" s="3" t="s">
        <v>74</v>
      </c>
    </row>
    <row r="1140" spans="1:11" ht="42" customHeight="1">
      <c r="A1140" s="2" t="s">
        <v>3077</v>
      </c>
      <c r="B1140" s="2" t="s">
        <v>3077</v>
      </c>
      <c r="C1140" s="2" t="s">
        <v>31</v>
      </c>
      <c r="D1140" s="2" t="s">
        <v>32</v>
      </c>
      <c r="E1140" s="5">
        <v>-30823</v>
      </c>
      <c r="F1140" s="3" t="s">
        <v>305</v>
      </c>
      <c r="G1140" s="3" t="s">
        <v>57</v>
      </c>
      <c r="H1140" s="2" t="s">
        <v>72</v>
      </c>
      <c r="I1140" s="2" t="s">
        <v>3093</v>
      </c>
      <c r="J1140" s="3" t="str">
        <f>HYPERLINK("https://www.boe.es/gazeta/dias/1815/08/10/pdfs/GMD-1815-98.pdf#page=5","Abrir facsímil")</f>
        <v>Abrir facsímil</v>
      </c>
      <c r="K1140" s="3" t="s">
        <v>74</v>
      </c>
    </row>
    <row r="1141" spans="1:11" ht="42" customHeight="1">
      <c r="A1141" s="2" t="s">
        <v>3077</v>
      </c>
      <c r="B1141" s="2" t="s">
        <v>3077</v>
      </c>
      <c r="C1141" s="2" t="s">
        <v>31</v>
      </c>
      <c r="D1141" s="2" t="s">
        <v>32</v>
      </c>
      <c r="E1141" s="5">
        <v>-30816</v>
      </c>
      <c r="F1141" s="3" t="s">
        <v>1253</v>
      </c>
      <c r="G1141" s="3" t="s">
        <v>97</v>
      </c>
      <c r="H1141" s="2" t="s">
        <v>72</v>
      </c>
      <c r="I1141" s="2" t="s">
        <v>3094</v>
      </c>
      <c r="J1141" s="3" t="str">
        <f>HYPERLINK("https://www.boe.es/gazeta/dias/1815/08/17/pdfs/GMD-1815-101.pdf#page=3","Abrir facsímil")</f>
        <v>Abrir facsímil</v>
      </c>
      <c r="K1141" s="3" t="s">
        <v>74</v>
      </c>
    </row>
    <row r="1142" spans="1:11" ht="42" customHeight="1">
      <c r="A1142" s="2" t="s">
        <v>3077</v>
      </c>
      <c r="B1142" s="2" t="s">
        <v>3077</v>
      </c>
      <c r="C1142" s="2" t="s">
        <v>17</v>
      </c>
      <c r="D1142" s="2" t="s">
        <v>18</v>
      </c>
      <c r="E1142" s="5">
        <v>-30734</v>
      </c>
      <c r="F1142" s="3" t="s">
        <v>376</v>
      </c>
      <c r="G1142" s="3" t="s">
        <v>377</v>
      </c>
      <c r="H1142" s="2" t="s">
        <v>72</v>
      </c>
      <c r="I1142" s="2" t="s">
        <v>3095</v>
      </c>
      <c r="J1142" s="3" t="str">
        <f>HYPERLINK("https://www.boe.es/gazeta/dias/1815/11/07/pdfs/GMD-1815-139.pdf#page=2","Abrir facsímil")</f>
        <v>Abrir facsímil</v>
      </c>
      <c r="K1142" s="3" t="s">
        <v>74</v>
      </c>
    </row>
    <row r="1143" spans="1:11" ht="42" customHeight="1">
      <c r="A1143" s="2" t="s">
        <v>3077</v>
      </c>
      <c r="B1143" s="2" t="s">
        <v>3077</v>
      </c>
      <c r="C1143" s="2" t="s">
        <v>17</v>
      </c>
      <c r="D1143" s="2" t="s">
        <v>18</v>
      </c>
      <c r="E1143" s="5">
        <v>-30732</v>
      </c>
      <c r="F1143" s="3" t="s">
        <v>554</v>
      </c>
      <c r="G1143" s="3" t="s">
        <v>410</v>
      </c>
      <c r="H1143" s="2" t="s">
        <v>72</v>
      </c>
      <c r="I1143" s="2" t="s">
        <v>3096</v>
      </c>
      <c r="J1143" s="3" t="str">
        <f>HYPERLINK("https://www.boe.es/gazeta/dias/1815/11/09/pdfs/GMD-1815-140.pdf#page=1","Abrir facsímil")</f>
        <v>Abrir facsímil</v>
      </c>
      <c r="K1143" s="3" t="s">
        <v>74</v>
      </c>
    </row>
    <row r="1144" spans="1:11" ht="42" customHeight="1">
      <c r="A1144" s="2" t="s">
        <v>3097</v>
      </c>
      <c r="B1144" s="2" t="s">
        <v>3097</v>
      </c>
      <c r="C1144" s="2" t="s">
        <v>17</v>
      </c>
      <c r="D1144" s="2" t="s">
        <v>18</v>
      </c>
      <c r="E1144" s="5">
        <v>-30681</v>
      </c>
      <c r="F1144" s="3" t="s">
        <v>2093</v>
      </c>
      <c r="G1144" s="3" t="s">
        <v>57</v>
      </c>
      <c r="H1144" s="2" t="s">
        <v>72</v>
      </c>
      <c r="I1144" s="2" t="s">
        <v>3098</v>
      </c>
      <c r="J1144" s="3" t="str">
        <f>HYPERLINK("https://www.boe.es/gazeta/dias/1815/12/30/pdfs/GMD-1815-162.pdf#page=5","Abrir facsímil")</f>
        <v>Abrir facsímil</v>
      </c>
      <c r="K1144" s="3" t="s">
        <v>74</v>
      </c>
    </row>
    <row r="1145" spans="1:11" ht="42" customHeight="1">
      <c r="A1145" s="2" t="s">
        <v>3099</v>
      </c>
      <c r="B1145" s="2" t="s">
        <v>3099</v>
      </c>
      <c r="C1145" s="2" t="s">
        <v>17</v>
      </c>
      <c r="D1145" s="2" t="s">
        <v>18</v>
      </c>
      <c r="E1145" s="5">
        <v>-30837</v>
      </c>
      <c r="F1145" s="3" t="s">
        <v>2256</v>
      </c>
      <c r="G1145" s="3" t="s">
        <v>97</v>
      </c>
      <c r="H1145" s="2" t="s">
        <v>72</v>
      </c>
      <c r="I1145" s="2" t="s">
        <v>3100</v>
      </c>
      <c r="J1145" s="3" t="str">
        <f>HYPERLINK("https://www.boe.es/gazeta/dias/1815/07/27/pdfs/GMD-1815-92.pdf#page=3","Abrir facsímil")</f>
        <v>Abrir facsímil</v>
      </c>
      <c r="K1145" s="3" t="s">
        <v>74</v>
      </c>
    </row>
    <row r="1146" spans="1:11" ht="42" customHeight="1">
      <c r="A1146" s="2" t="s">
        <v>3101</v>
      </c>
      <c r="B1146" s="2" t="s">
        <v>3101</v>
      </c>
      <c r="C1146" s="2" t="s">
        <v>31</v>
      </c>
      <c r="D1146" s="2" t="s">
        <v>32</v>
      </c>
      <c r="E1146" s="5">
        <v>-30844</v>
      </c>
      <c r="F1146" s="3" t="s">
        <v>114</v>
      </c>
      <c r="G1146" s="3" t="s">
        <v>3102</v>
      </c>
      <c r="H1146" s="2" t="s">
        <v>72</v>
      </c>
      <c r="I1146" s="2" t="s">
        <v>3103</v>
      </c>
      <c r="J1146" s="3" t="str">
        <f>HYPERLINK("https://www.boe.es/gazeta/dias/1815/07/20/pdfs/GMD-1815-89.pdf#page=3","Abrir facsímil")</f>
        <v>Abrir facsímil</v>
      </c>
      <c r="K1146" s="3" t="s">
        <v>74</v>
      </c>
    </row>
    <row r="1147" spans="1:11" ht="42" customHeight="1">
      <c r="A1147" s="2" t="s">
        <v>3104</v>
      </c>
      <c r="B1147" s="2" t="s">
        <v>3104</v>
      </c>
      <c r="C1147" s="2" t="s">
        <v>31</v>
      </c>
      <c r="D1147" s="2" t="s">
        <v>32</v>
      </c>
      <c r="E1147" s="5">
        <v>-31017</v>
      </c>
      <c r="F1147" s="3" t="s">
        <v>456</v>
      </c>
      <c r="G1147" s="3" t="s">
        <v>97</v>
      </c>
      <c r="H1147" s="2" t="s">
        <v>72</v>
      </c>
      <c r="I1147" s="2" t="s">
        <v>3105</v>
      </c>
      <c r="J1147" s="3" t="str">
        <f>HYPERLINK("https://www.boe.es/gazeta/dias/1815/01/28/pdfs/GMD-1815-12.pdf#page=3","Abrir facsímil")</f>
        <v>Abrir facsímil</v>
      </c>
      <c r="K1147" s="3" t="s">
        <v>74</v>
      </c>
    </row>
    <row r="1148" spans="1:11" ht="42" customHeight="1">
      <c r="A1148" s="2" t="s">
        <v>3106</v>
      </c>
      <c r="B1148" s="2" t="s">
        <v>3106</v>
      </c>
      <c r="C1148" s="2" t="s">
        <v>49</v>
      </c>
      <c r="D1148" s="2" t="s">
        <v>50</v>
      </c>
      <c r="E1148" s="5">
        <v>-30956</v>
      </c>
      <c r="F1148" s="3" t="s">
        <v>495</v>
      </c>
      <c r="G1148" s="3" t="s">
        <v>377</v>
      </c>
      <c r="H1148" s="2" t="s">
        <v>72</v>
      </c>
      <c r="I1148" s="2" t="s">
        <v>3107</v>
      </c>
      <c r="J1148" s="3" t="str">
        <f>HYPERLINK("https://www.boe.es/gazeta/dias/1815/03/30/pdfs/GMD-1815-38.pdf#page=2","Abrir facsímil")</f>
        <v>Abrir facsímil</v>
      </c>
      <c r="K1148" s="3" t="s">
        <v>74</v>
      </c>
    </row>
    <row r="1149" spans="1:11" ht="42" customHeight="1">
      <c r="A1149" s="2" t="s">
        <v>3108</v>
      </c>
      <c r="B1149" s="2" t="s">
        <v>3108</v>
      </c>
      <c r="C1149" s="2" t="s">
        <v>17</v>
      </c>
      <c r="D1149" s="2" t="s">
        <v>18</v>
      </c>
      <c r="E1149" s="5">
        <v>-30954</v>
      </c>
      <c r="F1149" s="3" t="s">
        <v>409</v>
      </c>
      <c r="G1149" s="3" t="s">
        <v>97</v>
      </c>
      <c r="H1149" s="2" t="s">
        <v>72</v>
      </c>
      <c r="I1149" s="2" t="s">
        <v>3109</v>
      </c>
      <c r="J1149" s="3" t="str">
        <f>HYPERLINK("https://www.boe.es/gazeta/dias/1815/04/01/pdfs/GMD-1815-39.pdf#page=3","Abrir facsímil")</f>
        <v>Abrir facsímil</v>
      </c>
      <c r="K1149" s="3" t="s">
        <v>74</v>
      </c>
    </row>
    <row r="1150" spans="1:11" ht="42" customHeight="1">
      <c r="A1150" s="2" t="s">
        <v>3110</v>
      </c>
      <c r="B1150" s="2" t="s">
        <v>3111</v>
      </c>
      <c r="C1150" s="2" t="s">
        <v>31</v>
      </c>
      <c r="D1150" s="2" t="s">
        <v>32</v>
      </c>
      <c r="E1150" s="5">
        <v>-30970</v>
      </c>
      <c r="F1150" s="3" t="s">
        <v>436</v>
      </c>
      <c r="G1150" s="3" t="s">
        <v>20</v>
      </c>
      <c r="H1150" s="2" t="s">
        <v>72</v>
      </c>
      <c r="I1150" s="2" t="s">
        <v>3112</v>
      </c>
      <c r="J1150" s="3" t="str">
        <f>HYPERLINK("https://www.boe.es/gazeta/dias/1815/03/16/pdfs/GMD-1815-32.pdf#page=4","Abrir facsímil")</f>
        <v>Abrir facsímil</v>
      </c>
      <c r="K1150" s="3" t="s">
        <v>74</v>
      </c>
    </row>
    <row r="1151" spans="1:11" ht="42" customHeight="1">
      <c r="A1151" s="2" t="s">
        <v>3113</v>
      </c>
      <c r="B1151" s="2" t="s">
        <v>3114</v>
      </c>
      <c r="C1151" s="2" t="s">
        <v>49</v>
      </c>
      <c r="D1151" s="2" t="s">
        <v>50</v>
      </c>
      <c r="E1151" s="5">
        <v>-30718</v>
      </c>
      <c r="F1151" s="3" t="s">
        <v>3115</v>
      </c>
      <c r="G1151" s="3" t="s">
        <v>38</v>
      </c>
      <c r="H1151" s="2" t="s">
        <v>21</v>
      </c>
      <c r="I1151" s="2" t="s">
        <v>3116</v>
      </c>
      <c r="J1151" s="3" t="str">
        <f>HYPERLINK("https://www.boe.es/gazeta/dias/1815/11/23/pdfs/GMD-1815-146.pdf#page=8","Abrir facsímil")</f>
        <v>Abrir facsímil</v>
      </c>
      <c r="K1151" s="3" t="s">
        <v>23</v>
      </c>
    </row>
    <row r="1152" spans="1:11" ht="42" customHeight="1">
      <c r="A1152" s="2" t="s">
        <v>3117</v>
      </c>
      <c r="B1152" s="2" t="s">
        <v>3118</v>
      </c>
      <c r="C1152" s="2" t="s">
        <v>81</v>
      </c>
      <c r="D1152" s="2" t="s">
        <v>50</v>
      </c>
      <c r="E1152" s="5">
        <v>-30900</v>
      </c>
      <c r="F1152" s="3" t="s">
        <v>921</v>
      </c>
      <c r="G1152" s="3" t="s">
        <v>276</v>
      </c>
      <c r="H1152" s="2" t="s">
        <v>72</v>
      </c>
      <c r="I1152" s="2" t="s">
        <v>3119</v>
      </c>
      <c r="J1152" s="3" t="str">
        <f>HYPERLINK("https://www.boe.es/gazeta/dias/1815/05/25/pdfs/GMD-1815-63.pdf#page=12","Abrir facsímil")</f>
        <v>Abrir facsímil</v>
      </c>
      <c r="K1152" s="3" t="s">
        <v>74</v>
      </c>
    </row>
    <row r="1153" spans="1:11" ht="42" customHeight="1">
      <c r="A1153" s="2" t="s">
        <v>3120</v>
      </c>
      <c r="B1153" s="2" t="s">
        <v>3121</v>
      </c>
      <c r="C1153" s="2" t="s">
        <v>49</v>
      </c>
      <c r="D1153" s="2" t="s">
        <v>50</v>
      </c>
      <c r="E1153" s="5">
        <v>-30865</v>
      </c>
      <c r="F1153" s="3" t="s">
        <v>163</v>
      </c>
      <c r="G1153" s="3" t="s">
        <v>38</v>
      </c>
      <c r="H1153" s="2" t="s">
        <v>72</v>
      </c>
      <c r="I1153" s="2" t="s">
        <v>3122</v>
      </c>
      <c r="J1153" s="3" t="str">
        <f>HYPERLINK("https://www.boe.es/gazeta/dias/1815/06/29/pdfs/GMD-1815-78.pdf#page=8","Abrir facsímil")</f>
        <v>Abrir facsímil</v>
      </c>
      <c r="K1153" s="3" t="s">
        <v>74</v>
      </c>
    </row>
    <row r="1154" spans="1:11" ht="42" customHeight="1">
      <c r="A1154" s="2" t="s">
        <v>3123</v>
      </c>
      <c r="B1154" s="2" t="s">
        <v>3124</v>
      </c>
      <c r="C1154" s="2" t="s">
        <v>49</v>
      </c>
      <c r="D1154" s="2" t="s">
        <v>50</v>
      </c>
      <c r="E1154" s="5">
        <v>-30874</v>
      </c>
      <c r="F1154" s="3" t="s">
        <v>208</v>
      </c>
      <c r="G1154" s="3" t="s">
        <v>224</v>
      </c>
      <c r="H1154" s="2" t="s">
        <v>72</v>
      </c>
      <c r="I1154" s="2" t="s">
        <v>3125</v>
      </c>
      <c r="J1154" s="3" t="str">
        <f>HYPERLINK("https://www.boe.es/gazeta/dias/1815/06/20/pdfs/GMD-1815-74.pdf#page=9","Abrir facsímil")</f>
        <v>Abrir facsímil</v>
      </c>
      <c r="K1154" s="3" t="s">
        <v>74</v>
      </c>
    </row>
    <row r="1155" spans="1:11" ht="42" customHeight="1">
      <c r="A1155" s="2" t="s">
        <v>3126</v>
      </c>
      <c r="B1155" s="2" t="s">
        <v>3127</v>
      </c>
      <c r="C1155" s="2" t="s">
        <v>49</v>
      </c>
      <c r="D1155" s="2" t="s">
        <v>50</v>
      </c>
      <c r="E1155" s="5">
        <v>-30781</v>
      </c>
      <c r="F1155" s="3" t="s">
        <v>685</v>
      </c>
      <c r="G1155" s="3" t="s">
        <v>27</v>
      </c>
      <c r="H1155" s="2" t="s">
        <v>72</v>
      </c>
      <c r="I1155" s="2" t="s">
        <v>3128</v>
      </c>
      <c r="J1155" s="3" t="str">
        <f>HYPERLINK("https://www.boe.es/gazeta/dias/1815/09/21/pdfs/GMD-1815-117.pdf#page=6","Abrir facsímil")</f>
        <v>Abrir facsímil</v>
      </c>
      <c r="K1155" s="3" t="s">
        <v>74</v>
      </c>
    </row>
    <row r="1156" spans="1:11" ht="42" customHeight="1">
      <c r="A1156" s="2" t="s">
        <v>3129</v>
      </c>
      <c r="B1156" s="2" t="s">
        <v>3130</v>
      </c>
      <c r="C1156" s="2" t="s">
        <v>31</v>
      </c>
      <c r="D1156" s="2" t="s">
        <v>32</v>
      </c>
      <c r="E1156" s="5">
        <v>-30916</v>
      </c>
      <c r="F1156" s="3" t="s">
        <v>147</v>
      </c>
      <c r="G1156" s="3" t="s">
        <v>38</v>
      </c>
      <c r="H1156" s="2" t="s">
        <v>72</v>
      </c>
      <c r="I1156" s="2" t="s">
        <v>3131</v>
      </c>
      <c r="J1156" s="3" t="str">
        <f>HYPERLINK("https://www.boe.es/gazeta/dias/1815/05/09/pdfs/GMD-1815-56.pdf#page=8","Abrir facsímil")</f>
        <v>Abrir facsímil</v>
      </c>
      <c r="K1156" s="3" t="s">
        <v>74</v>
      </c>
    </row>
    <row r="1157" spans="1:11" ht="42" customHeight="1">
      <c r="A1157" s="2" t="s">
        <v>3132</v>
      </c>
      <c r="B1157" s="2" t="s">
        <v>3133</v>
      </c>
      <c r="C1157" s="2" t="s">
        <v>31</v>
      </c>
      <c r="D1157" s="2" t="s">
        <v>32</v>
      </c>
      <c r="E1157" s="5">
        <v>-30865</v>
      </c>
      <c r="F1157" s="3" t="s">
        <v>163</v>
      </c>
      <c r="G1157" s="3" t="s">
        <v>38</v>
      </c>
      <c r="H1157" s="2" t="s">
        <v>72</v>
      </c>
      <c r="I1157" s="2" t="s">
        <v>3134</v>
      </c>
      <c r="J1157" s="3" t="str">
        <f>HYPERLINK("https://www.boe.es/gazeta/dias/1815/06/29/pdfs/GMD-1815-78.pdf#page=8","Abrir facsímil")</f>
        <v>Abrir facsímil</v>
      </c>
      <c r="K1157" s="3" t="s">
        <v>74</v>
      </c>
    </row>
    <row r="1158" spans="1:11" ht="42" customHeight="1">
      <c r="A1158" s="2" t="s">
        <v>3135</v>
      </c>
      <c r="B1158" s="2" t="s">
        <v>3136</v>
      </c>
      <c r="C1158" s="2" t="s">
        <v>31</v>
      </c>
      <c r="D1158" s="2" t="s">
        <v>32</v>
      </c>
      <c r="E1158" s="5">
        <v>-31031</v>
      </c>
      <c r="F1158" s="3" t="s">
        <v>105</v>
      </c>
      <c r="G1158" s="3" t="s">
        <v>97</v>
      </c>
      <c r="H1158" s="2" t="s">
        <v>72</v>
      </c>
      <c r="I1158" s="2" t="s">
        <v>3137</v>
      </c>
      <c r="J1158" s="3" t="str">
        <f>HYPERLINK("https://www.boe.es/gazeta/dias/1815/01/14/pdfs/GMD-1815-6.pdf#page=3","Abrir facsímil")</f>
        <v>Abrir facsímil</v>
      </c>
      <c r="K1158" s="3" t="s">
        <v>74</v>
      </c>
    </row>
    <row r="1159" spans="1:11" ht="42" customHeight="1">
      <c r="A1159" s="2" t="s">
        <v>3138</v>
      </c>
      <c r="B1159" s="2" t="s">
        <v>3139</v>
      </c>
      <c r="C1159" s="2" t="s">
        <v>17</v>
      </c>
      <c r="D1159" s="2" t="s">
        <v>18</v>
      </c>
      <c r="E1159" s="5">
        <v>-30961</v>
      </c>
      <c r="F1159" s="3" t="s">
        <v>1176</v>
      </c>
      <c r="G1159" s="3" t="s">
        <v>38</v>
      </c>
      <c r="H1159" s="2" t="s">
        <v>72</v>
      </c>
      <c r="I1159" s="2" t="s">
        <v>3140</v>
      </c>
      <c r="J1159" s="3" t="str">
        <f>HYPERLINK("https://www.boe.es/gazeta/dias/1815/03/25/pdfs/GMD-1815-36.pdf#page=8","Abrir facsímil")</f>
        <v>Abrir facsímil</v>
      </c>
      <c r="K1159" s="3" t="s">
        <v>74</v>
      </c>
    </row>
    <row r="1160" spans="1:11" ht="42" customHeight="1">
      <c r="A1160" s="2" t="s">
        <v>3141</v>
      </c>
      <c r="B1160" s="2" t="s">
        <v>3142</v>
      </c>
      <c r="C1160" s="2" t="s">
        <v>49</v>
      </c>
      <c r="D1160" s="2" t="s">
        <v>50</v>
      </c>
      <c r="E1160" s="5">
        <v>-30860</v>
      </c>
      <c r="F1160" s="3" t="s">
        <v>184</v>
      </c>
      <c r="G1160" s="3" t="s">
        <v>20</v>
      </c>
      <c r="H1160" s="2" t="s">
        <v>72</v>
      </c>
      <c r="I1160" s="2" t="s">
        <v>3143</v>
      </c>
      <c r="J1160" s="3" t="str">
        <f>HYPERLINK("https://www.boe.es/gazeta/dias/1815/07/04/pdfs/GMD-1815-81.pdf#page=4","Abrir facsímil")</f>
        <v>Abrir facsímil</v>
      </c>
      <c r="K1160" s="3" t="s">
        <v>74</v>
      </c>
    </row>
    <row r="1161" spans="1:11" ht="42" customHeight="1">
      <c r="A1161" s="2" t="s">
        <v>3144</v>
      </c>
      <c r="B1161" s="2" t="s">
        <v>3145</v>
      </c>
      <c r="C1161" s="2" t="s">
        <v>195</v>
      </c>
      <c r="D1161" s="2" t="s">
        <v>50</v>
      </c>
      <c r="E1161" s="5">
        <v>-30928</v>
      </c>
      <c r="F1161" s="3" t="s">
        <v>330</v>
      </c>
      <c r="G1161" s="3" t="s">
        <v>71</v>
      </c>
      <c r="H1161" s="2" t="s">
        <v>72</v>
      </c>
      <c r="I1161" s="2" t="s">
        <v>3146</v>
      </c>
      <c r="J1161" s="3" t="str">
        <f>HYPERLINK("https://www.boe.es/gazeta/dias/1815/04/27/pdfs/GMD-1815-51.pdf#page=7","Abrir facsímil")</f>
        <v>Abrir facsímil</v>
      </c>
      <c r="K1161" s="3" t="s">
        <v>74</v>
      </c>
    </row>
    <row r="1162" spans="1:11" ht="42" customHeight="1">
      <c r="A1162" s="2" t="s">
        <v>3144</v>
      </c>
      <c r="B1162" s="2" t="s">
        <v>3145</v>
      </c>
      <c r="C1162" s="2" t="s">
        <v>49</v>
      </c>
      <c r="D1162" s="2" t="s">
        <v>50</v>
      </c>
      <c r="E1162" s="5">
        <v>-30863</v>
      </c>
      <c r="F1162" s="3" t="s">
        <v>110</v>
      </c>
      <c r="G1162" s="3" t="s">
        <v>224</v>
      </c>
      <c r="H1162" s="2" t="s">
        <v>72</v>
      </c>
      <c r="I1162" s="2" t="s">
        <v>3147</v>
      </c>
      <c r="J1162" s="3" t="str">
        <f>HYPERLINK("https://www.boe.es/gazeta/dias/1815/07/01/pdfs/GMD-1815-79.pdf#page=9","Abrir facsímil")</f>
        <v>Abrir facsímil</v>
      </c>
      <c r="K1162" s="3" t="s">
        <v>74</v>
      </c>
    </row>
    <row r="1163" spans="1:11" ht="42" customHeight="1">
      <c r="A1163" s="2" t="s">
        <v>3148</v>
      </c>
      <c r="B1163" s="2" t="s">
        <v>3149</v>
      </c>
      <c r="C1163" s="2" t="s">
        <v>49</v>
      </c>
      <c r="D1163" s="2" t="s">
        <v>50</v>
      </c>
      <c r="E1163" s="5">
        <v>-30865</v>
      </c>
      <c r="F1163" s="3" t="s">
        <v>163</v>
      </c>
      <c r="G1163" s="3" t="s">
        <v>38</v>
      </c>
      <c r="H1163" s="2" t="s">
        <v>72</v>
      </c>
      <c r="I1163" s="2" t="s">
        <v>3150</v>
      </c>
      <c r="J1163" s="3" t="str">
        <f>HYPERLINK("https://www.boe.es/gazeta/dias/1815/06/29/pdfs/GMD-1815-78.pdf#page=8","Abrir facsímil")</f>
        <v>Abrir facsímil</v>
      </c>
      <c r="K1163" s="3" t="s">
        <v>74</v>
      </c>
    </row>
    <row r="1164" spans="1:11" ht="42" customHeight="1">
      <c r="A1164" s="2" t="s">
        <v>3151</v>
      </c>
      <c r="B1164" s="2" t="s">
        <v>3152</v>
      </c>
      <c r="C1164" s="2" t="s">
        <v>49</v>
      </c>
      <c r="D1164" s="2" t="s">
        <v>50</v>
      </c>
      <c r="E1164" s="5">
        <v>-30767</v>
      </c>
      <c r="F1164" s="3" t="s">
        <v>228</v>
      </c>
      <c r="G1164" s="3" t="s">
        <v>88</v>
      </c>
      <c r="H1164" s="2" t="s">
        <v>72</v>
      </c>
      <c r="I1164" s="2" t="s">
        <v>3153</v>
      </c>
      <c r="J1164" s="3" t="str">
        <f>HYPERLINK("https://www.boe.es/gazeta/dias/1815/10/05/pdfs/GMD-1815-125.pdf#page=10","Abrir facsímil")</f>
        <v>Abrir facsímil</v>
      </c>
      <c r="K1164" s="3" t="s">
        <v>74</v>
      </c>
    </row>
    <row r="1165" spans="1:11" ht="42" customHeight="1">
      <c r="A1165" s="2" t="s">
        <v>3154</v>
      </c>
      <c r="B1165" s="2" t="s">
        <v>3155</v>
      </c>
      <c r="C1165" s="2" t="s">
        <v>49</v>
      </c>
      <c r="D1165" s="2" t="s">
        <v>50</v>
      </c>
      <c r="E1165" s="5">
        <v>-30916</v>
      </c>
      <c r="F1165" s="3" t="s">
        <v>147</v>
      </c>
      <c r="G1165" s="3" t="s">
        <v>148</v>
      </c>
      <c r="H1165" s="2" t="s">
        <v>72</v>
      </c>
      <c r="I1165" s="2" t="s">
        <v>3156</v>
      </c>
      <c r="J1165" s="3" t="str">
        <f>HYPERLINK("https://www.boe.es/gazeta/dias/1815/05/09/pdfs/GMD-1815-56.pdf#page=7","Abrir facsímil")</f>
        <v>Abrir facsímil</v>
      </c>
      <c r="K1165" s="3" t="s">
        <v>74</v>
      </c>
    </row>
    <row r="1166" spans="1:11" ht="42" customHeight="1">
      <c r="A1166" s="2" t="s">
        <v>3157</v>
      </c>
      <c r="B1166" s="2" t="s">
        <v>3158</v>
      </c>
      <c r="C1166" s="2" t="s">
        <v>17</v>
      </c>
      <c r="D1166" s="2" t="s">
        <v>18</v>
      </c>
      <c r="E1166" s="5">
        <v>-30993</v>
      </c>
      <c r="F1166" s="3" t="s">
        <v>66</v>
      </c>
      <c r="G1166" s="3" t="s">
        <v>38</v>
      </c>
      <c r="H1166" s="2" t="s">
        <v>72</v>
      </c>
      <c r="I1166" s="2" t="s">
        <v>3159</v>
      </c>
      <c r="J1166" s="3" t="str">
        <f>HYPERLINK("https://www.boe.es/gazeta/dias/1815/02/21/pdfs/GMD-1815-22.pdf#page=8","Abrir facsímil")</f>
        <v>Abrir facsímil</v>
      </c>
      <c r="K1166" s="3" t="s">
        <v>74</v>
      </c>
    </row>
    <row r="1167" spans="1:11" ht="42" customHeight="1">
      <c r="A1167" s="2" t="s">
        <v>3157</v>
      </c>
      <c r="B1167" s="2" t="s">
        <v>3158</v>
      </c>
      <c r="C1167" s="2" t="s">
        <v>31</v>
      </c>
      <c r="D1167" s="2" t="s">
        <v>32</v>
      </c>
      <c r="E1167" s="5">
        <v>-30923</v>
      </c>
      <c r="F1167" s="3" t="s">
        <v>524</v>
      </c>
      <c r="G1167" s="3" t="s">
        <v>1314</v>
      </c>
      <c r="H1167" s="2" t="s">
        <v>72</v>
      </c>
      <c r="I1167" s="2" t="s">
        <v>3160</v>
      </c>
      <c r="J1167" s="3" t="str">
        <f>HYPERLINK("https://www.boe.es/gazeta/dias/1815/05/02/pdfs/GMD-1815-53.pdf#page=12","Abrir facsímil")</f>
        <v>Abrir facsímil</v>
      </c>
      <c r="K1167" s="3" t="s">
        <v>74</v>
      </c>
    </row>
    <row r="1168" spans="1:11" ht="42" customHeight="1">
      <c r="A1168" s="2" t="s">
        <v>3157</v>
      </c>
      <c r="B1168" s="2" t="s">
        <v>3158</v>
      </c>
      <c r="C1168" s="2" t="s">
        <v>31</v>
      </c>
      <c r="D1168" s="2" t="s">
        <v>32</v>
      </c>
      <c r="E1168" s="5">
        <v>-30909</v>
      </c>
      <c r="F1168" s="3" t="s">
        <v>581</v>
      </c>
      <c r="G1168" s="3" t="s">
        <v>38</v>
      </c>
      <c r="H1168" s="2" t="s">
        <v>72</v>
      </c>
      <c r="I1168" s="2" t="s">
        <v>3161</v>
      </c>
      <c r="J1168" s="3" t="str">
        <f>HYPERLINK("https://www.boe.es/gazeta/dias/1815/05/16/pdfs/GMD-1815-59.pdf#page=8","Abrir facsímil")</f>
        <v>Abrir facsímil</v>
      </c>
      <c r="K1168" s="3" t="s">
        <v>74</v>
      </c>
    </row>
    <row r="1169" spans="1:11" ht="42" customHeight="1">
      <c r="A1169" s="2" t="s">
        <v>3157</v>
      </c>
      <c r="B1169" s="2" t="s">
        <v>3158</v>
      </c>
      <c r="C1169" s="2" t="s">
        <v>17</v>
      </c>
      <c r="D1169" s="2" t="s">
        <v>18</v>
      </c>
      <c r="E1169" s="5">
        <v>-30853</v>
      </c>
      <c r="F1169" s="3" t="s">
        <v>1473</v>
      </c>
      <c r="G1169" s="3" t="s">
        <v>38</v>
      </c>
      <c r="H1169" s="2" t="s">
        <v>72</v>
      </c>
      <c r="I1169" s="2" t="s">
        <v>3162</v>
      </c>
      <c r="J1169" s="3" t="str">
        <f>HYPERLINK("https://www.boe.es/gazeta/dias/1815/07/11/pdfs/GMD-1815-85.pdf#page=8","Abrir facsímil")</f>
        <v>Abrir facsímil</v>
      </c>
      <c r="K1169" s="3" t="s">
        <v>74</v>
      </c>
    </row>
    <row r="1170" spans="1:11" ht="42" customHeight="1">
      <c r="A1170" s="2" t="s">
        <v>3157</v>
      </c>
      <c r="B1170" s="2" t="s">
        <v>3158</v>
      </c>
      <c r="C1170" s="2" t="s">
        <v>17</v>
      </c>
      <c r="D1170" s="2" t="s">
        <v>18</v>
      </c>
      <c r="E1170" s="5">
        <v>-30821</v>
      </c>
      <c r="F1170" s="3" t="s">
        <v>915</v>
      </c>
      <c r="G1170" s="3" t="s">
        <v>38</v>
      </c>
      <c r="H1170" s="2" t="s">
        <v>72</v>
      </c>
      <c r="I1170" s="2" t="s">
        <v>3163</v>
      </c>
      <c r="J1170" s="3" t="str">
        <f>HYPERLINK("https://www.boe.es/gazeta/dias/1815/08/12/pdfs/GMD-1815-99.pdf#page=8","Abrir facsímil")</f>
        <v>Abrir facsímil</v>
      </c>
      <c r="K1170" s="3" t="s">
        <v>74</v>
      </c>
    </row>
    <row r="1171" spans="1:11" ht="42" customHeight="1">
      <c r="A1171" s="2" t="s">
        <v>3157</v>
      </c>
      <c r="B1171" s="2" t="s">
        <v>3158</v>
      </c>
      <c r="C1171" s="2" t="s">
        <v>49</v>
      </c>
      <c r="D1171" s="2" t="s">
        <v>50</v>
      </c>
      <c r="E1171" s="5">
        <v>-30744</v>
      </c>
      <c r="F1171" s="3" t="s">
        <v>391</v>
      </c>
      <c r="G1171" s="3" t="s">
        <v>71</v>
      </c>
      <c r="H1171" s="2" t="s">
        <v>72</v>
      </c>
      <c r="I1171" s="2" t="s">
        <v>3164</v>
      </c>
      <c r="J1171" s="3" t="str">
        <f>HYPERLINK("https://www.boe.es/gazeta/dias/1815/10/28/pdfs/GMD-1815-135.pdf#page=7","Abrir facsímil")</f>
        <v>Abrir facsímil</v>
      </c>
      <c r="K1171" s="3" t="s">
        <v>74</v>
      </c>
    </row>
    <row r="1172" spans="1:11" ht="42" customHeight="1">
      <c r="A1172" s="2" t="s">
        <v>3165</v>
      </c>
      <c r="B1172" s="2" t="s">
        <v>3166</v>
      </c>
      <c r="C1172" s="2" t="s">
        <v>31</v>
      </c>
      <c r="D1172" s="2" t="s">
        <v>32</v>
      </c>
      <c r="E1172" s="5">
        <v>-30739</v>
      </c>
      <c r="F1172" s="3" t="s">
        <v>254</v>
      </c>
      <c r="G1172" s="3" t="s">
        <v>52</v>
      </c>
      <c r="H1172" s="2" t="s">
        <v>72</v>
      </c>
      <c r="I1172" s="2" t="s">
        <v>3167</v>
      </c>
      <c r="J1172" s="3" t="str">
        <f>HYPERLINK("https://www.boe.es/gazeta/dias/1815/11/02/pdfs/GMD-1815-137.pdf#page=11","Abrir facsímil")</f>
        <v>Abrir facsímil</v>
      </c>
      <c r="K1172" s="3" t="s">
        <v>74</v>
      </c>
    </row>
    <row r="1173" spans="1:11" ht="42" customHeight="1">
      <c r="A1173" s="2" t="s">
        <v>3168</v>
      </c>
      <c r="B1173" s="2" t="s">
        <v>3169</v>
      </c>
      <c r="C1173" s="2" t="s">
        <v>31</v>
      </c>
      <c r="D1173" s="2" t="s">
        <v>32</v>
      </c>
      <c r="E1173" s="5">
        <v>-31038</v>
      </c>
      <c r="F1173" s="3" t="s">
        <v>395</v>
      </c>
      <c r="G1173" s="3" t="s">
        <v>71</v>
      </c>
      <c r="H1173" s="2" t="s">
        <v>72</v>
      </c>
      <c r="I1173" s="2" t="s">
        <v>3170</v>
      </c>
      <c r="J1173" s="3" t="str">
        <f>HYPERLINK("https://www.boe.es/gazeta/dias/1815/01/07/pdfs/GMD-1815-3.pdf#page=7","Abrir facsímil")</f>
        <v>Abrir facsímil</v>
      </c>
      <c r="K1173" s="3" t="s">
        <v>74</v>
      </c>
    </row>
    <row r="1174" spans="1:11" ht="42" customHeight="1">
      <c r="A1174" s="2" t="s">
        <v>3171</v>
      </c>
      <c r="B1174" s="2" t="s">
        <v>3172</v>
      </c>
      <c r="C1174" s="2" t="s">
        <v>81</v>
      </c>
      <c r="D1174" s="2" t="s">
        <v>50</v>
      </c>
      <c r="E1174" s="5">
        <v>-30776</v>
      </c>
      <c r="F1174" s="3" t="s">
        <v>118</v>
      </c>
      <c r="G1174" s="3" t="s">
        <v>27</v>
      </c>
      <c r="H1174" s="2" t="s">
        <v>72</v>
      </c>
      <c r="I1174" s="2" t="s">
        <v>3173</v>
      </c>
      <c r="J1174" s="3" t="str">
        <f>HYPERLINK("https://www.boe.es/gazeta/dias/1815/09/26/pdfs/GMD-1815-119.pdf#page=6","Abrir facsímil")</f>
        <v>Abrir facsímil</v>
      </c>
      <c r="K1174" s="3" t="s">
        <v>74</v>
      </c>
    </row>
    <row r="1175" spans="1:11" ht="42" customHeight="1">
      <c r="A1175" s="2" t="s">
        <v>3174</v>
      </c>
      <c r="B1175" s="2" t="s">
        <v>3175</v>
      </c>
      <c r="C1175" s="2" t="s">
        <v>17</v>
      </c>
      <c r="D1175" s="2" t="s">
        <v>18</v>
      </c>
      <c r="E1175" s="5">
        <v>-30739</v>
      </c>
      <c r="F1175" s="3" t="s">
        <v>254</v>
      </c>
      <c r="G1175" s="3" t="s">
        <v>52</v>
      </c>
      <c r="H1175" s="2" t="s">
        <v>72</v>
      </c>
      <c r="I1175" s="2" t="s">
        <v>3176</v>
      </c>
      <c r="J1175" s="3" t="str">
        <f>HYPERLINK("https://www.boe.es/gazeta/dias/1815/11/02/pdfs/GMD-1815-137.pdf#page=11","Abrir facsímil")</f>
        <v>Abrir facsímil</v>
      </c>
      <c r="K1175" s="3" t="s">
        <v>74</v>
      </c>
    </row>
    <row r="1176" spans="1:11" ht="42" customHeight="1">
      <c r="A1176" s="2" t="s">
        <v>3177</v>
      </c>
      <c r="B1176" s="2" t="s">
        <v>3178</v>
      </c>
      <c r="C1176" s="2" t="s">
        <v>61</v>
      </c>
      <c r="D1176" s="2" t="s">
        <v>50</v>
      </c>
      <c r="E1176" s="5">
        <v>-30867</v>
      </c>
      <c r="F1176" s="3" t="s">
        <v>3179</v>
      </c>
      <c r="G1176" s="3" t="s">
        <v>3180</v>
      </c>
      <c r="H1176" s="2" t="s">
        <v>72</v>
      </c>
      <c r="I1176" s="2" t="s">
        <v>3181</v>
      </c>
      <c r="J1176" s="3" t="str">
        <f>HYPERLINK("https://www.boe.es/gazeta/dias/1815/06/27/pdfs/GMD-1815-77.pdf#page=8","Abrir facsímil")</f>
        <v>Abrir facsímil</v>
      </c>
      <c r="K1176" s="3" t="s">
        <v>74</v>
      </c>
    </row>
    <row r="1177" spans="1:11" ht="42" customHeight="1">
      <c r="A1177" s="2" t="s">
        <v>3182</v>
      </c>
      <c r="B1177" s="2" t="s">
        <v>3183</v>
      </c>
      <c r="C1177" s="2" t="s">
        <v>17</v>
      </c>
      <c r="D1177" s="2" t="s">
        <v>18</v>
      </c>
      <c r="E1177" s="5">
        <v>-30718</v>
      </c>
      <c r="F1177" s="3" t="s">
        <v>3115</v>
      </c>
      <c r="G1177" s="3" t="s">
        <v>38</v>
      </c>
      <c r="H1177" s="2" t="s">
        <v>72</v>
      </c>
      <c r="I1177" s="2" t="s">
        <v>3184</v>
      </c>
      <c r="J1177" s="3" t="str">
        <f>HYPERLINK("https://www.boe.es/gazeta/dias/1815/11/23/pdfs/GMD-1815-146.pdf#page=8","Abrir facsímil")</f>
        <v>Abrir facsímil</v>
      </c>
      <c r="K1177" s="3" t="s">
        <v>74</v>
      </c>
    </row>
    <row r="1178" spans="1:11" ht="42" customHeight="1">
      <c r="A1178" s="2" t="s">
        <v>3185</v>
      </c>
      <c r="B1178" s="2" t="s">
        <v>3186</v>
      </c>
      <c r="C1178" s="2" t="s">
        <v>31</v>
      </c>
      <c r="D1178" s="2" t="s">
        <v>32</v>
      </c>
      <c r="E1178" s="5">
        <v>-30982</v>
      </c>
      <c r="F1178" s="3" t="s">
        <v>220</v>
      </c>
      <c r="G1178" s="3" t="s">
        <v>57</v>
      </c>
      <c r="H1178" s="2" t="s">
        <v>72</v>
      </c>
      <c r="I1178" s="2" t="s">
        <v>3187</v>
      </c>
      <c r="J1178" s="3" t="str">
        <f>HYPERLINK("https://www.boe.es/gazeta/dias/1815/03/04/pdfs/GMD-1815-27.pdf#page=5","Abrir facsímil")</f>
        <v>Abrir facsímil</v>
      </c>
      <c r="K1178" s="3" t="s">
        <v>74</v>
      </c>
    </row>
    <row r="1179" spans="1:11" ht="42" customHeight="1">
      <c r="A1179" s="2" t="s">
        <v>3188</v>
      </c>
      <c r="B1179" s="2" t="s">
        <v>3189</v>
      </c>
      <c r="C1179" s="2" t="s">
        <v>894</v>
      </c>
      <c r="D1179" s="2" t="s">
        <v>18</v>
      </c>
      <c r="E1179" s="5">
        <v>-30713</v>
      </c>
      <c r="F1179" s="3" t="s">
        <v>895</v>
      </c>
      <c r="G1179" s="3" t="s">
        <v>71</v>
      </c>
      <c r="H1179" s="2" t="s">
        <v>72</v>
      </c>
      <c r="I1179" s="2" t="s">
        <v>3190</v>
      </c>
      <c r="J1179" s="3" t="str">
        <f>HYPERLINK("https://www.boe.es/gazeta/dias/1815/11/28/pdfs/GMD-1815-148.pdf#page=7","Abrir facsímil")</f>
        <v>Abrir facsímil</v>
      </c>
      <c r="K1179" s="3" t="s">
        <v>74</v>
      </c>
    </row>
    <row r="1180" spans="1:11" ht="42" customHeight="1">
      <c r="A1180" s="2" t="s">
        <v>3191</v>
      </c>
      <c r="B1180" s="2" t="s">
        <v>3192</v>
      </c>
      <c r="C1180" s="2" t="s">
        <v>81</v>
      </c>
      <c r="D1180" s="2" t="s">
        <v>50</v>
      </c>
      <c r="E1180" s="5">
        <v>-31014</v>
      </c>
      <c r="F1180" s="3" t="s">
        <v>3193</v>
      </c>
      <c r="G1180" s="3" t="s">
        <v>38</v>
      </c>
      <c r="H1180" s="2" t="s">
        <v>72</v>
      </c>
      <c r="I1180" s="2" t="s">
        <v>3194</v>
      </c>
      <c r="J1180" s="3" t="str">
        <f>HYPERLINK("https://www.boe.es/gazeta/dias/1815/01/31/pdfs/GMD-1815-13.pdf#page=8","Abrir facsímil")</f>
        <v>Abrir facsímil</v>
      </c>
      <c r="K1180" s="3" t="s">
        <v>74</v>
      </c>
    </row>
    <row r="1181" spans="1:11" ht="42" customHeight="1">
      <c r="A1181" s="2" t="s">
        <v>3195</v>
      </c>
      <c r="B1181" s="2" t="s">
        <v>3196</v>
      </c>
      <c r="C1181" s="2" t="s">
        <v>49</v>
      </c>
      <c r="D1181" s="2" t="s">
        <v>50</v>
      </c>
      <c r="E1181" s="5">
        <v>-30860</v>
      </c>
      <c r="F1181" s="3" t="s">
        <v>184</v>
      </c>
      <c r="G1181" s="3" t="s">
        <v>20</v>
      </c>
      <c r="H1181" s="2" t="s">
        <v>72</v>
      </c>
      <c r="I1181" s="2" t="s">
        <v>3197</v>
      </c>
      <c r="J1181" s="3" t="str">
        <f>HYPERLINK("https://www.boe.es/gazeta/dias/1815/07/04/pdfs/GMD-1815-81.pdf#page=4","Abrir facsímil")</f>
        <v>Abrir facsímil</v>
      </c>
      <c r="K1181" s="3" t="s">
        <v>74</v>
      </c>
    </row>
    <row r="1182" spans="1:11" ht="42" customHeight="1">
      <c r="A1182" s="2" t="s">
        <v>3198</v>
      </c>
      <c r="B1182" s="2" t="s">
        <v>3198</v>
      </c>
      <c r="C1182" s="2" t="s">
        <v>31</v>
      </c>
      <c r="D1182" s="2" t="s">
        <v>32</v>
      </c>
      <c r="E1182" s="5">
        <v>-30823</v>
      </c>
      <c r="F1182" s="3" t="s">
        <v>305</v>
      </c>
      <c r="G1182" s="3" t="s">
        <v>57</v>
      </c>
      <c r="H1182" s="2" t="s">
        <v>72</v>
      </c>
      <c r="I1182" s="2" t="s">
        <v>3199</v>
      </c>
      <c r="J1182" s="3" t="str">
        <f>HYPERLINK("https://www.boe.es/gazeta/dias/1815/08/10/pdfs/GMD-1815-98.pdf#page=5","Abrir facsímil")</f>
        <v>Abrir facsímil</v>
      </c>
      <c r="K1182" s="3" t="s">
        <v>74</v>
      </c>
    </row>
    <row r="1183" spans="1:11" ht="42" customHeight="1">
      <c r="A1183" s="2" t="s">
        <v>3200</v>
      </c>
      <c r="B1183" s="2" t="s">
        <v>3200</v>
      </c>
      <c r="C1183" s="2" t="s">
        <v>17</v>
      </c>
      <c r="D1183" s="2" t="s">
        <v>18</v>
      </c>
      <c r="E1183" s="5">
        <v>-30818</v>
      </c>
      <c r="F1183" s="3" t="s">
        <v>334</v>
      </c>
      <c r="G1183" s="3" t="s">
        <v>88</v>
      </c>
      <c r="H1183" s="2" t="s">
        <v>72</v>
      </c>
      <c r="I1183" s="2" t="s">
        <v>3201</v>
      </c>
      <c r="J1183" s="3" t="str">
        <f>HYPERLINK("https://www.boe.es/gazeta/dias/1815/08/15/pdfs/GMD-1815-100.pdf#page=10","Abrir facsímil")</f>
        <v>Abrir facsímil</v>
      </c>
      <c r="K1183" s="3" t="s">
        <v>74</v>
      </c>
    </row>
    <row r="1184" spans="1:11" ht="42" customHeight="1">
      <c r="A1184" s="2" t="s">
        <v>3202</v>
      </c>
      <c r="B1184" s="2" t="s">
        <v>3202</v>
      </c>
      <c r="C1184" s="2" t="s">
        <v>31</v>
      </c>
      <c r="D1184" s="2" t="s">
        <v>32</v>
      </c>
      <c r="E1184" s="5">
        <v>-30746</v>
      </c>
      <c r="F1184" s="3" t="s">
        <v>3203</v>
      </c>
      <c r="G1184" s="3" t="s">
        <v>97</v>
      </c>
      <c r="H1184" s="2" t="s">
        <v>72</v>
      </c>
      <c r="I1184" s="2" t="s">
        <v>3204</v>
      </c>
      <c r="J1184" s="3" t="str">
        <f>HYPERLINK("https://www.boe.es/gazeta/dias/1815/10/26/pdfs/GMD-1815-134.pdf#page=3","Abrir facsímil")</f>
        <v>Abrir facsímil</v>
      </c>
      <c r="K1184" s="3" t="s">
        <v>74</v>
      </c>
    </row>
    <row r="1185" spans="1:11" ht="42" customHeight="1">
      <c r="A1185" s="2" t="s">
        <v>3205</v>
      </c>
      <c r="B1185" s="2" t="s">
        <v>3205</v>
      </c>
      <c r="C1185" s="2" t="s">
        <v>31</v>
      </c>
      <c r="D1185" s="2" t="s">
        <v>32</v>
      </c>
      <c r="E1185" s="5">
        <v>-30823</v>
      </c>
      <c r="F1185" s="3" t="s">
        <v>305</v>
      </c>
      <c r="G1185" s="3" t="s">
        <v>410</v>
      </c>
      <c r="H1185" s="2" t="s">
        <v>72</v>
      </c>
      <c r="I1185" s="2" t="s">
        <v>3206</v>
      </c>
      <c r="J1185" s="3" t="str">
        <f>HYPERLINK("https://www.boe.es/gazeta/dias/1815/08/10/pdfs/GMD-1815-98.pdf#page=1","Abrir facsímil")</f>
        <v>Abrir facsímil</v>
      </c>
      <c r="K1185" s="3" t="s">
        <v>74</v>
      </c>
    </row>
    <row r="1186" spans="1:11" ht="42" customHeight="1">
      <c r="A1186" s="2" t="s">
        <v>3207</v>
      </c>
      <c r="B1186" s="2" t="s">
        <v>3207</v>
      </c>
      <c r="C1186" s="2" t="s">
        <v>31</v>
      </c>
      <c r="D1186" s="2" t="s">
        <v>32</v>
      </c>
      <c r="E1186" s="5">
        <v>-30982</v>
      </c>
      <c r="F1186" s="3" t="s">
        <v>220</v>
      </c>
      <c r="G1186" s="3" t="s">
        <v>377</v>
      </c>
      <c r="H1186" s="2" t="s">
        <v>72</v>
      </c>
      <c r="I1186" s="2" t="s">
        <v>3208</v>
      </c>
      <c r="J1186" s="3" t="str">
        <f>HYPERLINK("https://www.boe.es/gazeta/dias/1815/03/04/pdfs/GMD-1815-27.pdf#page=2","Abrir facsímil")</f>
        <v>Abrir facsímil</v>
      </c>
      <c r="K1186" s="3" t="s">
        <v>74</v>
      </c>
    </row>
    <row r="1187" spans="1:11" ht="42" customHeight="1">
      <c r="A1187" s="2" t="s">
        <v>3209</v>
      </c>
      <c r="B1187" s="2" t="s">
        <v>3210</v>
      </c>
      <c r="C1187" s="2" t="s">
        <v>31</v>
      </c>
      <c r="D1187" s="2" t="s">
        <v>32</v>
      </c>
      <c r="E1187" s="5">
        <v>-30860</v>
      </c>
      <c r="F1187" s="3" t="s">
        <v>184</v>
      </c>
      <c r="G1187" s="3" t="s">
        <v>472</v>
      </c>
      <c r="H1187" s="2" t="s">
        <v>72</v>
      </c>
      <c r="I1187" s="2" t="s">
        <v>3211</v>
      </c>
      <c r="J1187" s="3" t="str">
        <f>HYPERLINK("https://www.boe.es/gazeta/dias/1815/07/04/pdfs/GMD-1815-81.pdf#page=8","Abrir facsímil")</f>
        <v>Abrir facsímil</v>
      </c>
      <c r="K1187" s="3" t="s">
        <v>74</v>
      </c>
    </row>
    <row r="1188" spans="1:11" ht="42" customHeight="1">
      <c r="A1188" s="2" t="s">
        <v>3212</v>
      </c>
      <c r="B1188" s="2" t="s">
        <v>3213</v>
      </c>
      <c r="C1188" s="2" t="s">
        <v>894</v>
      </c>
      <c r="D1188" s="2" t="s">
        <v>18</v>
      </c>
      <c r="E1188" s="5">
        <v>-30739</v>
      </c>
      <c r="F1188" s="3" t="s">
        <v>254</v>
      </c>
      <c r="G1188" s="3" t="s">
        <v>88</v>
      </c>
      <c r="H1188" s="2" t="s">
        <v>21</v>
      </c>
      <c r="I1188" s="2" t="s">
        <v>3214</v>
      </c>
      <c r="J1188" s="3" t="str">
        <f>HYPERLINK("https://www.boe.es/gazeta/dias/1815/11/02/pdfs/GMD-1815-137.pdf#page=10","Abrir facsímil")</f>
        <v>Abrir facsímil</v>
      </c>
      <c r="K1188" s="3" t="s">
        <v>23</v>
      </c>
    </row>
    <row r="1189" spans="1:11" ht="42" customHeight="1">
      <c r="A1189" s="2" t="s">
        <v>3215</v>
      </c>
      <c r="B1189" s="2" t="s">
        <v>3216</v>
      </c>
      <c r="C1189" s="2" t="s">
        <v>17</v>
      </c>
      <c r="D1189" s="2" t="s">
        <v>18</v>
      </c>
      <c r="E1189" s="5">
        <v>-30914</v>
      </c>
      <c r="F1189" s="3" t="s">
        <v>338</v>
      </c>
      <c r="G1189" s="3" t="s">
        <v>802</v>
      </c>
      <c r="H1189" s="2" t="s">
        <v>72</v>
      </c>
      <c r="I1189" s="2" t="s">
        <v>3217</v>
      </c>
      <c r="J1189" s="3" t="str">
        <f>HYPERLINK("https://www.boe.es/gazeta/dias/1815/05/11/pdfs/GMD-1815-57.pdf#page=7","Abrir facsímil")</f>
        <v>Abrir facsímil</v>
      </c>
      <c r="K1189" s="3" t="s">
        <v>74</v>
      </c>
    </row>
    <row r="1190" spans="1:11" ht="42" customHeight="1">
      <c r="A1190" s="2" t="s">
        <v>3218</v>
      </c>
      <c r="B1190" s="2" t="s">
        <v>3219</v>
      </c>
      <c r="C1190" s="2" t="s">
        <v>31</v>
      </c>
      <c r="D1190" s="2" t="s">
        <v>32</v>
      </c>
      <c r="E1190" s="5">
        <v>-30942</v>
      </c>
      <c r="F1190" s="3" t="s">
        <v>730</v>
      </c>
      <c r="G1190" s="3" t="s">
        <v>71</v>
      </c>
      <c r="H1190" s="2" t="s">
        <v>72</v>
      </c>
      <c r="I1190" s="2" t="s">
        <v>3220</v>
      </c>
      <c r="J1190" s="3" t="str">
        <f>HYPERLINK("https://www.boe.es/gazeta/dias/1815/04/13/pdfs/GMD-1815-45.pdf#page=7","Abrir facsímil")</f>
        <v>Abrir facsímil</v>
      </c>
      <c r="K1190" s="3" t="s">
        <v>74</v>
      </c>
    </row>
    <row r="1191" spans="1:11" ht="42" customHeight="1">
      <c r="A1191" s="2" t="s">
        <v>3221</v>
      </c>
      <c r="B1191" s="2" t="s">
        <v>3222</v>
      </c>
      <c r="C1191" s="2" t="s">
        <v>17</v>
      </c>
      <c r="D1191" s="2" t="s">
        <v>18</v>
      </c>
      <c r="E1191" s="5">
        <v>-30872</v>
      </c>
      <c r="F1191" s="3" t="s">
        <v>167</v>
      </c>
      <c r="G1191" s="3" t="s">
        <v>342</v>
      </c>
      <c r="H1191" s="2" t="s">
        <v>72</v>
      </c>
      <c r="I1191" s="2" t="s">
        <v>3223</v>
      </c>
      <c r="J1191" s="3" t="str">
        <f>HYPERLINK("https://www.boe.es/gazeta/dias/1815/06/22/pdfs/GMD-1815-75.pdf#page=8","Abrir facsímil")</f>
        <v>Abrir facsímil</v>
      </c>
      <c r="K1191" s="3" t="s">
        <v>74</v>
      </c>
    </row>
    <row r="1192" spans="1:11" ht="42" customHeight="1">
      <c r="A1192" s="2" t="s">
        <v>3224</v>
      </c>
      <c r="B1192" s="2" t="s">
        <v>3225</v>
      </c>
      <c r="C1192" s="2" t="s">
        <v>17</v>
      </c>
      <c r="D1192" s="2" t="s">
        <v>18</v>
      </c>
      <c r="E1192" s="5">
        <v>-31042</v>
      </c>
      <c r="F1192" s="3" t="s">
        <v>512</v>
      </c>
      <c r="G1192" s="3" t="s">
        <v>1689</v>
      </c>
      <c r="H1192" s="2" t="s">
        <v>72</v>
      </c>
      <c r="I1192" s="2" t="s">
        <v>3226</v>
      </c>
      <c r="J1192" s="3" t="str">
        <f>HYPERLINK("https://www.boe.es/gazeta/dias/1815/01/03/pdfs/GMD-1815-1.pdf#page=6","Abrir facsímil")</f>
        <v>Abrir facsímil</v>
      </c>
      <c r="K1192" s="3" t="s">
        <v>74</v>
      </c>
    </row>
    <row r="1193" spans="1:11" ht="42" customHeight="1">
      <c r="A1193" s="2" t="s">
        <v>3227</v>
      </c>
      <c r="B1193" s="2" t="s">
        <v>3228</v>
      </c>
      <c r="C1193" s="2" t="s">
        <v>49</v>
      </c>
      <c r="D1193" s="2" t="s">
        <v>50</v>
      </c>
      <c r="E1193" s="5">
        <v>-30818</v>
      </c>
      <c r="F1193" s="3" t="s">
        <v>334</v>
      </c>
      <c r="G1193" s="3" t="s">
        <v>224</v>
      </c>
      <c r="H1193" s="2" t="s">
        <v>72</v>
      </c>
      <c r="I1193" s="2" t="s">
        <v>3229</v>
      </c>
      <c r="J1193" s="3" t="str">
        <f>HYPERLINK("https://www.boe.es/gazeta/dias/1815/08/15/pdfs/GMD-1815-100.pdf#page=9","Abrir facsímil")</f>
        <v>Abrir facsímil</v>
      </c>
      <c r="K1193" s="3" t="s">
        <v>74</v>
      </c>
    </row>
    <row r="1194" spans="1:11" ht="42" customHeight="1">
      <c r="A1194" s="2" t="s">
        <v>3230</v>
      </c>
      <c r="B1194" s="2" t="s">
        <v>3231</v>
      </c>
      <c r="C1194" s="2" t="s">
        <v>31</v>
      </c>
      <c r="D1194" s="2" t="s">
        <v>32</v>
      </c>
      <c r="E1194" s="5">
        <v>-31024</v>
      </c>
      <c r="F1194" s="3" t="s">
        <v>101</v>
      </c>
      <c r="G1194" s="3" t="s">
        <v>38</v>
      </c>
      <c r="H1194" s="2" t="s">
        <v>72</v>
      </c>
      <c r="I1194" s="2" t="s">
        <v>3232</v>
      </c>
      <c r="J1194" s="3" t="str">
        <f>HYPERLINK("https://www.boe.es/gazeta/dias/1815/01/21/pdfs/GMD-1815-9.pdf#page=8","Abrir facsímil")</f>
        <v>Abrir facsímil</v>
      </c>
      <c r="K1194" s="3" t="s">
        <v>74</v>
      </c>
    </row>
    <row r="1195" spans="1:11" ht="42" customHeight="1">
      <c r="A1195" s="2" t="s">
        <v>3233</v>
      </c>
      <c r="B1195" s="2" t="s">
        <v>3234</v>
      </c>
      <c r="C1195" s="2" t="s">
        <v>31</v>
      </c>
      <c r="D1195" s="2" t="s">
        <v>32</v>
      </c>
      <c r="E1195" s="5">
        <v>-30979</v>
      </c>
      <c r="F1195" s="3" t="s">
        <v>56</v>
      </c>
      <c r="G1195" s="3" t="s">
        <v>57</v>
      </c>
      <c r="H1195" s="2" t="s">
        <v>72</v>
      </c>
      <c r="I1195" s="2" t="s">
        <v>3235</v>
      </c>
      <c r="J1195" s="3" t="str">
        <f>HYPERLINK("https://www.boe.es/gazeta/dias/1815/03/07/pdfs/GMD-1815-28.pdf#page=5","Abrir facsímil")</f>
        <v>Abrir facsímil</v>
      </c>
      <c r="K1195" s="3" t="s">
        <v>74</v>
      </c>
    </row>
    <row r="1196" spans="1:11" ht="42" customHeight="1">
      <c r="A1196" s="2" t="s">
        <v>3236</v>
      </c>
      <c r="B1196" s="2" t="s">
        <v>3237</v>
      </c>
      <c r="C1196" s="2" t="s">
        <v>31</v>
      </c>
      <c r="D1196" s="2" t="s">
        <v>32</v>
      </c>
      <c r="E1196" s="5">
        <v>-30746</v>
      </c>
      <c r="F1196" s="3" t="s">
        <v>3203</v>
      </c>
      <c r="G1196" s="3" t="s">
        <v>410</v>
      </c>
      <c r="H1196" s="2" t="s">
        <v>72</v>
      </c>
      <c r="I1196" s="2" t="s">
        <v>3238</v>
      </c>
      <c r="J1196" s="3" t="str">
        <f>HYPERLINK("https://www.boe.es/gazeta/dias/1815/10/26/pdfs/GMD-1815-134.pdf#page=1","Abrir facsímil")</f>
        <v>Abrir facsímil</v>
      </c>
      <c r="K1196" s="3" t="s">
        <v>74</v>
      </c>
    </row>
    <row r="1197" spans="1:11" ht="42" customHeight="1">
      <c r="A1197" s="2" t="s">
        <v>3239</v>
      </c>
      <c r="B1197" s="2" t="s">
        <v>3240</v>
      </c>
      <c r="C1197" s="2" t="s">
        <v>195</v>
      </c>
      <c r="D1197" s="2" t="s">
        <v>50</v>
      </c>
      <c r="E1197" s="5">
        <v>-30949</v>
      </c>
      <c r="F1197" s="3" t="s">
        <v>420</v>
      </c>
      <c r="G1197" s="3" t="s">
        <v>27</v>
      </c>
      <c r="H1197" s="2" t="s">
        <v>72</v>
      </c>
      <c r="I1197" s="2" t="s">
        <v>3241</v>
      </c>
      <c r="J1197" s="3" t="str">
        <f>HYPERLINK("https://www.boe.es/gazeta/dias/1815/04/06/pdfs/GMD-1815-42.pdf#page=6","Abrir facsímil")</f>
        <v>Abrir facsímil</v>
      </c>
      <c r="K1197" s="3" t="s">
        <v>74</v>
      </c>
    </row>
    <row r="1198" spans="1:11" ht="42" customHeight="1">
      <c r="A1198" s="2" t="s">
        <v>3242</v>
      </c>
      <c r="B1198" s="2" t="s">
        <v>3243</v>
      </c>
      <c r="C1198" s="2" t="s">
        <v>31</v>
      </c>
      <c r="D1198" s="2" t="s">
        <v>32</v>
      </c>
      <c r="E1198" s="5">
        <v>-30767</v>
      </c>
      <c r="F1198" s="3" t="s">
        <v>228</v>
      </c>
      <c r="G1198" s="3" t="s">
        <v>224</v>
      </c>
      <c r="H1198" s="2" t="s">
        <v>72</v>
      </c>
      <c r="I1198" s="2" t="s">
        <v>3244</v>
      </c>
      <c r="J1198" s="3" t="str">
        <f>HYPERLINK("https://www.boe.es/gazeta/dias/1815/10/05/pdfs/GMD-1815-125.pdf#page=9","Abrir facsímil")</f>
        <v>Abrir facsímil</v>
      </c>
      <c r="K1198" s="3" t="s">
        <v>74</v>
      </c>
    </row>
    <row r="1199" spans="1:11" ht="42" customHeight="1">
      <c r="A1199" s="2" t="s">
        <v>3245</v>
      </c>
      <c r="B1199" s="2" t="s">
        <v>3246</v>
      </c>
      <c r="C1199" s="2" t="s">
        <v>195</v>
      </c>
      <c r="D1199" s="2" t="s">
        <v>50</v>
      </c>
      <c r="E1199" s="5">
        <v>-30874</v>
      </c>
      <c r="F1199" s="3" t="s">
        <v>208</v>
      </c>
      <c r="G1199" s="3" t="s">
        <v>71</v>
      </c>
      <c r="H1199" s="2" t="s">
        <v>72</v>
      </c>
      <c r="I1199" s="2" t="s">
        <v>3247</v>
      </c>
      <c r="J1199" s="3" t="str">
        <f>HYPERLINK("https://www.boe.es/gazeta/dias/1815/06/20/pdfs/GMD-1815-74.pdf#page=7","Abrir facsímil")</f>
        <v>Abrir facsímil</v>
      </c>
      <c r="K1199" s="3" t="s">
        <v>74</v>
      </c>
    </row>
    <row r="1200" spans="1:11" ht="42" customHeight="1">
      <c r="A1200" s="2" t="s">
        <v>3248</v>
      </c>
      <c r="B1200" s="2" t="s">
        <v>3249</v>
      </c>
      <c r="C1200" s="2" t="s">
        <v>61</v>
      </c>
      <c r="D1200" s="2" t="s">
        <v>50</v>
      </c>
      <c r="E1200" s="5">
        <v>-30886</v>
      </c>
      <c r="F1200" s="3" t="s">
        <v>140</v>
      </c>
      <c r="G1200" s="3" t="s">
        <v>57</v>
      </c>
      <c r="H1200" s="2" t="s">
        <v>72</v>
      </c>
      <c r="I1200" s="2" t="s">
        <v>3250</v>
      </c>
      <c r="J1200" s="3" t="str">
        <f>HYPERLINK("https://www.boe.es/gazeta/dias/1815/06/08/pdfs/GMD-1815-69.pdf#page=5","Abrir facsímil")</f>
        <v>Abrir facsímil</v>
      </c>
      <c r="K1200" s="3" t="s">
        <v>74</v>
      </c>
    </row>
    <row r="1201" spans="1:11" ht="42" customHeight="1">
      <c r="A1201" s="2" t="s">
        <v>3251</v>
      </c>
      <c r="B1201" s="2" t="s">
        <v>3252</v>
      </c>
      <c r="C1201" s="2" t="s">
        <v>49</v>
      </c>
      <c r="D1201" s="2" t="s">
        <v>50</v>
      </c>
      <c r="E1201" s="5">
        <v>-30865</v>
      </c>
      <c r="F1201" s="3" t="s">
        <v>163</v>
      </c>
      <c r="G1201" s="3" t="s">
        <v>71</v>
      </c>
      <c r="H1201" s="2" t="s">
        <v>72</v>
      </c>
      <c r="I1201" s="2" t="s">
        <v>3253</v>
      </c>
      <c r="J1201" s="3" t="str">
        <f>HYPERLINK("https://www.boe.es/gazeta/dias/1815/06/29/pdfs/GMD-1815-78.pdf#page=7","Abrir facsímil")</f>
        <v>Abrir facsímil</v>
      </c>
      <c r="K1201" s="3" t="s">
        <v>74</v>
      </c>
    </row>
    <row r="1202" spans="1:11" ht="42" customHeight="1">
      <c r="A1202" s="2" t="s">
        <v>3254</v>
      </c>
      <c r="B1202" s="2" t="s">
        <v>3255</v>
      </c>
      <c r="C1202" s="2" t="s">
        <v>49</v>
      </c>
      <c r="D1202" s="2" t="s">
        <v>50</v>
      </c>
      <c r="E1202" s="5">
        <v>-30888</v>
      </c>
      <c r="F1202" s="3" t="s">
        <v>368</v>
      </c>
      <c r="G1202" s="3" t="s">
        <v>377</v>
      </c>
      <c r="H1202" s="2" t="s">
        <v>72</v>
      </c>
      <c r="I1202" s="2" t="s">
        <v>3256</v>
      </c>
      <c r="J1202" s="3" t="str">
        <f>HYPERLINK("https://www.boe.es/gazeta/dias/1815/06/06/pdfs/GMD-1815-68.pdf#page=2","Abrir facsímil")</f>
        <v>Abrir facsímil</v>
      </c>
      <c r="K1202" s="3" t="s">
        <v>74</v>
      </c>
    </row>
    <row r="1203" spans="1:11" ht="42" customHeight="1">
      <c r="A1203" s="2" t="s">
        <v>3257</v>
      </c>
      <c r="B1203" s="2" t="s">
        <v>3258</v>
      </c>
      <c r="C1203" s="2" t="s">
        <v>17</v>
      </c>
      <c r="D1203" s="2" t="s">
        <v>18</v>
      </c>
      <c r="E1203" s="5">
        <v>-30944</v>
      </c>
      <c r="F1203" s="3" t="s">
        <v>412</v>
      </c>
      <c r="G1203" s="3" t="s">
        <v>71</v>
      </c>
      <c r="H1203" s="2" t="s">
        <v>72</v>
      </c>
      <c r="I1203" s="2" t="s">
        <v>3259</v>
      </c>
      <c r="J1203" s="3" t="str">
        <f>HYPERLINK("https://www.boe.es/gazeta/dias/1815/04/11/pdfs/GMD-1815-44.pdf#page=7","Abrir facsímil")</f>
        <v>Abrir facsímil</v>
      </c>
      <c r="K1203" s="3" t="s">
        <v>74</v>
      </c>
    </row>
    <row r="1204" spans="1:11" ht="42" customHeight="1">
      <c r="A1204" s="2" t="s">
        <v>3260</v>
      </c>
      <c r="B1204" s="2" t="s">
        <v>3261</v>
      </c>
      <c r="C1204" s="2" t="s">
        <v>17</v>
      </c>
      <c r="D1204" s="2" t="s">
        <v>18</v>
      </c>
      <c r="E1204" s="5">
        <v>-30856</v>
      </c>
      <c r="F1204" s="3" t="s">
        <v>92</v>
      </c>
      <c r="G1204" s="3" t="s">
        <v>38</v>
      </c>
      <c r="H1204" s="2" t="s">
        <v>72</v>
      </c>
      <c r="I1204" s="2" t="s">
        <v>3262</v>
      </c>
      <c r="J1204" s="3" t="str">
        <f>HYPERLINK("https://www.boe.es/gazeta/dias/1815/07/08/pdfs/GMD-1815-84.pdf#page=8","Abrir facsímil")</f>
        <v>Abrir facsímil</v>
      </c>
      <c r="K1204" s="3" t="s">
        <v>74</v>
      </c>
    </row>
    <row r="1205" spans="1:11" ht="42" customHeight="1">
      <c r="A1205" s="2" t="s">
        <v>3263</v>
      </c>
      <c r="B1205" s="2" t="s">
        <v>3263</v>
      </c>
      <c r="C1205" s="2" t="s">
        <v>31</v>
      </c>
      <c r="D1205" s="2" t="s">
        <v>32</v>
      </c>
      <c r="E1205" s="5">
        <v>-30739</v>
      </c>
      <c r="F1205" s="3" t="s">
        <v>254</v>
      </c>
      <c r="G1205" s="3" t="s">
        <v>97</v>
      </c>
      <c r="H1205" s="2" t="s">
        <v>72</v>
      </c>
      <c r="I1205" s="2" t="s">
        <v>3264</v>
      </c>
      <c r="J1205" s="3" t="str">
        <f>HYPERLINK("https://www.boe.es/gazeta/dias/1815/11/02/pdfs/GMD-1815-137.pdf#page=3","Abrir facsímil")</f>
        <v>Abrir facsímil</v>
      </c>
      <c r="K1205" s="3" t="s">
        <v>74</v>
      </c>
    </row>
    <row r="1206" spans="1:11" ht="42" customHeight="1">
      <c r="A1206" s="2" t="s">
        <v>3265</v>
      </c>
      <c r="B1206" s="2" t="s">
        <v>3266</v>
      </c>
      <c r="C1206" s="2" t="s">
        <v>17</v>
      </c>
      <c r="D1206" s="2" t="s">
        <v>18</v>
      </c>
      <c r="E1206" s="5">
        <v>-30951</v>
      </c>
      <c r="F1206" s="3" t="s">
        <v>87</v>
      </c>
      <c r="G1206" s="3" t="s">
        <v>38</v>
      </c>
      <c r="H1206" s="2" t="s">
        <v>72</v>
      </c>
      <c r="I1206" s="2" t="s">
        <v>3267</v>
      </c>
      <c r="J1206" s="3" t="str">
        <f>HYPERLINK("https://www.boe.es/gazeta/dias/1815/04/04/pdfs/GMD-1815-41.pdf#page=8","Abrir facsímil")</f>
        <v>Abrir facsímil</v>
      </c>
      <c r="K1206" s="3" t="s">
        <v>74</v>
      </c>
    </row>
    <row r="1207" spans="1:11" ht="42" customHeight="1">
      <c r="A1207" s="2" t="s">
        <v>3268</v>
      </c>
      <c r="B1207" s="2" t="s">
        <v>3269</v>
      </c>
      <c r="C1207" s="2" t="s">
        <v>61</v>
      </c>
      <c r="D1207" s="2" t="s">
        <v>50</v>
      </c>
      <c r="E1207" s="5">
        <v>-30949</v>
      </c>
      <c r="F1207" s="3" t="s">
        <v>420</v>
      </c>
      <c r="G1207" s="3" t="s">
        <v>27</v>
      </c>
      <c r="H1207" s="2" t="s">
        <v>72</v>
      </c>
      <c r="I1207" s="2" t="s">
        <v>3270</v>
      </c>
      <c r="J1207" s="3" t="str">
        <f>HYPERLINK("https://www.boe.es/gazeta/dias/1815/04/06/pdfs/GMD-1815-42.pdf#page=6","Abrir facsímil")</f>
        <v>Abrir facsímil</v>
      </c>
      <c r="K1207" s="3" t="s">
        <v>74</v>
      </c>
    </row>
    <row r="1208" spans="1:11" ht="42" customHeight="1">
      <c r="A1208" s="2" t="s">
        <v>3271</v>
      </c>
      <c r="B1208" s="2" t="s">
        <v>3272</v>
      </c>
      <c r="C1208" s="2" t="s">
        <v>31</v>
      </c>
      <c r="D1208" s="2" t="s">
        <v>32</v>
      </c>
      <c r="E1208" s="5">
        <v>-30989</v>
      </c>
      <c r="F1208" s="3" t="s">
        <v>2441</v>
      </c>
      <c r="G1208" s="3" t="s">
        <v>97</v>
      </c>
      <c r="H1208" s="2" t="s">
        <v>72</v>
      </c>
      <c r="I1208" s="2" t="s">
        <v>3273</v>
      </c>
      <c r="J1208" s="3" t="str">
        <f>HYPERLINK("https://www.boe.es/gazeta/dias/1815/02/25/pdfs/GMD-1815-24.pdf#page=3","Abrir facsímil")</f>
        <v>Abrir facsímil</v>
      </c>
      <c r="K1208" s="3" t="s">
        <v>74</v>
      </c>
    </row>
    <row r="1209" spans="1:11" ht="42" customHeight="1">
      <c r="A1209" s="2" t="s">
        <v>3274</v>
      </c>
      <c r="B1209" s="2" t="s">
        <v>3275</v>
      </c>
      <c r="C1209" s="2" t="s">
        <v>195</v>
      </c>
      <c r="D1209" s="2" t="s">
        <v>50</v>
      </c>
      <c r="E1209" s="5">
        <v>-30888</v>
      </c>
      <c r="F1209" s="3" t="s">
        <v>368</v>
      </c>
      <c r="G1209" s="3" t="s">
        <v>224</v>
      </c>
      <c r="H1209" s="2" t="s">
        <v>72</v>
      </c>
      <c r="I1209" s="2" t="s">
        <v>3276</v>
      </c>
      <c r="J1209" s="3" t="str">
        <f>HYPERLINK("https://www.boe.es/gazeta/dias/1815/06/06/pdfs/GMD-1815-68.pdf#page=9","Abrir facsímil")</f>
        <v>Abrir facsímil</v>
      </c>
      <c r="K1209" s="3" t="s">
        <v>74</v>
      </c>
    </row>
    <row r="1210" spans="1:11" ht="42" customHeight="1">
      <c r="A1210" s="2" t="s">
        <v>3277</v>
      </c>
      <c r="B1210" s="2" t="s">
        <v>3278</v>
      </c>
      <c r="C1210" s="2" t="s">
        <v>49</v>
      </c>
      <c r="D1210" s="2" t="s">
        <v>50</v>
      </c>
      <c r="E1210" s="5">
        <v>-30886</v>
      </c>
      <c r="F1210" s="3" t="s">
        <v>140</v>
      </c>
      <c r="G1210" s="3" t="s">
        <v>224</v>
      </c>
      <c r="H1210" s="2" t="s">
        <v>72</v>
      </c>
      <c r="I1210" s="2" t="s">
        <v>3279</v>
      </c>
      <c r="J1210" s="3" t="str">
        <f>HYPERLINK("https://www.boe.es/gazeta/dias/1815/06/08/pdfs/GMD-1815-69.pdf#page=9","Abrir facsímil")</f>
        <v>Abrir facsímil</v>
      </c>
      <c r="K1210" s="3" t="s">
        <v>74</v>
      </c>
    </row>
    <row r="1211" spans="1:11" ht="42" customHeight="1">
      <c r="A1211" s="2" t="s">
        <v>3280</v>
      </c>
      <c r="B1211" s="2" t="s">
        <v>3281</v>
      </c>
      <c r="C1211" s="2" t="s">
        <v>31</v>
      </c>
      <c r="D1211" s="2" t="s">
        <v>32</v>
      </c>
      <c r="E1211" s="5">
        <v>-30916</v>
      </c>
      <c r="F1211" s="3" t="s">
        <v>147</v>
      </c>
      <c r="G1211" s="3" t="s">
        <v>38</v>
      </c>
      <c r="H1211" s="2" t="s">
        <v>72</v>
      </c>
      <c r="I1211" s="2" t="s">
        <v>3282</v>
      </c>
      <c r="J1211" s="3" t="str">
        <f>HYPERLINK("https://www.boe.es/gazeta/dias/1815/05/09/pdfs/GMD-1815-56.pdf#page=8","Abrir facsímil")</f>
        <v>Abrir facsímil</v>
      </c>
      <c r="K1211" s="3" t="s">
        <v>74</v>
      </c>
    </row>
    <row r="1212" spans="1:11" ht="42" customHeight="1">
      <c r="A1212" s="2" t="s">
        <v>3283</v>
      </c>
      <c r="B1212" s="2" t="s">
        <v>3284</v>
      </c>
      <c r="C1212" s="2" t="s">
        <v>17</v>
      </c>
      <c r="D1212" s="2" t="s">
        <v>18</v>
      </c>
      <c r="E1212" s="5">
        <v>-30989</v>
      </c>
      <c r="F1212" s="3" t="s">
        <v>2441</v>
      </c>
      <c r="G1212" s="3" t="s">
        <v>27</v>
      </c>
      <c r="H1212" s="2" t="s">
        <v>72</v>
      </c>
      <c r="I1212" s="2" t="s">
        <v>3285</v>
      </c>
      <c r="J1212" s="3" t="str">
        <f>HYPERLINK("https://www.boe.es/gazeta/dias/1815/02/25/pdfs/GMD-1815-24.pdf#page=6","Abrir facsímil")</f>
        <v>Abrir facsímil</v>
      </c>
      <c r="K1212" s="3" t="s">
        <v>74</v>
      </c>
    </row>
    <row r="1213" spans="1:11" ht="42" customHeight="1">
      <c r="A1213" s="2" t="s">
        <v>3286</v>
      </c>
      <c r="B1213" s="2" t="s">
        <v>3287</v>
      </c>
      <c r="C1213" s="2" t="s">
        <v>61</v>
      </c>
      <c r="D1213" s="2" t="s">
        <v>50</v>
      </c>
      <c r="E1213" s="5">
        <v>-30928</v>
      </c>
      <c r="F1213" s="3" t="s">
        <v>330</v>
      </c>
      <c r="G1213" s="3" t="s">
        <v>27</v>
      </c>
      <c r="H1213" s="2" t="s">
        <v>72</v>
      </c>
      <c r="I1213" s="2" t="s">
        <v>3288</v>
      </c>
      <c r="J1213" s="3" t="str">
        <f>HYPERLINK("https://www.boe.es/gazeta/dias/1815/04/27/pdfs/GMD-1815-51.pdf#page=6","Abrir facsímil")</f>
        <v>Abrir facsímil</v>
      </c>
      <c r="K1213" s="3" t="s">
        <v>74</v>
      </c>
    </row>
    <row r="1214" spans="1:11" ht="42" customHeight="1">
      <c r="A1214" s="2" t="s">
        <v>3289</v>
      </c>
      <c r="B1214" s="2" t="s">
        <v>3290</v>
      </c>
      <c r="C1214" s="2" t="s">
        <v>49</v>
      </c>
      <c r="D1214" s="2" t="s">
        <v>50</v>
      </c>
      <c r="E1214" s="5">
        <v>-30793</v>
      </c>
      <c r="F1214" s="3" t="s">
        <v>1704</v>
      </c>
      <c r="G1214" s="3" t="s">
        <v>57</v>
      </c>
      <c r="H1214" s="2" t="s">
        <v>72</v>
      </c>
      <c r="I1214" s="2" t="s">
        <v>3291</v>
      </c>
      <c r="J1214" s="3" t="str">
        <f>HYPERLINK("https://www.boe.es/gazeta/dias/1815/09/09/pdfs/GMD-1815-112.pdf#page=5","Abrir facsímil")</f>
        <v>Abrir facsímil</v>
      </c>
      <c r="K1214" s="3" t="s">
        <v>74</v>
      </c>
    </row>
    <row r="1215" spans="1:11" ht="42" customHeight="1">
      <c r="A1215" s="2" t="s">
        <v>3292</v>
      </c>
      <c r="B1215" s="2" t="s">
        <v>3293</v>
      </c>
      <c r="C1215" s="2" t="s">
        <v>17</v>
      </c>
      <c r="D1215" s="2" t="s">
        <v>18</v>
      </c>
      <c r="E1215" s="5">
        <v>-30746</v>
      </c>
      <c r="F1215" s="3" t="s">
        <v>3203</v>
      </c>
      <c r="G1215" s="3" t="s">
        <v>3294</v>
      </c>
      <c r="H1215" s="2" t="s">
        <v>72</v>
      </c>
      <c r="I1215" s="2" t="s">
        <v>3295</v>
      </c>
      <c r="J1215" s="3" t="str">
        <f>HYPERLINK("https://www.boe.es/gazeta/dias/1815/10/26/pdfs/GMD-1815-134.pdf#page=5","Abrir facsímil")</f>
        <v>Abrir facsímil</v>
      </c>
      <c r="K1215" s="3" t="s">
        <v>74</v>
      </c>
    </row>
    <row r="1216" spans="1:11" ht="42" customHeight="1">
      <c r="A1216" s="2" t="s">
        <v>3286</v>
      </c>
      <c r="B1216" s="2" t="s">
        <v>3287</v>
      </c>
      <c r="C1216" s="2" t="s">
        <v>31</v>
      </c>
      <c r="D1216" s="2" t="s">
        <v>32</v>
      </c>
      <c r="E1216" s="5">
        <v>-30734</v>
      </c>
      <c r="F1216" s="3" t="s">
        <v>376</v>
      </c>
      <c r="G1216" s="3" t="s">
        <v>71</v>
      </c>
      <c r="H1216" s="2" t="s">
        <v>72</v>
      </c>
      <c r="I1216" s="2" t="s">
        <v>3296</v>
      </c>
      <c r="J1216" s="3" t="str">
        <f>HYPERLINK("https://www.boe.es/gazeta/dias/1815/11/07/pdfs/GMD-1815-139.pdf#page=7","Abrir facsímil")</f>
        <v>Abrir facsímil</v>
      </c>
      <c r="K1216" s="3" t="s">
        <v>74</v>
      </c>
    </row>
    <row r="1217" spans="1:11" ht="42" customHeight="1">
      <c r="A1217" s="2" t="s">
        <v>3297</v>
      </c>
      <c r="B1217" s="2" t="s">
        <v>3298</v>
      </c>
      <c r="C1217" s="2" t="s">
        <v>49</v>
      </c>
      <c r="D1217" s="2" t="s">
        <v>50</v>
      </c>
      <c r="E1217" s="5">
        <v>-30844</v>
      </c>
      <c r="F1217" s="3" t="s">
        <v>114</v>
      </c>
      <c r="G1217" s="3" t="s">
        <v>71</v>
      </c>
      <c r="H1217" s="2" t="s">
        <v>72</v>
      </c>
      <c r="I1217" s="2" t="s">
        <v>3299</v>
      </c>
      <c r="J1217" s="3" t="str">
        <f>HYPERLINK("https://www.boe.es/gazeta/dias/1815/07/20/pdfs/GMD-1815-89.pdf#page=7","Abrir facsímil")</f>
        <v>Abrir facsímil</v>
      </c>
      <c r="K1217" s="3" t="s">
        <v>74</v>
      </c>
    </row>
    <row r="1218" spans="1:11" ht="42" customHeight="1">
      <c r="A1218" s="2" t="s">
        <v>3300</v>
      </c>
      <c r="B1218" s="2" t="s">
        <v>3301</v>
      </c>
      <c r="C1218" s="2" t="s">
        <v>31</v>
      </c>
      <c r="D1218" s="2" t="s">
        <v>32</v>
      </c>
      <c r="E1218" s="5">
        <v>-30716</v>
      </c>
      <c r="F1218" s="3" t="s">
        <v>589</v>
      </c>
      <c r="G1218" s="3" t="s">
        <v>3302</v>
      </c>
      <c r="H1218" s="2" t="s">
        <v>72</v>
      </c>
      <c r="I1218" s="2" t="s">
        <v>3303</v>
      </c>
      <c r="J1218" s="3" t="str">
        <f>HYPERLINK("https://www.boe.es/gazeta/dias/1815/11/25/pdfs/GMD-1815-147.pdf#page=5","Abrir facsímil")</f>
        <v>Abrir facsímil</v>
      </c>
      <c r="K1218" s="3" t="s">
        <v>74</v>
      </c>
    </row>
    <row r="1219" spans="1:11" ht="42" customHeight="1">
      <c r="A1219" s="2" t="s">
        <v>3304</v>
      </c>
      <c r="B1219" s="2" t="s">
        <v>3305</v>
      </c>
      <c r="C1219" s="2" t="s">
        <v>31</v>
      </c>
      <c r="D1219" s="2" t="s">
        <v>32</v>
      </c>
      <c r="E1219" s="5">
        <v>-30977</v>
      </c>
      <c r="F1219" s="3" t="s">
        <v>37</v>
      </c>
      <c r="G1219" s="3" t="s">
        <v>71</v>
      </c>
      <c r="H1219" s="2" t="s">
        <v>72</v>
      </c>
      <c r="I1219" s="2" t="s">
        <v>3306</v>
      </c>
      <c r="J1219" s="3" t="str">
        <f>HYPERLINK("https://www.boe.es/gazeta/dias/1815/03/09/pdfs/GMD-1815-29.pdf#page=7","Abrir facsímil")</f>
        <v>Abrir facsímil</v>
      </c>
      <c r="K1219" s="3" t="s">
        <v>74</v>
      </c>
    </row>
    <row r="1220" spans="1:11" ht="42" customHeight="1">
      <c r="A1220" s="2" t="s">
        <v>3307</v>
      </c>
      <c r="B1220" s="2" t="s">
        <v>3308</v>
      </c>
      <c r="C1220" s="2" t="s">
        <v>31</v>
      </c>
      <c r="D1220" s="2" t="s">
        <v>32</v>
      </c>
      <c r="E1220" s="5">
        <v>-30699</v>
      </c>
      <c r="F1220" s="3" t="s">
        <v>810</v>
      </c>
      <c r="G1220" s="3" t="s">
        <v>57</v>
      </c>
      <c r="H1220" s="2" t="s">
        <v>72</v>
      </c>
      <c r="I1220" s="2" t="s">
        <v>3309</v>
      </c>
      <c r="J1220" s="3" t="str">
        <f>HYPERLINK("https://www.boe.es/gazeta/dias/1815/12/12/pdfs/GMD-1815-154.pdf#page=5","Abrir facsímil")</f>
        <v>Abrir facsímil</v>
      </c>
      <c r="K1220" s="3" t="s">
        <v>74</v>
      </c>
    </row>
    <row r="1221" spans="1:11" ht="42" customHeight="1">
      <c r="A1221" s="2" t="s">
        <v>3310</v>
      </c>
      <c r="B1221" s="2" t="s">
        <v>3311</v>
      </c>
      <c r="C1221" s="2" t="s">
        <v>81</v>
      </c>
      <c r="D1221" s="2" t="s">
        <v>50</v>
      </c>
      <c r="E1221" s="5">
        <v>-31035</v>
      </c>
      <c r="F1221" s="3" t="s">
        <v>42</v>
      </c>
      <c r="G1221" s="3" t="s">
        <v>2807</v>
      </c>
      <c r="H1221" s="2" t="s">
        <v>72</v>
      </c>
      <c r="I1221" s="2" t="s">
        <v>3312</v>
      </c>
      <c r="J1221" s="3" t="str">
        <f>HYPERLINK("https://www.boe.es/gazeta/dias/1815/01/10/pdfs/GMD-1815-4.pdf#page=5","Abrir facsímil")</f>
        <v>Abrir facsímil</v>
      </c>
      <c r="K1221" s="3" t="s">
        <v>74</v>
      </c>
    </row>
    <row r="1222" spans="1:11" ht="42" customHeight="1">
      <c r="A1222" s="2" t="s">
        <v>3310</v>
      </c>
      <c r="B1222" s="2" t="s">
        <v>3311</v>
      </c>
      <c r="C1222" s="2" t="s">
        <v>31</v>
      </c>
      <c r="D1222" s="2" t="s">
        <v>32</v>
      </c>
      <c r="E1222" s="5">
        <v>-31035</v>
      </c>
      <c r="F1222" s="3" t="s">
        <v>42</v>
      </c>
      <c r="G1222" s="3" t="s">
        <v>71</v>
      </c>
      <c r="H1222" s="2" t="s">
        <v>72</v>
      </c>
      <c r="I1222" s="2" t="s">
        <v>3313</v>
      </c>
      <c r="J1222" s="3" t="str">
        <f>HYPERLINK("https://www.boe.es/gazeta/dias/1815/01/10/pdfs/GMD-1815-4.pdf#page=7","Abrir facsímil")</f>
        <v>Abrir facsímil</v>
      </c>
      <c r="K1222" s="3" t="s">
        <v>74</v>
      </c>
    </row>
    <row r="1223" spans="1:11" ht="42" customHeight="1">
      <c r="A1223" s="2" t="s">
        <v>3310</v>
      </c>
      <c r="B1223" s="2" t="s">
        <v>3311</v>
      </c>
      <c r="C1223" s="2" t="s">
        <v>17</v>
      </c>
      <c r="D1223" s="2" t="s">
        <v>18</v>
      </c>
      <c r="E1223" s="5">
        <v>-31005</v>
      </c>
      <c r="F1223" s="3" t="s">
        <v>576</v>
      </c>
      <c r="G1223" s="3" t="s">
        <v>71</v>
      </c>
      <c r="H1223" s="2" t="s">
        <v>72</v>
      </c>
      <c r="I1223" s="2" t="s">
        <v>3314</v>
      </c>
      <c r="J1223" s="3" t="str">
        <f>HYPERLINK("https://www.boe.es/gazeta/dias/1815/02/09/pdfs/GMD-1815-17.pdf#page=7","Abrir facsímil")</f>
        <v>Abrir facsímil</v>
      </c>
      <c r="K1223" s="3" t="s">
        <v>74</v>
      </c>
    </row>
    <row r="1224" spans="1:11" ht="42" customHeight="1">
      <c r="A1224" s="2" t="s">
        <v>3310</v>
      </c>
      <c r="B1224" s="2" t="s">
        <v>3311</v>
      </c>
      <c r="C1224" s="2" t="s">
        <v>31</v>
      </c>
      <c r="D1224" s="2" t="s">
        <v>32</v>
      </c>
      <c r="E1224" s="5">
        <v>-31000</v>
      </c>
      <c r="F1224" s="3" t="s">
        <v>70</v>
      </c>
      <c r="G1224" s="3" t="s">
        <v>20</v>
      </c>
      <c r="H1224" s="2" t="s">
        <v>72</v>
      </c>
      <c r="I1224" s="2" t="s">
        <v>3315</v>
      </c>
      <c r="J1224" s="3" t="str">
        <f>HYPERLINK("https://www.boe.es/gazeta/dias/1815/02/14/pdfs/GMD-1815-19.pdf#page=4","Abrir facsímil")</f>
        <v>Abrir facsímil</v>
      </c>
      <c r="K1224" s="3" t="s">
        <v>74</v>
      </c>
    </row>
    <row r="1225" spans="1:11" ht="42" customHeight="1">
      <c r="A1225" s="2" t="s">
        <v>3310</v>
      </c>
      <c r="B1225" s="2" t="s">
        <v>3311</v>
      </c>
      <c r="C1225" s="2" t="s">
        <v>31</v>
      </c>
      <c r="D1225" s="2" t="s">
        <v>32</v>
      </c>
      <c r="E1225" s="5">
        <v>-30991</v>
      </c>
      <c r="F1225" s="3" t="s">
        <v>318</v>
      </c>
      <c r="G1225" s="3" t="s">
        <v>319</v>
      </c>
      <c r="H1225" s="2" t="s">
        <v>72</v>
      </c>
      <c r="I1225" s="2" t="s">
        <v>3316</v>
      </c>
      <c r="J1225" s="3" t="str">
        <f>HYPERLINK("https://www.boe.es/gazeta/dias/1815/02/23/pdfs/GMD-1815-23.pdf#page=6","Abrir facsímil")</f>
        <v>Abrir facsímil</v>
      </c>
      <c r="K1225" s="3" t="s">
        <v>74</v>
      </c>
    </row>
    <row r="1226" spans="1:11" ht="42" customHeight="1">
      <c r="A1226" s="2" t="s">
        <v>3310</v>
      </c>
      <c r="B1226" s="2" t="s">
        <v>3311</v>
      </c>
      <c r="C1226" s="2" t="s">
        <v>17</v>
      </c>
      <c r="D1226" s="2" t="s">
        <v>18</v>
      </c>
      <c r="E1226" s="5">
        <v>-30963</v>
      </c>
      <c r="F1226" s="3" t="s">
        <v>879</v>
      </c>
      <c r="G1226" s="3" t="s">
        <v>57</v>
      </c>
      <c r="H1226" s="2" t="s">
        <v>72</v>
      </c>
      <c r="I1226" s="2" t="s">
        <v>3317</v>
      </c>
      <c r="J1226" s="3" t="str">
        <f>HYPERLINK("https://www.boe.es/gazeta/dias/1815/03/23/pdfs/GMD-1815-35.pdf#page=5","Abrir facsímil")</f>
        <v>Abrir facsímil</v>
      </c>
      <c r="K1226" s="3" t="s">
        <v>74</v>
      </c>
    </row>
    <row r="1227" spans="1:11" ht="42" customHeight="1">
      <c r="A1227" s="2" t="s">
        <v>3310</v>
      </c>
      <c r="B1227" s="2" t="s">
        <v>3311</v>
      </c>
      <c r="C1227" s="2" t="s">
        <v>31</v>
      </c>
      <c r="D1227" s="2" t="s">
        <v>32</v>
      </c>
      <c r="E1227" s="5">
        <v>-30933</v>
      </c>
      <c r="F1227" s="3" t="s">
        <v>725</v>
      </c>
      <c r="G1227" s="3" t="s">
        <v>27</v>
      </c>
      <c r="H1227" s="2" t="s">
        <v>72</v>
      </c>
      <c r="I1227" s="2" t="s">
        <v>3318</v>
      </c>
      <c r="J1227" s="3" t="str">
        <f>HYPERLINK("https://www.boe.es/gazeta/dias/1815/04/22/pdfs/GMD-1815-49.pdf#page=6","Abrir facsímil")</f>
        <v>Abrir facsímil</v>
      </c>
      <c r="K1227" s="3" t="s">
        <v>74</v>
      </c>
    </row>
    <row r="1228" spans="1:11" ht="42" customHeight="1">
      <c r="A1228" s="2" t="s">
        <v>3310</v>
      </c>
      <c r="B1228" s="2" t="s">
        <v>3311</v>
      </c>
      <c r="C1228" s="2" t="s">
        <v>17</v>
      </c>
      <c r="D1228" s="2" t="s">
        <v>18</v>
      </c>
      <c r="E1228" s="5">
        <v>-30916</v>
      </c>
      <c r="F1228" s="3" t="s">
        <v>147</v>
      </c>
      <c r="G1228" s="3" t="s">
        <v>88</v>
      </c>
      <c r="H1228" s="2" t="s">
        <v>72</v>
      </c>
      <c r="I1228" s="2" t="s">
        <v>3319</v>
      </c>
      <c r="J1228" s="3" t="str">
        <f>HYPERLINK("https://www.boe.es/gazeta/dias/1815/05/09/pdfs/GMD-1815-56.pdf#page=10","Abrir facsímil")</f>
        <v>Abrir facsímil</v>
      </c>
      <c r="K1228" s="3" t="s">
        <v>74</v>
      </c>
    </row>
    <row r="1229" spans="1:11" ht="42" customHeight="1">
      <c r="A1229" s="2" t="s">
        <v>3310</v>
      </c>
      <c r="B1229" s="2" t="s">
        <v>3311</v>
      </c>
      <c r="C1229" s="2" t="s">
        <v>17</v>
      </c>
      <c r="D1229" s="2" t="s">
        <v>18</v>
      </c>
      <c r="E1229" s="5">
        <v>-30909</v>
      </c>
      <c r="F1229" s="3" t="s">
        <v>581</v>
      </c>
      <c r="G1229" s="3" t="s">
        <v>57</v>
      </c>
      <c r="H1229" s="2" t="s">
        <v>72</v>
      </c>
      <c r="I1229" s="2" t="s">
        <v>3320</v>
      </c>
      <c r="J1229" s="3" t="str">
        <f>HYPERLINK("https://www.boe.es/gazeta/dias/1815/05/16/pdfs/GMD-1815-59.pdf#page=5","Abrir facsímil")</f>
        <v>Abrir facsímil</v>
      </c>
      <c r="K1229" s="3" t="s">
        <v>74</v>
      </c>
    </row>
    <row r="1230" spans="1:11" ht="42" customHeight="1">
      <c r="A1230" s="2" t="s">
        <v>3310</v>
      </c>
      <c r="B1230" s="2" t="s">
        <v>3311</v>
      </c>
      <c r="C1230" s="2" t="s">
        <v>31</v>
      </c>
      <c r="D1230" s="2" t="s">
        <v>32</v>
      </c>
      <c r="E1230" s="5">
        <v>-30849</v>
      </c>
      <c r="F1230" s="3" t="s">
        <v>501</v>
      </c>
      <c r="G1230" s="3" t="s">
        <v>88</v>
      </c>
      <c r="H1230" s="2" t="s">
        <v>72</v>
      </c>
      <c r="I1230" s="2" t="s">
        <v>3321</v>
      </c>
      <c r="J1230" s="3" t="str">
        <f>HYPERLINK("https://www.boe.es/gazeta/dias/1815/07/15/pdfs/GMD-1815-87.pdf#page=10","Abrir facsímil")</f>
        <v>Abrir facsímil</v>
      </c>
      <c r="K1230" s="3" t="s">
        <v>74</v>
      </c>
    </row>
    <row r="1231" spans="1:11" ht="42" customHeight="1">
      <c r="A1231" s="2" t="s">
        <v>3310</v>
      </c>
      <c r="B1231" s="2" t="s">
        <v>3311</v>
      </c>
      <c r="C1231" s="2" t="s">
        <v>131</v>
      </c>
      <c r="D1231" s="2" t="s">
        <v>179</v>
      </c>
      <c r="E1231" s="5">
        <v>-30775</v>
      </c>
      <c r="F1231" s="3" t="s">
        <v>2741</v>
      </c>
      <c r="G1231" s="3" t="s">
        <v>410</v>
      </c>
      <c r="H1231" s="2" t="s">
        <v>72</v>
      </c>
      <c r="I1231" s="2" t="s">
        <v>3322</v>
      </c>
      <c r="J1231" s="3" t="str">
        <f>HYPERLINK("https://www.boe.es/gazeta/dias/1815/09/27/pdfs/GMD-1815-120E.pdf#page=1","Abrir facsímil")</f>
        <v>Abrir facsímil</v>
      </c>
      <c r="K1231" s="3" t="s">
        <v>74</v>
      </c>
    </row>
    <row r="1232" spans="1:11" ht="42" customHeight="1">
      <c r="A1232" s="2" t="s">
        <v>3310</v>
      </c>
      <c r="B1232" s="2" t="s">
        <v>3311</v>
      </c>
      <c r="C1232" s="2" t="s">
        <v>31</v>
      </c>
      <c r="D1232" s="2" t="s">
        <v>32</v>
      </c>
      <c r="E1232" s="5">
        <v>-30774</v>
      </c>
      <c r="F1232" s="3" t="s">
        <v>1143</v>
      </c>
      <c r="G1232" s="3" t="s">
        <v>2847</v>
      </c>
      <c r="H1232" s="2" t="s">
        <v>72</v>
      </c>
      <c r="I1232" s="2" t="s">
        <v>3323</v>
      </c>
      <c r="J1232" s="3" t="str">
        <f>HYPERLINK("https://www.boe.es/gazeta/dias/1815/09/28/pdfs/GMD-1815-121.pdf#page=5","Abrir facsímil")</f>
        <v>Abrir facsímil</v>
      </c>
      <c r="K1232" s="3" t="s">
        <v>74</v>
      </c>
    </row>
    <row r="1233" spans="1:11" ht="42" customHeight="1">
      <c r="A1233" s="2" t="s">
        <v>3310</v>
      </c>
      <c r="B1233" s="2" t="s">
        <v>3311</v>
      </c>
      <c r="C1233" s="2" t="s">
        <v>17</v>
      </c>
      <c r="D1233" s="2" t="s">
        <v>18</v>
      </c>
      <c r="E1233" s="5">
        <v>-30772</v>
      </c>
      <c r="F1233" s="3" t="s">
        <v>216</v>
      </c>
      <c r="G1233" s="3" t="s">
        <v>20</v>
      </c>
      <c r="H1233" s="2" t="s">
        <v>72</v>
      </c>
      <c r="I1233" s="2" t="s">
        <v>3324</v>
      </c>
      <c r="J1233" s="3" t="str">
        <f>HYPERLINK("https://www.boe.es/gazeta/dias/1815/09/30/pdfs/GMD-1815-123.pdf#page=4","Abrir facsímil")</f>
        <v>Abrir facsímil</v>
      </c>
      <c r="K1233" s="3" t="s">
        <v>74</v>
      </c>
    </row>
    <row r="1234" spans="1:11" ht="42" customHeight="1">
      <c r="A1234" s="2" t="s">
        <v>3310</v>
      </c>
      <c r="B1234" s="2" t="s">
        <v>3311</v>
      </c>
      <c r="C1234" s="2" t="s">
        <v>31</v>
      </c>
      <c r="D1234" s="2" t="s">
        <v>32</v>
      </c>
      <c r="E1234" s="5">
        <v>-30760</v>
      </c>
      <c r="F1234" s="3" t="s">
        <v>349</v>
      </c>
      <c r="G1234" s="3" t="s">
        <v>71</v>
      </c>
      <c r="H1234" s="2" t="s">
        <v>72</v>
      </c>
      <c r="I1234" s="2" t="s">
        <v>3325</v>
      </c>
      <c r="J1234" s="3" t="str">
        <f>HYPERLINK("https://www.boe.es/gazeta/dias/1815/10/12/pdfs/GMD-1815-128.pdf#page=7","Abrir facsímil")</f>
        <v>Abrir facsímil</v>
      </c>
      <c r="K1234" s="3" t="s">
        <v>74</v>
      </c>
    </row>
    <row r="1235" spans="1:11" ht="42" customHeight="1">
      <c r="A1235" s="2" t="s">
        <v>3310</v>
      </c>
      <c r="B1235" s="2" t="s">
        <v>3311</v>
      </c>
      <c r="C1235" s="2" t="s">
        <v>81</v>
      </c>
      <c r="D1235" s="2" t="s">
        <v>50</v>
      </c>
      <c r="E1235" s="5">
        <v>-30718</v>
      </c>
      <c r="F1235" s="3" t="s">
        <v>3115</v>
      </c>
      <c r="G1235" s="3" t="s">
        <v>27</v>
      </c>
      <c r="H1235" s="2" t="s">
        <v>72</v>
      </c>
      <c r="I1235" s="2" t="s">
        <v>3326</v>
      </c>
      <c r="J1235" s="3" t="str">
        <f>HYPERLINK("https://www.boe.es/gazeta/dias/1815/11/23/pdfs/GMD-1815-146.pdf#page=6","Abrir facsímil")</f>
        <v>Abrir facsímil</v>
      </c>
      <c r="K1235" s="3" t="s">
        <v>74</v>
      </c>
    </row>
    <row r="1236" spans="1:11" ht="42" customHeight="1">
      <c r="A1236" s="2" t="s">
        <v>3310</v>
      </c>
      <c r="B1236" s="2" t="s">
        <v>3311</v>
      </c>
      <c r="C1236" s="2" t="s">
        <v>17</v>
      </c>
      <c r="D1236" s="2" t="s">
        <v>18</v>
      </c>
      <c r="E1236" s="5">
        <v>-30711</v>
      </c>
      <c r="F1236" s="3" t="s">
        <v>438</v>
      </c>
      <c r="G1236" s="3" t="s">
        <v>57</v>
      </c>
      <c r="H1236" s="2" t="s">
        <v>72</v>
      </c>
      <c r="I1236" s="2" t="s">
        <v>3327</v>
      </c>
      <c r="J1236" s="3" t="str">
        <f>HYPERLINK("https://www.boe.es/gazeta/dias/1815/11/30/pdfs/GMD-1815-149.pdf#page=5","Abrir facsímil")</f>
        <v>Abrir facsímil</v>
      </c>
      <c r="K1236" s="3" t="s">
        <v>74</v>
      </c>
    </row>
    <row r="1237" spans="1:11" ht="42" customHeight="1">
      <c r="A1237" s="2" t="s">
        <v>3310</v>
      </c>
      <c r="B1237" s="2" t="s">
        <v>3311</v>
      </c>
      <c r="C1237" s="2" t="s">
        <v>49</v>
      </c>
      <c r="D1237" s="2" t="s">
        <v>50</v>
      </c>
      <c r="E1237" s="5">
        <v>-30697</v>
      </c>
      <c r="F1237" s="3" t="s">
        <v>381</v>
      </c>
      <c r="G1237" s="3" t="s">
        <v>57</v>
      </c>
      <c r="H1237" s="2" t="s">
        <v>72</v>
      </c>
      <c r="I1237" s="2" t="s">
        <v>3328</v>
      </c>
      <c r="J1237" s="3" t="str">
        <f>HYPERLINK("https://www.boe.es/gazeta/dias/1815/12/14/pdfs/GMD-1815-155.pdf#page=5","Abrir facsímil")</f>
        <v>Abrir facsímil</v>
      </c>
      <c r="K1237" s="3" t="s">
        <v>74</v>
      </c>
    </row>
    <row r="1238" spans="1:11" ht="42" customHeight="1">
      <c r="A1238" s="2" t="s">
        <v>3310</v>
      </c>
      <c r="B1238" s="2" t="s">
        <v>3311</v>
      </c>
      <c r="C1238" s="2" t="s">
        <v>17</v>
      </c>
      <c r="D1238" s="2" t="s">
        <v>18</v>
      </c>
      <c r="E1238" s="5">
        <v>-30688</v>
      </c>
      <c r="F1238" s="3" t="s">
        <v>62</v>
      </c>
      <c r="G1238" s="3" t="s">
        <v>27</v>
      </c>
      <c r="H1238" s="2" t="s">
        <v>72</v>
      </c>
      <c r="I1238" s="2" t="s">
        <v>3329</v>
      </c>
      <c r="J1238" s="3" t="str">
        <f>HYPERLINK("https://www.boe.es/gazeta/dias/1815/12/23/pdfs/GMD-1815-159.pdf#page=6","Abrir facsímil")</f>
        <v>Abrir facsímil</v>
      </c>
      <c r="K1238" s="3" t="s">
        <v>74</v>
      </c>
    </row>
    <row r="1239" spans="1:11" ht="42" customHeight="1">
      <c r="A1239" s="2" t="s">
        <v>3330</v>
      </c>
      <c r="B1239" s="2" t="s">
        <v>3331</v>
      </c>
      <c r="C1239" s="2" t="s">
        <v>17</v>
      </c>
      <c r="D1239" s="2" t="s">
        <v>18</v>
      </c>
      <c r="E1239" s="5">
        <v>-30781</v>
      </c>
      <c r="F1239" s="3" t="s">
        <v>685</v>
      </c>
      <c r="G1239" s="3" t="s">
        <v>3332</v>
      </c>
      <c r="H1239" s="2" t="s">
        <v>72</v>
      </c>
      <c r="I1239" s="2" t="s">
        <v>3333</v>
      </c>
      <c r="J1239" s="3" t="str">
        <f>HYPERLINK("https://www.boe.es/gazeta/dias/1815/09/21/pdfs/GMD-1815-117.pdf#page=4","Abrir facsímil")</f>
        <v>Abrir facsímil</v>
      </c>
      <c r="K1239" s="3" t="s">
        <v>74</v>
      </c>
    </row>
    <row r="1240" spans="1:11" ht="42" customHeight="1">
      <c r="A1240" s="2" t="s">
        <v>3334</v>
      </c>
      <c r="B1240" s="2" t="s">
        <v>3335</v>
      </c>
      <c r="C1240" s="2" t="s">
        <v>31</v>
      </c>
      <c r="D1240" s="2" t="s">
        <v>32</v>
      </c>
      <c r="E1240" s="5">
        <v>-31003</v>
      </c>
      <c r="F1240" s="3" t="s">
        <v>405</v>
      </c>
      <c r="G1240" s="3" t="s">
        <v>57</v>
      </c>
      <c r="H1240" s="2" t="s">
        <v>72</v>
      </c>
      <c r="I1240" s="2" t="s">
        <v>3336</v>
      </c>
      <c r="J1240" s="3" t="str">
        <f>HYPERLINK("https://www.boe.es/gazeta/dias/1815/02/11/pdfs/GMD-1815-18.pdf#page=5","Abrir facsímil")</f>
        <v>Abrir facsímil</v>
      </c>
      <c r="K1240" s="3" t="s">
        <v>74</v>
      </c>
    </row>
    <row r="1241" spans="1:11" ht="42" customHeight="1">
      <c r="A1241" s="2" t="s">
        <v>3337</v>
      </c>
      <c r="B1241" s="2" t="s">
        <v>3338</v>
      </c>
      <c r="C1241" s="2" t="s">
        <v>31</v>
      </c>
      <c r="D1241" s="2" t="s">
        <v>32</v>
      </c>
      <c r="E1241" s="5">
        <v>-30951</v>
      </c>
      <c r="F1241" s="3" t="s">
        <v>87</v>
      </c>
      <c r="G1241" s="3" t="s">
        <v>71</v>
      </c>
      <c r="H1241" s="2" t="s">
        <v>72</v>
      </c>
      <c r="I1241" s="2" t="s">
        <v>3339</v>
      </c>
      <c r="J1241" s="3" t="str">
        <f>HYPERLINK("https://www.boe.es/gazeta/dias/1815/04/04/pdfs/GMD-1815-41.pdf#page=7","Abrir facsímil")</f>
        <v>Abrir facsímil</v>
      </c>
      <c r="K1241" s="3" t="s">
        <v>74</v>
      </c>
    </row>
    <row r="1242" spans="1:11" ht="42" customHeight="1">
      <c r="A1242" s="2" t="s">
        <v>3340</v>
      </c>
      <c r="B1242" s="2" t="s">
        <v>3341</v>
      </c>
      <c r="C1242" s="2" t="s">
        <v>17</v>
      </c>
      <c r="D1242" s="2" t="s">
        <v>18</v>
      </c>
      <c r="E1242" s="5">
        <v>-31021</v>
      </c>
      <c r="F1242" s="3" t="s">
        <v>481</v>
      </c>
      <c r="G1242" s="3" t="s">
        <v>27</v>
      </c>
      <c r="H1242" s="2" t="s">
        <v>72</v>
      </c>
      <c r="I1242" s="2" t="s">
        <v>3342</v>
      </c>
      <c r="J1242" s="3" t="str">
        <f>HYPERLINK("https://www.boe.es/gazeta/dias/1815/01/24/pdfs/GMD-1815-10.pdf#page=6","Abrir facsímil")</f>
        <v>Abrir facsímil</v>
      </c>
      <c r="K1242" s="3" t="s">
        <v>74</v>
      </c>
    </row>
    <row r="1243" spans="1:11" ht="42" customHeight="1">
      <c r="A1243" s="2" t="s">
        <v>3343</v>
      </c>
      <c r="B1243" s="2" t="s">
        <v>3344</v>
      </c>
      <c r="C1243" s="2" t="s">
        <v>17</v>
      </c>
      <c r="D1243" s="2" t="s">
        <v>18</v>
      </c>
      <c r="E1243" s="5">
        <v>-30692</v>
      </c>
      <c r="F1243" s="3" t="s">
        <v>508</v>
      </c>
      <c r="G1243" s="3" t="s">
        <v>1353</v>
      </c>
      <c r="H1243" s="2" t="s">
        <v>72</v>
      </c>
      <c r="I1243" s="2" t="s">
        <v>3345</v>
      </c>
      <c r="J1243" s="3" t="str">
        <f>HYPERLINK("https://www.boe.es/gazeta/dias/1815/12/19/pdfs/GMD-1815-157.pdf#page=7","Abrir facsímil")</f>
        <v>Abrir facsímil</v>
      </c>
      <c r="K1243" s="3" t="s">
        <v>74</v>
      </c>
    </row>
    <row r="1244" spans="1:11" ht="42" customHeight="1">
      <c r="A1244" s="2" t="s">
        <v>3346</v>
      </c>
      <c r="B1244" s="2" t="s">
        <v>3347</v>
      </c>
      <c r="C1244" s="2" t="s">
        <v>195</v>
      </c>
      <c r="D1244" s="2" t="s">
        <v>50</v>
      </c>
      <c r="E1244" s="5">
        <v>-30879</v>
      </c>
      <c r="F1244" s="3" t="s">
        <v>754</v>
      </c>
      <c r="G1244" s="3" t="s">
        <v>88</v>
      </c>
      <c r="H1244" s="2" t="s">
        <v>72</v>
      </c>
      <c r="I1244" s="2" t="s">
        <v>3348</v>
      </c>
      <c r="J1244" s="3" t="str">
        <f>HYPERLINK("https://www.boe.es/gazeta/dias/1815/06/15/pdfs/GMD-1815-72.pdf#page=10","Abrir facsímil")</f>
        <v>Abrir facsímil</v>
      </c>
      <c r="K1244" s="3" t="s">
        <v>74</v>
      </c>
    </row>
    <row r="1245" spans="1:11" ht="42" customHeight="1">
      <c r="A1245" s="2" t="s">
        <v>3349</v>
      </c>
      <c r="B1245" s="2" t="s">
        <v>3350</v>
      </c>
      <c r="C1245" s="2" t="s">
        <v>17</v>
      </c>
      <c r="D1245" s="2" t="s">
        <v>18</v>
      </c>
      <c r="E1245" s="5">
        <v>-30856</v>
      </c>
      <c r="F1245" s="3" t="s">
        <v>92</v>
      </c>
      <c r="G1245" s="3" t="s">
        <v>38</v>
      </c>
      <c r="H1245" s="2" t="s">
        <v>72</v>
      </c>
      <c r="I1245" s="2" t="s">
        <v>3351</v>
      </c>
      <c r="J1245" s="3" t="str">
        <f>HYPERLINK("https://www.boe.es/gazeta/dias/1815/07/08/pdfs/GMD-1815-84.pdf#page=8","Abrir facsímil")</f>
        <v>Abrir facsímil</v>
      </c>
      <c r="K1245" s="3" t="s">
        <v>74</v>
      </c>
    </row>
    <row r="1246" spans="1:11" ht="42" customHeight="1">
      <c r="A1246" s="2" t="s">
        <v>3352</v>
      </c>
      <c r="B1246" s="2" t="s">
        <v>3353</v>
      </c>
      <c r="C1246" s="2" t="s">
        <v>17</v>
      </c>
      <c r="D1246" s="2" t="s">
        <v>18</v>
      </c>
      <c r="E1246" s="5">
        <v>-30856</v>
      </c>
      <c r="F1246" s="3" t="s">
        <v>92</v>
      </c>
      <c r="G1246" s="3" t="s">
        <v>38</v>
      </c>
      <c r="H1246" s="2" t="s">
        <v>72</v>
      </c>
      <c r="I1246" s="2" t="s">
        <v>3354</v>
      </c>
      <c r="J1246" s="3" t="str">
        <f>HYPERLINK("https://www.boe.es/gazeta/dias/1815/07/08/pdfs/GMD-1815-84.pdf#page=8","Abrir facsímil")</f>
        <v>Abrir facsímil</v>
      </c>
      <c r="K1246" s="3" t="s">
        <v>74</v>
      </c>
    </row>
    <row r="1247" spans="1:11" ht="42" customHeight="1">
      <c r="A1247" s="2" t="s">
        <v>3355</v>
      </c>
      <c r="B1247" s="2" t="s">
        <v>3355</v>
      </c>
      <c r="C1247" s="2" t="s">
        <v>49</v>
      </c>
      <c r="D1247" s="2" t="s">
        <v>50</v>
      </c>
      <c r="E1247" s="5">
        <v>-30968</v>
      </c>
      <c r="F1247" s="3" t="s">
        <v>2695</v>
      </c>
      <c r="G1247" s="3" t="s">
        <v>97</v>
      </c>
      <c r="H1247" s="2" t="s">
        <v>72</v>
      </c>
      <c r="I1247" s="2" t="s">
        <v>3356</v>
      </c>
      <c r="J1247" s="3" t="str">
        <f>HYPERLINK("https://www.boe.es/gazeta/dias/1815/03/18/pdfs/GMD-1815-33.pdf#page=3","Abrir facsímil")</f>
        <v>Abrir facsímil</v>
      </c>
      <c r="K1247" s="3" t="s">
        <v>74</v>
      </c>
    </row>
    <row r="1248" spans="1:11" ht="42" customHeight="1">
      <c r="A1248" s="2" t="s">
        <v>3357</v>
      </c>
      <c r="B1248" s="2" t="s">
        <v>3358</v>
      </c>
      <c r="C1248" s="2" t="s">
        <v>49</v>
      </c>
      <c r="D1248" s="2" t="s">
        <v>50</v>
      </c>
      <c r="E1248" s="5">
        <v>-30758</v>
      </c>
      <c r="F1248" s="3" t="s">
        <v>1964</v>
      </c>
      <c r="G1248" s="3" t="s">
        <v>20</v>
      </c>
      <c r="H1248" s="2" t="s">
        <v>72</v>
      </c>
      <c r="I1248" s="2" t="s">
        <v>3359</v>
      </c>
      <c r="J1248" s="3" t="str">
        <f>HYPERLINK("https://www.boe.es/gazeta/dias/1815/10/14/pdfs/GMD-1815-129.pdf#page=4","Abrir facsímil")</f>
        <v>Abrir facsímil</v>
      </c>
      <c r="K1248" s="3" t="s">
        <v>74</v>
      </c>
    </row>
    <row r="1249" spans="1:11" ht="42" customHeight="1">
      <c r="A1249" s="2" t="s">
        <v>3360</v>
      </c>
      <c r="B1249" s="2" t="s">
        <v>3361</v>
      </c>
      <c r="C1249" s="2" t="s">
        <v>49</v>
      </c>
      <c r="D1249" s="2" t="s">
        <v>50</v>
      </c>
      <c r="E1249" s="5">
        <v>-30865</v>
      </c>
      <c r="F1249" s="3" t="s">
        <v>163</v>
      </c>
      <c r="G1249" s="3" t="s">
        <v>71</v>
      </c>
      <c r="H1249" s="2" t="s">
        <v>72</v>
      </c>
      <c r="I1249" s="2" t="s">
        <v>3362</v>
      </c>
      <c r="J1249" s="3" t="str">
        <f>HYPERLINK("https://www.boe.es/gazeta/dias/1815/06/29/pdfs/GMD-1815-78.pdf#page=7","Abrir facsímil")</f>
        <v>Abrir facsímil</v>
      </c>
      <c r="K1249" s="3" t="s">
        <v>74</v>
      </c>
    </row>
    <row r="1250" spans="1:11" ht="42" customHeight="1">
      <c r="A1250" s="2" t="s">
        <v>3363</v>
      </c>
      <c r="B1250" s="2" t="s">
        <v>3364</v>
      </c>
      <c r="C1250" s="2" t="s">
        <v>17</v>
      </c>
      <c r="D1250" s="2" t="s">
        <v>18</v>
      </c>
      <c r="E1250" s="5">
        <v>-30804</v>
      </c>
      <c r="F1250" s="3" t="s">
        <v>891</v>
      </c>
      <c r="G1250" s="3" t="s">
        <v>71</v>
      </c>
      <c r="H1250" s="2" t="s">
        <v>72</v>
      </c>
      <c r="I1250" s="2" t="s">
        <v>3365</v>
      </c>
      <c r="J1250" s="3" t="str">
        <f>HYPERLINK("https://www.boe.es/gazeta/dias/1815/08/29/pdfs/GMD-1815-106.pdf#page=7","Abrir facsímil")</f>
        <v>Abrir facsímil</v>
      </c>
      <c r="K1250" s="3" t="s">
        <v>74</v>
      </c>
    </row>
    <row r="1251" spans="1:11" ht="42" customHeight="1">
      <c r="A1251" s="2" t="s">
        <v>3366</v>
      </c>
      <c r="B1251" s="2" t="s">
        <v>3367</v>
      </c>
      <c r="C1251" s="2" t="s">
        <v>49</v>
      </c>
      <c r="D1251" s="2" t="s">
        <v>50</v>
      </c>
      <c r="E1251" s="5">
        <v>-30909</v>
      </c>
      <c r="F1251" s="3" t="s">
        <v>581</v>
      </c>
      <c r="G1251" s="3" t="s">
        <v>38</v>
      </c>
      <c r="H1251" s="2" t="s">
        <v>72</v>
      </c>
      <c r="I1251" s="2" t="s">
        <v>3368</v>
      </c>
      <c r="J1251" s="3" t="str">
        <f>HYPERLINK("https://www.boe.es/gazeta/dias/1815/05/16/pdfs/GMD-1815-59.pdf#page=8","Abrir facsímil")</f>
        <v>Abrir facsímil</v>
      </c>
      <c r="K1251" s="3" t="s">
        <v>74</v>
      </c>
    </row>
    <row r="1252" spans="1:11" ht="42" customHeight="1">
      <c r="A1252" s="2" t="s">
        <v>3369</v>
      </c>
      <c r="B1252" s="2" t="s">
        <v>3370</v>
      </c>
      <c r="C1252" s="2" t="s">
        <v>31</v>
      </c>
      <c r="D1252" s="2" t="s">
        <v>32</v>
      </c>
      <c r="E1252" s="5">
        <v>-31024</v>
      </c>
      <c r="F1252" s="3" t="s">
        <v>101</v>
      </c>
      <c r="G1252" s="3" t="s">
        <v>258</v>
      </c>
      <c r="H1252" s="2" t="s">
        <v>72</v>
      </c>
      <c r="I1252" s="2" t="s">
        <v>3371</v>
      </c>
      <c r="J1252" s="3" t="str">
        <f>HYPERLINK("https://www.boe.es/gazeta/dias/1815/01/21/pdfs/GMD-1815-9.pdf#page=6","Abrir facsímil")</f>
        <v>Abrir facsímil</v>
      </c>
      <c r="K1252" s="3" t="s">
        <v>74</v>
      </c>
    </row>
    <row r="1253" spans="1:11" ht="42" customHeight="1">
      <c r="A1253" s="2" t="s">
        <v>3372</v>
      </c>
      <c r="B1253" s="2" t="s">
        <v>3373</v>
      </c>
      <c r="C1253" s="2" t="s">
        <v>49</v>
      </c>
      <c r="D1253" s="2" t="s">
        <v>50</v>
      </c>
      <c r="E1253" s="5">
        <v>-30865</v>
      </c>
      <c r="F1253" s="3" t="s">
        <v>163</v>
      </c>
      <c r="G1253" s="3" t="s">
        <v>27</v>
      </c>
      <c r="H1253" s="2" t="s">
        <v>72</v>
      </c>
      <c r="I1253" s="2" t="s">
        <v>3374</v>
      </c>
      <c r="J1253" s="3" t="str">
        <f>HYPERLINK("https://www.boe.es/gazeta/dias/1815/06/29/pdfs/GMD-1815-78.pdf#page=6","Abrir facsímil")</f>
        <v>Abrir facsímil</v>
      </c>
      <c r="K1253" s="3" t="s">
        <v>74</v>
      </c>
    </row>
    <row r="1254" spans="1:11" ht="42" customHeight="1">
      <c r="A1254" s="2" t="s">
        <v>3375</v>
      </c>
      <c r="B1254" s="2" t="s">
        <v>3375</v>
      </c>
      <c r="C1254" s="2" t="s">
        <v>31</v>
      </c>
      <c r="D1254" s="2" t="s">
        <v>32</v>
      </c>
      <c r="E1254" s="5">
        <v>-30849</v>
      </c>
      <c r="F1254" s="3" t="s">
        <v>501</v>
      </c>
      <c r="G1254" s="3" t="s">
        <v>88</v>
      </c>
      <c r="H1254" s="2" t="s">
        <v>72</v>
      </c>
      <c r="I1254" s="2" t="s">
        <v>3376</v>
      </c>
      <c r="J1254" s="3" t="str">
        <f>HYPERLINK("https://www.boe.es/gazeta/dias/1815/07/15/pdfs/GMD-1815-87.pdf#page=10","Abrir facsímil")</f>
        <v>Abrir facsímil</v>
      </c>
      <c r="K1254" s="3" t="s">
        <v>74</v>
      </c>
    </row>
    <row r="1255" spans="1:11" ht="42" customHeight="1">
      <c r="A1255" s="2" t="s">
        <v>3377</v>
      </c>
      <c r="B1255" s="2" t="s">
        <v>3378</v>
      </c>
      <c r="C1255" s="2" t="s">
        <v>17</v>
      </c>
      <c r="D1255" s="2" t="s">
        <v>18</v>
      </c>
      <c r="E1255" s="5">
        <v>-30846</v>
      </c>
      <c r="F1255" s="3" t="s">
        <v>858</v>
      </c>
      <c r="G1255" s="3" t="s">
        <v>71</v>
      </c>
      <c r="H1255" s="2" t="s">
        <v>72</v>
      </c>
      <c r="I1255" s="2" t="s">
        <v>3379</v>
      </c>
      <c r="J1255" s="3" t="str">
        <f>HYPERLINK("https://www.boe.es/gazeta/dias/1815/07/18/pdfs/GMD-1815-88.pdf#page=7","Abrir facsímil")</f>
        <v>Abrir facsímil</v>
      </c>
      <c r="K1255" s="3" t="s">
        <v>74</v>
      </c>
    </row>
    <row r="1256" spans="1:11" ht="42" customHeight="1">
      <c r="A1256" s="2" t="s">
        <v>3380</v>
      </c>
      <c r="B1256" s="2" t="s">
        <v>3381</v>
      </c>
      <c r="C1256" s="2" t="s">
        <v>31</v>
      </c>
      <c r="D1256" s="2" t="s">
        <v>32</v>
      </c>
      <c r="E1256" s="5">
        <v>-30767</v>
      </c>
      <c r="F1256" s="3" t="s">
        <v>228</v>
      </c>
      <c r="G1256" s="3" t="s">
        <v>224</v>
      </c>
      <c r="H1256" s="2" t="s">
        <v>72</v>
      </c>
      <c r="I1256" s="2" t="s">
        <v>3382</v>
      </c>
      <c r="J1256" s="3" t="str">
        <f>HYPERLINK("https://www.boe.es/gazeta/dias/1815/10/05/pdfs/GMD-1815-125.pdf#page=9","Abrir facsímil")</f>
        <v>Abrir facsímil</v>
      </c>
      <c r="K1256" s="3" t="s">
        <v>74</v>
      </c>
    </row>
    <row r="1257" spans="1:11" ht="42" customHeight="1">
      <c r="A1257" s="2" t="s">
        <v>3383</v>
      </c>
      <c r="B1257" s="2" t="s">
        <v>3384</v>
      </c>
      <c r="C1257" s="2" t="s">
        <v>61</v>
      </c>
      <c r="D1257" s="2" t="s">
        <v>50</v>
      </c>
      <c r="E1257" s="5">
        <v>-30767</v>
      </c>
      <c r="F1257" s="3" t="s">
        <v>228</v>
      </c>
      <c r="G1257" s="3" t="s">
        <v>990</v>
      </c>
      <c r="H1257" s="2" t="s">
        <v>72</v>
      </c>
      <c r="I1257" s="2" t="s">
        <v>3385</v>
      </c>
      <c r="J1257" s="3" t="str">
        <f>HYPERLINK("https://www.boe.es/gazeta/dias/1815/10/05/pdfs/GMD-1815-125.pdf#page=12","Abrir facsímil")</f>
        <v>Abrir facsímil</v>
      </c>
      <c r="K1257" s="3" t="s">
        <v>74</v>
      </c>
    </row>
    <row r="1258" spans="1:11" ht="42" customHeight="1">
      <c r="A1258" s="2" t="s">
        <v>3386</v>
      </c>
      <c r="B1258" s="2" t="s">
        <v>3387</v>
      </c>
      <c r="C1258" s="2" t="s">
        <v>31</v>
      </c>
      <c r="D1258" s="2" t="s">
        <v>32</v>
      </c>
      <c r="E1258" s="5">
        <v>-30713</v>
      </c>
      <c r="F1258" s="3" t="s">
        <v>895</v>
      </c>
      <c r="G1258" s="3" t="s">
        <v>38</v>
      </c>
      <c r="H1258" s="2" t="s">
        <v>72</v>
      </c>
      <c r="I1258" s="2" t="s">
        <v>3388</v>
      </c>
      <c r="J1258" s="3" t="str">
        <f>HYPERLINK("https://www.boe.es/gazeta/dias/1815/11/28/pdfs/GMD-1815-148.pdf#page=8","Abrir facsímil")</f>
        <v>Abrir facsímil</v>
      </c>
      <c r="K1258" s="3" t="s">
        <v>74</v>
      </c>
    </row>
    <row r="1259" spans="1:11" ht="42" customHeight="1">
      <c r="A1259" s="2" t="s">
        <v>3389</v>
      </c>
      <c r="B1259" s="2" t="s">
        <v>3390</v>
      </c>
      <c r="C1259" s="2" t="s">
        <v>61</v>
      </c>
      <c r="D1259" s="2" t="s">
        <v>50</v>
      </c>
      <c r="E1259" s="5">
        <v>-30921</v>
      </c>
      <c r="F1259" s="3" t="s">
        <v>191</v>
      </c>
      <c r="G1259" s="3" t="s">
        <v>38</v>
      </c>
      <c r="H1259" s="2" t="s">
        <v>72</v>
      </c>
      <c r="I1259" s="2" t="s">
        <v>3391</v>
      </c>
      <c r="J1259" s="3" t="str">
        <f>HYPERLINK("https://www.boe.es/gazeta/dias/1815/05/04/pdfs/GMD-1815-54.pdf#page=8","Abrir facsímil")</f>
        <v>Abrir facsímil</v>
      </c>
      <c r="K1259" s="3" t="s">
        <v>74</v>
      </c>
    </row>
    <row r="1260" spans="1:11" ht="42" customHeight="1">
      <c r="A1260" s="2" t="s">
        <v>3392</v>
      </c>
      <c r="B1260" s="2" t="s">
        <v>3393</v>
      </c>
      <c r="C1260" s="2" t="s">
        <v>131</v>
      </c>
      <c r="D1260" s="2" t="s">
        <v>50</v>
      </c>
      <c r="E1260" s="5">
        <v>-30916</v>
      </c>
      <c r="F1260" s="3" t="s">
        <v>147</v>
      </c>
      <c r="G1260" s="3" t="s">
        <v>3394</v>
      </c>
      <c r="H1260" s="2" t="s">
        <v>72</v>
      </c>
      <c r="I1260" s="2" t="s">
        <v>3395</v>
      </c>
      <c r="J1260" s="3" t="str">
        <f>HYPERLINK("https://www.boe.es/gazeta/dias/1815/05/09/pdfs/GMD-1815-56.pdf#page=12","Abrir facsímil")</f>
        <v>Abrir facsímil</v>
      </c>
      <c r="K1260" s="3" t="s">
        <v>74</v>
      </c>
    </row>
    <row r="1261" spans="1:11" ht="42" customHeight="1">
      <c r="A1261" s="2" t="s">
        <v>3396</v>
      </c>
      <c r="B1261" s="2" t="s">
        <v>3397</v>
      </c>
      <c r="C1261" s="2" t="s">
        <v>17</v>
      </c>
      <c r="D1261" s="2" t="s">
        <v>18</v>
      </c>
      <c r="E1261" s="5">
        <v>-30865</v>
      </c>
      <c r="F1261" s="3" t="s">
        <v>163</v>
      </c>
      <c r="G1261" s="3" t="s">
        <v>276</v>
      </c>
      <c r="H1261" s="2" t="s">
        <v>72</v>
      </c>
      <c r="I1261" s="2" t="s">
        <v>3398</v>
      </c>
      <c r="J1261" s="3" t="str">
        <f>HYPERLINK("https://www.boe.es/gazeta/dias/1815/06/29/pdfs/GMD-1815-78.pdf#page=12","Abrir facsímil")</f>
        <v>Abrir facsímil</v>
      </c>
      <c r="K1261" s="3" t="s">
        <v>74</v>
      </c>
    </row>
    <row r="1262" spans="1:11" ht="42" customHeight="1">
      <c r="A1262" s="2" t="s">
        <v>3399</v>
      </c>
      <c r="B1262" s="2" t="s">
        <v>3400</v>
      </c>
      <c r="C1262" s="2" t="s">
        <v>17</v>
      </c>
      <c r="D1262" s="2" t="s">
        <v>18</v>
      </c>
      <c r="E1262" s="5">
        <v>-30697</v>
      </c>
      <c r="F1262" s="3" t="s">
        <v>381</v>
      </c>
      <c r="G1262" s="3" t="s">
        <v>71</v>
      </c>
      <c r="H1262" s="2" t="s">
        <v>72</v>
      </c>
      <c r="I1262" s="2" t="s">
        <v>3401</v>
      </c>
      <c r="J1262" s="3" t="str">
        <f>HYPERLINK("https://www.boe.es/gazeta/dias/1815/12/14/pdfs/GMD-1815-155.pdf#page=7","Abrir facsímil")</f>
        <v>Abrir facsímil</v>
      </c>
      <c r="K1262" s="3" t="s">
        <v>74</v>
      </c>
    </row>
    <row r="1263" spans="1:11" ht="42" customHeight="1">
      <c r="A1263" s="2" t="s">
        <v>3402</v>
      </c>
      <c r="B1263" s="2" t="s">
        <v>3403</v>
      </c>
      <c r="C1263" s="2" t="s">
        <v>49</v>
      </c>
      <c r="D1263" s="2" t="s">
        <v>50</v>
      </c>
      <c r="E1263" s="5">
        <v>-30818</v>
      </c>
      <c r="F1263" s="3" t="s">
        <v>334</v>
      </c>
      <c r="G1263" s="3" t="s">
        <v>224</v>
      </c>
      <c r="H1263" s="2" t="s">
        <v>72</v>
      </c>
      <c r="I1263" s="2" t="s">
        <v>3404</v>
      </c>
      <c r="J1263" s="3" t="str">
        <f>HYPERLINK("https://www.boe.es/gazeta/dias/1815/08/15/pdfs/GMD-1815-100.pdf#page=9","Abrir facsímil")</f>
        <v>Abrir facsímil</v>
      </c>
      <c r="K1263" s="3" t="s">
        <v>74</v>
      </c>
    </row>
    <row r="1264" spans="1:11" ht="42" customHeight="1">
      <c r="A1264" s="2" t="s">
        <v>3405</v>
      </c>
      <c r="B1264" s="2" t="s">
        <v>3406</v>
      </c>
      <c r="C1264" s="2" t="s">
        <v>31</v>
      </c>
      <c r="D1264" s="2" t="s">
        <v>32</v>
      </c>
      <c r="E1264" s="5">
        <v>-30774</v>
      </c>
      <c r="F1264" s="3" t="s">
        <v>1143</v>
      </c>
      <c r="G1264" s="3" t="s">
        <v>71</v>
      </c>
      <c r="H1264" s="2" t="s">
        <v>72</v>
      </c>
      <c r="I1264" s="2" t="s">
        <v>3407</v>
      </c>
      <c r="J1264" s="3" t="str">
        <f>HYPERLINK("https://www.boe.es/gazeta/dias/1815/09/28/pdfs/GMD-1815-121.pdf#page=7","Abrir facsímil")</f>
        <v>Abrir facsímil</v>
      </c>
      <c r="K1264" s="3" t="s">
        <v>74</v>
      </c>
    </row>
    <row r="1265" spans="1:11" ht="42" customHeight="1">
      <c r="A1265" s="2" t="s">
        <v>3408</v>
      </c>
      <c r="B1265" s="2" t="s">
        <v>3409</v>
      </c>
      <c r="C1265" s="2" t="s">
        <v>49</v>
      </c>
      <c r="D1265" s="2" t="s">
        <v>50</v>
      </c>
      <c r="E1265" s="5">
        <v>-30870</v>
      </c>
      <c r="F1265" s="3" t="s">
        <v>122</v>
      </c>
      <c r="G1265" s="3" t="s">
        <v>52</v>
      </c>
      <c r="H1265" s="2" t="s">
        <v>72</v>
      </c>
      <c r="I1265" s="2" t="s">
        <v>3410</v>
      </c>
      <c r="J1265" s="3" t="str">
        <f>HYPERLINK("https://www.boe.es/gazeta/dias/1815/06/24/pdfs/GMD-1815-76.pdf#page=11","Abrir facsímil")</f>
        <v>Abrir facsímil</v>
      </c>
      <c r="K1265" s="3" t="s">
        <v>74</v>
      </c>
    </row>
    <row r="1266" spans="1:11" ht="42" customHeight="1">
      <c r="A1266" s="2" t="s">
        <v>3411</v>
      </c>
      <c r="B1266" s="2" t="s">
        <v>3412</v>
      </c>
      <c r="C1266" s="2" t="s">
        <v>81</v>
      </c>
      <c r="D1266" s="2" t="s">
        <v>50</v>
      </c>
      <c r="E1266" s="5">
        <v>-30930</v>
      </c>
      <c r="F1266" s="3" t="s">
        <v>51</v>
      </c>
      <c r="G1266" s="3" t="s">
        <v>52</v>
      </c>
      <c r="H1266" s="2" t="s">
        <v>72</v>
      </c>
      <c r="I1266" s="2" t="s">
        <v>3413</v>
      </c>
      <c r="J1266" s="3" t="str">
        <f>HYPERLINK("https://www.boe.es/gazeta/dias/1815/04/25/pdfs/GMD-1815-50.pdf#page=11","Abrir facsímil")</f>
        <v>Abrir facsímil</v>
      </c>
      <c r="K1266" s="3" t="s">
        <v>74</v>
      </c>
    </row>
    <row r="1267" spans="1:11" ht="42" customHeight="1">
      <c r="A1267" s="2" t="s">
        <v>3414</v>
      </c>
      <c r="B1267" s="2" t="s">
        <v>3415</v>
      </c>
      <c r="C1267" s="2" t="s">
        <v>31</v>
      </c>
      <c r="D1267" s="2" t="s">
        <v>32</v>
      </c>
      <c r="E1267" s="5">
        <v>-30886</v>
      </c>
      <c r="F1267" s="3" t="s">
        <v>140</v>
      </c>
      <c r="G1267" s="3" t="s">
        <v>224</v>
      </c>
      <c r="H1267" s="2" t="s">
        <v>72</v>
      </c>
      <c r="I1267" s="2" t="s">
        <v>3416</v>
      </c>
      <c r="J1267" s="3" t="str">
        <f>HYPERLINK("https://www.boe.es/gazeta/dias/1815/06/08/pdfs/GMD-1815-69.pdf#page=9","Abrir facsímil")</f>
        <v>Abrir facsímil</v>
      </c>
      <c r="K1267" s="3" t="s">
        <v>74</v>
      </c>
    </row>
    <row r="1268" spans="1:11" ht="42" customHeight="1">
      <c r="A1268" s="2" t="s">
        <v>3417</v>
      </c>
      <c r="B1268" s="2" t="s">
        <v>3418</v>
      </c>
      <c r="C1268" s="2" t="s">
        <v>17</v>
      </c>
      <c r="D1268" s="2" t="s">
        <v>18</v>
      </c>
      <c r="E1268" s="5">
        <v>-30844</v>
      </c>
      <c r="F1268" s="3" t="s">
        <v>114</v>
      </c>
      <c r="G1268" s="3" t="s">
        <v>71</v>
      </c>
      <c r="H1268" s="2" t="s">
        <v>21</v>
      </c>
      <c r="I1268" s="2" t="s">
        <v>3419</v>
      </c>
      <c r="J1268" s="3" t="str">
        <f>HYPERLINK("https://www.boe.es/gazeta/dias/1815/07/20/pdfs/GMD-1815-89.pdf#page=7","Abrir facsímil")</f>
        <v>Abrir facsímil</v>
      </c>
      <c r="K1268" s="3" t="s">
        <v>23</v>
      </c>
    </row>
    <row r="1269" spans="1:11" ht="42" customHeight="1">
      <c r="A1269" s="2" t="s">
        <v>3420</v>
      </c>
      <c r="B1269" s="2" t="s">
        <v>3421</v>
      </c>
      <c r="C1269" s="2" t="s">
        <v>17</v>
      </c>
      <c r="D1269" s="2" t="s">
        <v>18</v>
      </c>
      <c r="E1269" s="5">
        <v>-30865</v>
      </c>
      <c r="F1269" s="3" t="s">
        <v>163</v>
      </c>
      <c r="G1269" s="3" t="s">
        <v>71</v>
      </c>
      <c r="H1269" s="2" t="s">
        <v>72</v>
      </c>
      <c r="I1269" s="2" t="s">
        <v>3422</v>
      </c>
      <c r="J1269" s="3" t="str">
        <f>HYPERLINK("https://www.boe.es/gazeta/dias/1815/06/29/pdfs/GMD-1815-78.pdf#page=7","Abrir facsímil")</f>
        <v>Abrir facsímil</v>
      </c>
      <c r="K1269" s="3" t="s">
        <v>74</v>
      </c>
    </row>
    <row r="1270" spans="1:11" ht="42" customHeight="1">
      <c r="A1270" s="2" t="s">
        <v>3423</v>
      </c>
      <c r="B1270" s="2" t="s">
        <v>3423</v>
      </c>
      <c r="C1270" s="2" t="s">
        <v>31</v>
      </c>
      <c r="D1270" s="2" t="s">
        <v>32</v>
      </c>
      <c r="E1270" s="5">
        <v>-31021</v>
      </c>
      <c r="F1270" s="3" t="s">
        <v>481</v>
      </c>
      <c r="G1270" s="3" t="s">
        <v>71</v>
      </c>
      <c r="H1270" s="2" t="s">
        <v>72</v>
      </c>
      <c r="I1270" s="2" t="s">
        <v>3424</v>
      </c>
      <c r="J1270" s="3" t="str">
        <f>HYPERLINK("https://www.boe.es/gazeta/dias/1815/01/24/pdfs/GMD-1815-10.pdf#page=7","Abrir facsímil")</f>
        <v>Abrir facsímil</v>
      </c>
      <c r="K1270" s="3" t="s">
        <v>74</v>
      </c>
    </row>
    <row r="1271" spans="1:11" ht="42" customHeight="1">
      <c r="A1271" s="2" t="s">
        <v>3423</v>
      </c>
      <c r="B1271" s="2" t="s">
        <v>3423</v>
      </c>
      <c r="C1271" s="2" t="s">
        <v>31</v>
      </c>
      <c r="D1271" s="2" t="s">
        <v>32</v>
      </c>
      <c r="E1271" s="5">
        <v>-31012</v>
      </c>
      <c r="F1271" s="3" t="s">
        <v>529</v>
      </c>
      <c r="G1271" s="3" t="s">
        <v>97</v>
      </c>
      <c r="H1271" s="2" t="s">
        <v>72</v>
      </c>
      <c r="I1271" s="2" t="s">
        <v>3425</v>
      </c>
      <c r="J1271" s="3" t="str">
        <f>HYPERLINK("https://www.boe.es/gazeta/dias/1815/02/02/pdfs/GMD-1815-14.pdf#page=3","Abrir facsímil")</f>
        <v>Abrir facsímil</v>
      </c>
      <c r="K1271" s="3" t="s">
        <v>74</v>
      </c>
    </row>
    <row r="1272" spans="1:11" ht="42" customHeight="1">
      <c r="A1272" s="2" t="s">
        <v>3426</v>
      </c>
      <c r="B1272" s="2" t="s">
        <v>3427</v>
      </c>
      <c r="C1272" s="2" t="s">
        <v>49</v>
      </c>
      <c r="D1272" s="2" t="s">
        <v>50</v>
      </c>
      <c r="E1272" s="5">
        <v>-30886</v>
      </c>
      <c r="F1272" s="3" t="s">
        <v>140</v>
      </c>
      <c r="G1272" s="3" t="s">
        <v>38</v>
      </c>
      <c r="H1272" s="2" t="s">
        <v>72</v>
      </c>
      <c r="I1272" s="2" t="s">
        <v>3428</v>
      </c>
      <c r="J1272" s="3" t="str">
        <f>HYPERLINK("https://www.boe.es/gazeta/dias/1815/06/08/pdfs/GMD-1815-69.pdf#page=8","Abrir facsímil")</f>
        <v>Abrir facsímil</v>
      </c>
      <c r="K1272" s="3" t="s">
        <v>74</v>
      </c>
    </row>
    <row r="1273" spans="1:11" ht="42" customHeight="1">
      <c r="A1273" s="2" t="s">
        <v>3429</v>
      </c>
      <c r="B1273" s="2" t="s">
        <v>3430</v>
      </c>
      <c r="C1273" s="2" t="s">
        <v>31</v>
      </c>
      <c r="D1273" s="2" t="s">
        <v>32</v>
      </c>
      <c r="E1273" s="5">
        <v>-30921</v>
      </c>
      <c r="F1273" s="3" t="s">
        <v>191</v>
      </c>
      <c r="G1273" s="3" t="s">
        <v>38</v>
      </c>
      <c r="H1273" s="2" t="s">
        <v>72</v>
      </c>
      <c r="I1273" s="2" t="s">
        <v>3431</v>
      </c>
      <c r="J1273" s="3" t="str">
        <f>HYPERLINK("https://www.boe.es/gazeta/dias/1815/05/04/pdfs/GMD-1815-54.pdf#page=8","Abrir facsímil")</f>
        <v>Abrir facsímil</v>
      </c>
      <c r="K1273" s="3" t="s">
        <v>74</v>
      </c>
    </row>
    <row r="1274" spans="1:11" ht="42" customHeight="1">
      <c r="A1274" s="2" t="s">
        <v>3432</v>
      </c>
      <c r="B1274" s="2" t="s">
        <v>3433</v>
      </c>
      <c r="C1274" s="2" t="s">
        <v>17</v>
      </c>
      <c r="D1274" s="2" t="s">
        <v>18</v>
      </c>
      <c r="E1274" s="5">
        <v>-30972</v>
      </c>
      <c r="F1274" s="3" t="s">
        <v>1382</v>
      </c>
      <c r="G1274" s="3" t="s">
        <v>71</v>
      </c>
      <c r="H1274" s="2" t="s">
        <v>72</v>
      </c>
      <c r="I1274" s="2" t="s">
        <v>3434</v>
      </c>
      <c r="J1274" s="3" t="str">
        <f>HYPERLINK("https://www.boe.es/gazeta/dias/1815/03/14/pdfs/GMD-1815-31.pdf#page=7","Abrir facsímil")</f>
        <v>Abrir facsímil</v>
      </c>
      <c r="K1274" s="3" t="s">
        <v>74</v>
      </c>
    </row>
    <row r="1275" spans="1:11" ht="42" customHeight="1">
      <c r="A1275" s="2" t="s">
        <v>3435</v>
      </c>
      <c r="B1275" s="2" t="s">
        <v>3436</v>
      </c>
      <c r="C1275" s="2" t="s">
        <v>31</v>
      </c>
      <c r="D1275" s="2" t="s">
        <v>32</v>
      </c>
      <c r="E1275" s="5">
        <v>-31000</v>
      </c>
      <c r="F1275" s="3" t="s">
        <v>70</v>
      </c>
      <c r="G1275" s="3" t="s">
        <v>57</v>
      </c>
      <c r="H1275" s="2" t="s">
        <v>72</v>
      </c>
      <c r="I1275" s="2" t="s">
        <v>3437</v>
      </c>
      <c r="J1275" s="3" t="str">
        <f>HYPERLINK("https://www.boe.es/gazeta/dias/1815/02/14/pdfs/GMD-1815-19.pdf#page=5","Abrir facsímil")</f>
        <v>Abrir facsímil</v>
      </c>
      <c r="K1275" s="3" t="s">
        <v>74</v>
      </c>
    </row>
    <row r="1276" spans="1:11" ht="42" customHeight="1">
      <c r="A1276" s="2" t="s">
        <v>3438</v>
      </c>
      <c r="B1276" s="2" t="s">
        <v>3438</v>
      </c>
      <c r="C1276" s="2" t="s">
        <v>17</v>
      </c>
      <c r="D1276" s="2" t="s">
        <v>18</v>
      </c>
      <c r="E1276" s="5">
        <v>-31014</v>
      </c>
      <c r="F1276" s="3" t="s">
        <v>3193</v>
      </c>
      <c r="G1276" s="3" t="s">
        <v>377</v>
      </c>
      <c r="H1276" s="2" t="s">
        <v>72</v>
      </c>
      <c r="I1276" s="2" t="s">
        <v>3439</v>
      </c>
      <c r="J1276" s="3" t="str">
        <f>HYPERLINK("https://www.boe.es/gazeta/dias/1815/01/31/pdfs/GMD-1815-13.pdf#page=2","Abrir facsímil")</f>
        <v>Abrir facsímil</v>
      </c>
      <c r="K1276" s="3" t="s">
        <v>74</v>
      </c>
    </row>
    <row r="1277" spans="1:11" ht="42" customHeight="1">
      <c r="A1277" s="2" t="s">
        <v>3440</v>
      </c>
      <c r="B1277" s="2" t="s">
        <v>3440</v>
      </c>
      <c r="C1277" s="2" t="s">
        <v>31</v>
      </c>
      <c r="D1277" s="2" t="s">
        <v>32</v>
      </c>
      <c r="E1277" s="5">
        <v>-30998</v>
      </c>
      <c r="F1277" s="3" t="s">
        <v>539</v>
      </c>
      <c r="G1277" s="3" t="s">
        <v>3441</v>
      </c>
      <c r="H1277" s="2" t="s">
        <v>72</v>
      </c>
      <c r="I1277" s="2" t="s">
        <v>3442</v>
      </c>
      <c r="J1277" s="3" t="str">
        <f>HYPERLINK("https://www.boe.es/gazeta/dias/1815/02/16/pdfs/GMD-1815-20.pdf#page=2","Abrir facsímil")</f>
        <v>Abrir facsímil</v>
      </c>
      <c r="K1277" s="3" t="s">
        <v>74</v>
      </c>
    </row>
    <row r="1278" spans="1:11" ht="42" customHeight="1">
      <c r="A1278" s="2" t="s">
        <v>3440</v>
      </c>
      <c r="B1278" s="2" t="s">
        <v>3440</v>
      </c>
      <c r="C1278" s="2" t="s">
        <v>897</v>
      </c>
      <c r="D1278" s="2" t="s">
        <v>50</v>
      </c>
      <c r="E1278" s="5">
        <v>-30872</v>
      </c>
      <c r="F1278" s="3" t="s">
        <v>167</v>
      </c>
      <c r="G1278" s="3" t="s">
        <v>3090</v>
      </c>
      <c r="H1278" s="2" t="s">
        <v>72</v>
      </c>
      <c r="I1278" s="2" t="s">
        <v>3443</v>
      </c>
      <c r="J1278" s="3" t="str">
        <f>HYPERLINK("https://www.boe.es/gazeta/dias/1815/06/22/pdfs/GMD-1815-75.pdf#page=3","Abrir facsímil")</f>
        <v>Abrir facsímil</v>
      </c>
      <c r="K1278" s="3" t="s">
        <v>74</v>
      </c>
    </row>
    <row r="1279" spans="1:11" ht="42" customHeight="1">
      <c r="A1279" s="2" t="s">
        <v>3440</v>
      </c>
      <c r="B1279" s="2" t="s">
        <v>3440</v>
      </c>
      <c r="C1279" s="2" t="s">
        <v>17</v>
      </c>
      <c r="D1279" s="2" t="s">
        <v>18</v>
      </c>
      <c r="E1279" s="5">
        <v>-30685</v>
      </c>
      <c r="F1279" s="3" t="s">
        <v>1453</v>
      </c>
      <c r="G1279" s="3" t="s">
        <v>377</v>
      </c>
      <c r="H1279" s="2" t="s">
        <v>72</v>
      </c>
      <c r="I1279" s="2" t="s">
        <v>3444</v>
      </c>
      <c r="J1279" s="3" t="str">
        <f>HYPERLINK("https://www.boe.es/gazeta/dias/1815/12/26/pdfs/GMD-1815-160.pdf#page=2","Abrir facsímil")</f>
        <v>Abrir facsímil</v>
      </c>
      <c r="K1279" s="3" t="s">
        <v>74</v>
      </c>
    </row>
    <row r="1280" spans="1:11" ht="42" customHeight="1">
      <c r="A1280" s="2" t="s">
        <v>3445</v>
      </c>
      <c r="B1280" s="2" t="s">
        <v>3446</v>
      </c>
      <c r="C1280" s="2" t="s">
        <v>31</v>
      </c>
      <c r="D1280" s="2" t="s">
        <v>32</v>
      </c>
      <c r="E1280" s="5">
        <v>-30921</v>
      </c>
      <c r="F1280" s="3" t="s">
        <v>191</v>
      </c>
      <c r="G1280" s="3" t="s">
        <v>71</v>
      </c>
      <c r="H1280" s="2" t="s">
        <v>72</v>
      </c>
      <c r="I1280" s="2" t="s">
        <v>3447</v>
      </c>
      <c r="J1280" s="3" t="str">
        <f>HYPERLINK("https://www.boe.es/gazeta/dias/1815/05/04/pdfs/GMD-1815-54.pdf#page=7","Abrir facsímil")</f>
        <v>Abrir facsímil</v>
      </c>
      <c r="K1280" s="3" t="s">
        <v>74</v>
      </c>
    </row>
    <row r="1281" spans="1:11" ht="42" customHeight="1">
      <c r="A1281" s="2" t="s">
        <v>3448</v>
      </c>
      <c r="B1281" s="2" t="s">
        <v>3448</v>
      </c>
      <c r="C1281" s="2" t="s">
        <v>31</v>
      </c>
      <c r="D1281" s="2" t="s">
        <v>32</v>
      </c>
      <c r="E1281" s="5">
        <v>-30923</v>
      </c>
      <c r="F1281" s="3" t="s">
        <v>524</v>
      </c>
      <c r="G1281" s="3" t="s">
        <v>27</v>
      </c>
      <c r="H1281" s="2" t="s">
        <v>72</v>
      </c>
      <c r="I1281" s="2" t="s">
        <v>3449</v>
      </c>
      <c r="J1281" s="3" t="str">
        <f>HYPERLINK("https://www.boe.es/gazeta/dias/1815/05/02/pdfs/GMD-1815-53.pdf#page=6","Abrir facsímil")</f>
        <v>Abrir facsímil</v>
      </c>
      <c r="K1281" s="3" t="s">
        <v>74</v>
      </c>
    </row>
    <row r="1282" spans="1:11" ht="42" customHeight="1">
      <c r="A1282" s="2" t="s">
        <v>3448</v>
      </c>
      <c r="B1282" s="2" t="s">
        <v>3448</v>
      </c>
      <c r="C1282" s="2" t="s">
        <v>17</v>
      </c>
      <c r="D1282" s="2" t="s">
        <v>18</v>
      </c>
      <c r="E1282" s="5">
        <v>-30692</v>
      </c>
      <c r="F1282" s="3" t="s">
        <v>508</v>
      </c>
      <c r="G1282" s="3" t="s">
        <v>1353</v>
      </c>
      <c r="H1282" s="2" t="s">
        <v>72</v>
      </c>
      <c r="I1282" s="2" t="s">
        <v>3450</v>
      </c>
      <c r="J1282" s="3" t="str">
        <f>HYPERLINK("https://www.boe.es/gazeta/dias/1815/12/19/pdfs/GMD-1815-157.pdf#page=7","Abrir facsímil")</f>
        <v>Abrir facsímil</v>
      </c>
      <c r="K1282" s="3" t="s">
        <v>74</v>
      </c>
    </row>
    <row r="1283" spans="1:11" ht="42" customHeight="1">
      <c r="A1283" s="2" t="s">
        <v>3451</v>
      </c>
      <c r="B1283" s="2" t="s">
        <v>3451</v>
      </c>
      <c r="C1283" s="2" t="s">
        <v>31</v>
      </c>
      <c r="D1283" s="2" t="s">
        <v>32</v>
      </c>
      <c r="E1283" s="5">
        <v>-30916</v>
      </c>
      <c r="F1283" s="3" t="s">
        <v>147</v>
      </c>
      <c r="G1283" s="3" t="s">
        <v>377</v>
      </c>
      <c r="H1283" s="2" t="s">
        <v>72</v>
      </c>
      <c r="I1283" s="2" t="s">
        <v>3452</v>
      </c>
      <c r="J1283" s="3" t="str">
        <f>HYPERLINK("https://www.boe.es/gazeta/dias/1815/05/09/pdfs/GMD-1815-56.pdf#page=2","Abrir facsímil")</f>
        <v>Abrir facsímil</v>
      </c>
      <c r="K1283" s="3" t="s">
        <v>74</v>
      </c>
    </row>
    <row r="1284" spans="1:11" ht="42" customHeight="1">
      <c r="A1284" s="2" t="s">
        <v>3453</v>
      </c>
      <c r="B1284" s="2" t="s">
        <v>3453</v>
      </c>
      <c r="C1284" s="2" t="s">
        <v>49</v>
      </c>
      <c r="D1284" s="2" t="s">
        <v>50</v>
      </c>
      <c r="E1284" s="5">
        <v>-30821</v>
      </c>
      <c r="F1284" s="3" t="s">
        <v>915</v>
      </c>
      <c r="G1284" s="3" t="s">
        <v>1304</v>
      </c>
      <c r="H1284" s="2" t="s">
        <v>72</v>
      </c>
      <c r="I1284" s="2" t="s">
        <v>3454</v>
      </c>
      <c r="J1284" s="3" t="str">
        <f>HYPERLINK("https://www.boe.es/gazeta/dias/1815/08/12/pdfs/GMD-1815-99.pdf#page=4","Abrir facsímil")</f>
        <v>Abrir facsímil</v>
      </c>
      <c r="K1284" s="3" t="s">
        <v>74</v>
      </c>
    </row>
    <row r="1285" spans="1:11" ht="42" customHeight="1">
      <c r="A1285" s="2" t="s">
        <v>3455</v>
      </c>
      <c r="B1285" s="2" t="s">
        <v>3456</v>
      </c>
      <c r="C1285" s="2" t="s">
        <v>49</v>
      </c>
      <c r="D1285" s="2" t="s">
        <v>50</v>
      </c>
      <c r="E1285" s="5">
        <v>-30713</v>
      </c>
      <c r="F1285" s="3" t="s">
        <v>895</v>
      </c>
      <c r="G1285" s="3" t="s">
        <v>71</v>
      </c>
      <c r="H1285" s="2" t="s">
        <v>21</v>
      </c>
      <c r="I1285" s="2" t="s">
        <v>3457</v>
      </c>
      <c r="J1285" s="3" t="str">
        <f>HYPERLINK("https://www.boe.es/gazeta/dias/1815/11/28/pdfs/GMD-1815-148.pdf#page=7","Abrir facsímil")</f>
        <v>Abrir facsímil</v>
      </c>
      <c r="K1285" s="3" t="s">
        <v>23</v>
      </c>
    </row>
    <row r="1286" spans="1:11" ht="42" customHeight="1">
      <c r="A1286" s="2" t="s">
        <v>3458</v>
      </c>
      <c r="B1286" s="2" t="s">
        <v>3459</v>
      </c>
      <c r="C1286" s="2" t="s">
        <v>17</v>
      </c>
      <c r="D1286" s="2" t="s">
        <v>18</v>
      </c>
      <c r="E1286" s="5">
        <v>-30804</v>
      </c>
      <c r="F1286" s="3" t="s">
        <v>891</v>
      </c>
      <c r="G1286" s="3" t="s">
        <v>38</v>
      </c>
      <c r="H1286" s="2" t="s">
        <v>21</v>
      </c>
      <c r="I1286" s="2" t="s">
        <v>3460</v>
      </c>
      <c r="J1286" s="3" t="str">
        <f>HYPERLINK("https://www.boe.es/gazeta/dias/1815/08/29/pdfs/GMD-1815-106.pdf#page=8","Abrir facsímil")</f>
        <v>Abrir facsímil</v>
      </c>
      <c r="K1286" s="3" t="s">
        <v>23</v>
      </c>
    </row>
    <row r="1287" spans="1:11" ht="42" customHeight="1">
      <c r="A1287" s="2" t="s">
        <v>3461</v>
      </c>
      <c r="B1287" s="2" t="s">
        <v>3462</v>
      </c>
      <c r="C1287" s="2" t="s">
        <v>31</v>
      </c>
      <c r="D1287" s="2" t="s">
        <v>179</v>
      </c>
      <c r="E1287" s="5">
        <v>-30860</v>
      </c>
      <c r="F1287" s="3" t="s">
        <v>180</v>
      </c>
      <c r="G1287" s="3" t="s">
        <v>20</v>
      </c>
      <c r="H1287" s="2" t="s">
        <v>21</v>
      </c>
      <c r="I1287" s="2" t="s">
        <v>3463</v>
      </c>
      <c r="J1287" s="3" t="str">
        <f>HYPERLINK("https://www.boe.es/gazeta/dias/1815/07/04/pdfs/GMD-1815-82E.pdf#page=4","Abrir facsímil")</f>
        <v>Abrir facsímil</v>
      </c>
      <c r="K1287" s="3" t="s">
        <v>23</v>
      </c>
    </row>
    <row r="1288" spans="1:11" ht="42" customHeight="1">
      <c r="A1288" s="2" t="s">
        <v>3464</v>
      </c>
      <c r="B1288" s="2" t="s">
        <v>3465</v>
      </c>
      <c r="C1288" s="2" t="s">
        <v>49</v>
      </c>
      <c r="D1288" s="2" t="s">
        <v>50</v>
      </c>
      <c r="E1288" s="5">
        <v>-30830</v>
      </c>
      <c r="F1288" s="3" t="s">
        <v>33</v>
      </c>
      <c r="G1288" s="3" t="s">
        <v>52</v>
      </c>
      <c r="H1288" s="2" t="s">
        <v>72</v>
      </c>
      <c r="I1288" s="2" t="s">
        <v>3466</v>
      </c>
      <c r="J1288" s="3" t="str">
        <f>HYPERLINK("https://www.boe.es/gazeta/dias/1815/08/03/pdfs/GMD-1815-95.pdf#page=11","Abrir facsímil")</f>
        <v>Abrir facsímil</v>
      </c>
      <c r="K1288" s="3" t="s">
        <v>74</v>
      </c>
    </row>
    <row r="1289" spans="1:11" ht="42" customHeight="1">
      <c r="A1289" s="2" t="s">
        <v>3467</v>
      </c>
      <c r="B1289" s="2" t="s">
        <v>3468</v>
      </c>
      <c r="C1289" s="2" t="s">
        <v>31</v>
      </c>
      <c r="D1289" s="2" t="s">
        <v>32</v>
      </c>
      <c r="E1289" s="5">
        <v>-30921</v>
      </c>
      <c r="F1289" s="3" t="s">
        <v>191</v>
      </c>
      <c r="G1289" s="3" t="s">
        <v>71</v>
      </c>
      <c r="H1289" s="2" t="s">
        <v>72</v>
      </c>
      <c r="I1289" s="2" t="s">
        <v>3469</v>
      </c>
      <c r="J1289" s="3" t="str">
        <f>HYPERLINK("https://www.boe.es/gazeta/dias/1815/05/04/pdfs/GMD-1815-54.pdf#page=7","Abrir facsímil")</f>
        <v>Abrir facsímil</v>
      </c>
      <c r="K1289" s="3" t="s">
        <v>74</v>
      </c>
    </row>
    <row r="1290" spans="1:11" ht="42" customHeight="1">
      <c r="A1290" s="2" t="s">
        <v>3470</v>
      </c>
      <c r="B1290" s="2" t="s">
        <v>3470</v>
      </c>
      <c r="C1290" s="2" t="s">
        <v>49</v>
      </c>
      <c r="D1290" s="2" t="s">
        <v>50</v>
      </c>
      <c r="E1290" s="5">
        <v>-30963</v>
      </c>
      <c r="F1290" s="3" t="s">
        <v>879</v>
      </c>
      <c r="G1290" s="3" t="s">
        <v>97</v>
      </c>
      <c r="H1290" s="2" t="s">
        <v>72</v>
      </c>
      <c r="I1290" s="2" t="s">
        <v>3471</v>
      </c>
      <c r="J1290" s="3" t="str">
        <f>HYPERLINK("https://www.boe.es/gazeta/dias/1815/03/23/pdfs/GMD-1815-35.pdf#page=3","Abrir facsímil")</f>
        <v>Abrir facsímil</v>
      </c>
      <c r="K1290" s="3" t="s">
        <v>74</v>
      </c>
    </row>
    <row r="1291" spans="1:11" ht="42" customHeight="1">
      <c r="A1291" s="2" t="s">
        <v>3472</v>
      </c>
      <c r="B1291" s="2" t="s">
        <v>3472</v>
      </c>
      <c r="C1291" s="2" t="s">
        <v>49</v>
      </c>
      <c r="D1291" s="2" t="s">
        <v>50</v>
      </c>
      <c r="E1291" s="5">
        <v>-31021</v>
      </c>
      <c r="F1291" s="3" t="s">
        <v>481</v>
      </c>
      <c r="G1291" s="3" t="s">
        <v>377</v>
      </c>
      <c r="H1291" s="2" t="s">
        <v>72</v>
      </c>
      <c r="I1291" s="2" t="s">
        <v>3473</v>
      </c>
      <c r="J1291" s="3" t="str">
        <f>HYPERLINK("https://www.boe.es/gazeta/dias/1815/01/24/pdfs/GMD-1815-10.pdf#page=2","Abrir facsímil")</f>
        <v>Abrir facsímil</v>
      </c>
      <c r="K1291" s="3" t="s">
        <v>74</v>
      </c>
    </row>
    <row r="1292" spans="1:11" ht="42" customHeight="1">
      <c r="A1292" s="2" t="s">
        <v>3474</v>
      </c>
      <c r="B1292" s="2" t="s">
        <v>3475</v>
      </c>
      <c r="C1292" s="2" t="s">
        <v>49</v>
      </c>
      <c r="D1292" s="2" t="s">
        <v>50</v>
      </c>
      <c r="E1292" s="5">
        <v>-30825</v>
      </c>
      <c r="F1292" s="3" t="s">
        <v>669</v>
      </c>
      <c r="G1292" s="3" t="s">
        <v>88</v>
      </c>
      <c r="H1292" s="2" t="s">
        <v>72</v>
      </c>
      <c r="I1292" s="2" t="s">
        <v>3476</v>
      </c>
      <c r="J1292" s="3" t="str">
        <f>HYPERLINK("https://www.boe.es/gazeta/dias/1815/08/08/pdfs/GMD-1815-97.pdf#page=10","Abrir facsímil")</f>
        <v>Abrir facsímil</v>
      </c>
      <c r="K1292" s="3" t="s">
        <v>74</v>
      </c>
    </row>
    <row r="1293" spans="1:11" ht="42" customHeight="1">
      <c r="A1293" s="2" t="s">
        <v>3477</v>
      </c>
      <c r="B1293" s="2" t="s">
        <v>3478</v>
      </c>
      <c r="C1293" s="2" t="s">
        <v>49</v>
      </c>
      <c r="D1293" s="2" t="s">
        <v>50</v>
      </c>
      <c r="E1293" s="5">
        <v>-30863</v>
      </c>
      <c r="F1293" s="3" t="s">
        <v>110</v>
      </c>
      <c r="G1293" s="3" t="s">
        <v>224</v>
      </c>
      <c r="H1293" s="2" t="s">
        <v>72</v>
      </c>
      <c r="I1293" s="2" t="s">
        <v>3479</v>
      </c>
      <c r="J1293" s="3" t="str">
        <f>HYPERLINK("https://www.boe.es/gazeta/dias/1815/07/01/pdfs/GMD-1815-79.pdf#page=9","Abrir facsímil")</f>
        <v>Abrir facsímil</v>
      </c>
      <c r="K1293" s="3" t="s">
        <v>74</v>
      </c>
    </row>
    <row r="1294" spans="1:11" ht="42" customHeight="1">
      <c r="A1294" s="2" t="s">
        <v>3480</v>
      </c>
      <c r="B1294" s="2" t="s">
        <v>3481</v>
      </c>
      <c r="C1294" s="2" t="s">
        <v>31</v>
      </c>
      <c r="D1294" s="2" t="s">
        <v>32</v>
      </c>
      <c r="E1294" s="5">
        <v>-30863</v>
      </c>
      <c r="F1294" s="3" t="s">
        <v>110</v>
      </c>
      <c r="G1294" s="3" t="s">
        <v>88</v>
      </c>
      <c r="H1294" s="2" t="s">
        <v>72</v>
      </c>
      <c r="I1294" s="2" t="s">
        <v>3482</v>
      </c>
      <c r="J1294" s="3" t="str">
        <f>HYPERLINK("https://www.boe.es/gazeta/dias/1815/07/01/pdfs/GMD-1815-79.pdf#page=10","Abrir facsímil")</f>
        <v>Abrir facsímil</v>
      </c>
      <c r="K1294" s="3" t="s">
        <v>74</v>
      </c>
    </row>
    <row r="1295" spans="1:11" ht="42" customHeight="1">
      <c r="A1295" s="2" t="s">
        <v>3483</v>
      </c>
      <c r="B1295" s="2" t="s">
        <v>3484</v>
      </c>
      <c r="C1295" s="2" t="s">
        <v>49</v>
      </c>
      <c r="D1295" s="2" t="s">
        <v>50</v>
      </c>
      <c r="E1295" s="5">
        <v>-30870</v>
      </c>
      <c r="F1295" s="3" t="s">
        <v>122</v>
      </c>
      <c r="G1295" s="3" t="s">
        <v>88</v>
      </c>
      <c r="H1295" s="2" t="s">
        <v>72</v>
      </c>
      <c r="I1295" s="2" t="s">
        <v>3485</v>
      </c>
      <c r="J1295" s="3" t="str">
        <f>HYPERLINK("https://www.boe.es/gazeta/dias/1815/06/24/pdfs/GMD-1815-76.pdf#page=10","Abrir facsímil")</f>
        <v>Abrir facsímil</v>
      </c>
      <c r="K1295" s="3" t="s">
        <v>74</v>
      </c>
    </row>
    <row r="1296" spans="1:11" ht="42" customHeight="1">
      <c r="A1296" s="2" t="s">
        <v>3486</v>
      </c>
      <c r="B1296" s="2" t="s">
        <v>3487</v>
      </c>
      <c r="C1296" s="2" t="s">
        <v>31</v>
      </c>
      <c r="D1296" s="2" t="s">
        <v>32</v>
      </c>
      <c r="E1296" s="5">
        <v>-30718</v>
      </c>
      <c r="F1296" s="3" t="s">
        <v>3115</v>
      </c>
      <c r="G1296" s="3" t="s">
        <v>3488</v>
      </c>
      <c r="H1296" s="2" t="s">
        <v>72</v>
      </c>
      <c r="I1296" s="2" t="s">
        <v>3489</v>
      </c>
      <c r="J1296" s="3" t="str">
        <f>HYPERLINK("https://www.boe.es/gazeta/dias/1815/11/23/pdfs/GMD-1815-146.pdf#page=7","Abrir facsímil")</f>
        <v>Abrir facsímil</v>
      </c>
      <c r="K1296" s="3" t="s">
        <v>74</v>
      </c>
    </row>
    <row r="1297" spans="1:11" ht="42" customHeight="1">
      <c r="A1297" s="2" t="s">
        <v>3490</v>
      </c>
      <c r="B1297" s="2" t="s">
        <v>3490</v>
      </c>
      <c r="C1297" s="2" t="s">
        <v>17</v>
      </c>
      <c r="D1297" s="2" t="s">
        <v>18</v>
      </c>
      <c r="E1297" s="5">
        <v>-30942</v>
      </c>
      <c r="F1297" s="3" t="s">
        <v>730</v>
      </c>
      <c r="G1297" s="3" t="s">
        <v>97</v>
      </c>
      <c r="H1297" s="2" t="s">
        <v>72</v>
      </c>
      <c r="I1297" s="2" t="s">
        <v>3491</v>
      </c>
      <c r="J1297" s="3" t="str">
        <f>HYPERLINK("https://www.boe.es/gazeta/dias/1815/04/13/pdfs/GMD-1815-45.pdf#page=3","Abrir facsímil")</f>
        <v>Abrir facsímil</v>
      </c>
      <c r="K1297" s="3" t="s">
        <v>74</v>
      </c>
    </row>
    <row r="1298" spans="1:11" ht="42" customHeight="1">
      <c r="A1298" s="2" t="s">
        <v>3492</v>
      </c>
      <c r="B1298" s="2" t="s">
        <v>3492</v>
      </c>
      <c r="C1298" s="2" t="s">
        <v>49</v>
      </c>
      <c r="D1298" s="2" t="s">
        <v>50</v>
      </c>
      <c r="E1298" s="5">
        <v>-30977</v>
      </c>
      <c r="F1298" s="3" t="s">
        <v>37</v>
      </c>
      <c r="G1298" s="3" t="s">
        <v>410</v>
      </c>
      <c r="H1298" s="2" t="s">
        <v>72</v>
      </c>
      <c r="I1298" s="2" t="s">
        <v>3493</v>
      </c>
      <c r="J1298" s="3" t="str">
        <f>HYPERLINK("https://www.boe.es/gazeta/dias/1815/03/09/pdfs/GMD-1815-29.pdf#page=1","Abrir facsímil")</f>
        <v>Abrir facsímil</v>
      </c>
      <c r="K1298" s="3" t="s">
        <v>74</v>
      </c>
    </row>
    <row r="1299" spans="1:11" ht="42" customHeight="1">
      <c r="A1299" s="2" t="s">
        <v>3492</v>
      </c>
      <c r="B1299" s="2" t="s">
        <v>3492</v>
      </c>
      <c r="C1299" s="2" t="s">
        <v>31</v>
      </c>
      <c r="D1299" s="2" t="s">
        <v>32</v>
      </c>
      <c r="E1299" s="5">
        <v>-30972</v>
      </c>
      <c r="F1299" s="3" t="s">
        <v>1382</v>
      </c>
      <c r="G1299" s="3" t="s">
        <v>97</v>
      </c>
      <c r="H1299" s="2" t="s">
        <v>72</v>
      </c>
      <c r="I1299" s="2" t="s">
        <v>3494</v>
      </c>
      <c r="J1299" s="3" t="str">
        <f>HYPERLINK("https://www.boe.es/gazeta/dias/1815/03/14/pdfs/GMD-1815-31.pdf#page=3","Abrir facsímil")</f>
        <v>Abrir facsímil</v>
      </c>
      <c r="K1299" s="3" t="s">
        <v>74</v>
      </c>
    </row>
    <row r="1300" spans="1:11" ht="42" customHeight="1">
      <c r="A1300" s="2" t="s">
        <v>3492</v>
      </c>
      <c r="B1300" s="2" t="s">
        <v>3492</v>
      </c>
      <c r="C1300" s="2" t="s">
        <v>31</v>
      </c>
      <c r="D1300" s="2" t="s">
        <v>32</v>
      </c>
      <c r="E1300" s="5">
        <v>-30937</v>
      </c>
      <c r="F1300" s="3" t="s">
        <v>322</v>
      </c>
      <c r="G1300" s="3" t="s">
        <v>20</v>
      </c>
      <c r="H1300" s="2" t="s">
        <v>72</v>
      </c>
      <c r="I1300" s="2" t="s">
        <v>3495</v>
      </c>
      <c r="J1300" s="3" t="str">
        <f>HYPERLINK("https://www.boe.es/gazeta/dias/1815/04/18/pdfs/GMD-1815-47.pdf#page=4","Abrir facsímil")</f>
        <v>Abrir facsímil</v>
      </c>
      <c r="K1300" s="3" t="s">
        <v>74</v>
      </c>
    </row>
    <row r="1301" spans="1:11" ht="42" customHeight="1">
      <c r="A1301" s="2" t="s">
        <v>3496</v>
      </c>
      <c r="B1301" s="2" t="s">
        <v>3496</v>
      </c>
      <c r="C1301" s="2" t="s">
        <v>31</v>
      </c>
      <c r="D1301" s="2" t="s">
        <v>32</v>
      </c>
      <c r="E1301" s="5">
        <v>-30681</v>
      </c>
      <c r="F1301" s="3" t="s">
        <v>2093</v>
      </c>
      <c r="G1301" s="3" t="s">
        <v>20</v>
      </c>
      <c r="H1301" s="2" t="s">
        <v>72</v>
      </c>
      <c r="I1301" s="2" t="s">
        <v>3497</v>
      </c>
      <c r="J1301" s="3" t="str">
        <f>HYPERLINK("https://www.boe.es/gazeta/dias/1815/12/30/pdfs/GMD-1815-162.pdf#page=4","Abrir facsímil")</f>
        <v>Abrir facsímil</v>
      </c>
      <c r="K1301" s="3" t="s">
        <v>74</v>
      </c>
    </row>
    <row r="1302" spans="1:11" ht="42" customHeight="1">
      <c r="A1302" s="2" t="s">
        <v>3498</v>
      </c>
      <c r="B1302" s="2" t="s">
        <v>3498</v>
      </c>
      <c r="C1302" s="2" t="s">
        <v>31</v>
      </c>
      <c r="D1302" s="2" t="s">
        <v>32</v>
      </c>
      <c r="E1302" s="5">
        <v>-30970</v>
      </c>
      <c r="F1302" s="3" t="s">
        <v>436</v>
      </c>
      <c r="G1302" s="3" t="s">
        <v>97</v>
      </c>
      <c r="H1302" s="2" t="s">
        <v>72</v>
      </c>
      <c r="I1302" s="2" t="s">
        <v>3499</v>
      </c>
      <c r="J1302" s="3" t="str">
        <f>HYPERLINK("https://www.boe.es/gazeta/dias/1815/03/16/pdfs/GMD-1815-32.pdf#page=3","Abrir facsímil")</f>
        <v>Abrir facsímil</v>
      </c>
      <c r="K1302" s="3" t="s">
        <v>74</v>
      </c>
    </row>
    <row r="1303" spans="1:11" ht="42" customHeight="1">
      <c r="A1303" s="2" t="s">
        <v>3500</v>
      </c>
      <c r="B1303" s="2" t="s">
        <v>3501</v>
      </c>
      <c r="C1303" s="2" t="s">
        <v>49</v>
      </c>
      <c r="D1303" s="2" t="s">
        <v>50</v>
      </c>
      <c r="E1303" s="5">
        <v>-30865</v>
      </c>
      <c r="F1303" s="3" t="s">
        <v>163</v>
      </c>
      <c r="G1303" s="3" t="s">
        <v>71</v>
      </c>
      <c r="H1303" s="2" t="s">
        <v>72</v>
      </c>
      <c r="I1303" s="2" t="s">
        <v>3502</v>
      </c>
      <c r="J1303" s="3" t="str">
        <f>HYPERLINK("https://www.boe.es/gazeta/dias/1815/06/29/pdfs/GMD-1815-78.pdf#page=7","Abrir facsímil")</f>
        <v>Abrir facsímil</v>
      </c>
      <c r="K1303" s="3" t="s">
        <v>74</v>
      </c>
    </row>
    <row r="1304" spans="1:11" ht="42" customHeight="1">
      <c r="A1304" s="2" t="s">
        <v>3503</v>
      </c>
      <c r="B1304" s="2" t="s">
        <v>3504</v>
      </c>
      <c r="C1304" s="2" t="s">
        <v>49</v>
      </c>
      <c r="D1304" s="2" t="s">
        <v>50</v>
      </c>
      <c r="E1304" s="5">
        <v>-30853</v>
      </c>
      <c r="F1304" s="3" t="s">
        <v>1473</v>
      </c>
      <c r="G1304" s="3" t="s">
        <v>3505</v>
      </c>
      <c r="H1304" s="2" t="s">
        <v>72</v>
      </c>
      <c r="I1304" s="2" t="s">
        <v>3506</v>
      </c>
      <c r="J1304" s="3" t="str">
        <f>HYPERLINK("https://www.boe.es/gazeta/dias/1815/07/11/pdfs/GMD-1815-85.pdf#page=4","Abrir facsímil")</f>
        <v>Abrir facsímil</v>
      </c>
      <c r="K1304" s="3" t="s">
        <v>74</v>
      </c>
    </row>
    <row r="1305" spans="1:11" ht="42" customHeight="1">
      <c r="A1305" s="2" t="s">
        <v>3507</v>
      </c>
      <c r="B1305" s="2" t="s">
        <v>3508</v>
      </c>
      <c r="C1305" s="2" t="s">
        <v>61</v>
      </c>
      <c r="D1305" s="2" t="s">
        <v>50</v>
      </c>
      <c r="E1305" s="5">
        <v>-30991</v>
      </c>
      <c r="F1305" s="3" t="s">
        <v>318</v>
      </c>
      <c r="G1305" s="3" t="s">
        <v>1829</v>
      </c>
      <c r="H1305" s="2" t="s">
        <v>72</v>
      </c>
      <c r="I1305" s="2" t="s">
        <v>3509</v>
      </c>
      <c r="J1305" s="3" t="str">
        <f>HYPERLINK("https://www.boe.es/gazeta/dias/1815/02/23/pdfs/GMD-1815-23.pdf#page=8","Abrir facsímil")</f>
        <v>Abrir facsímil</v>
      </c>
      <c r="K1305" s="3" t="s">
        <v>74</v>
      </c>
    </row>
    <row r="1306" spans="1:11" ht="42" customHeight="1">
      <c r="A1306" s="2" t="s">
        <v>3510</v>
      </c>
      <c r="B1306" s="2" t="s">
        <v>3510</v>
      </c>
      <c r="C1306" s="2" t="s">
        <v>31</v>
      </c>
      <c r="D1306" s="2" t="s">
        <v>32</v>
      </c>
      <c r="E1306" s="5">
        <v>-30823</v>
      </c>
      <c r="F1306" s="3" t="s">
        <v>305</v>
      </c>
      <c r="G1306" s="3" t="s">
        <v>377</v>
      </c>
      <c r="H1306" s="2" t="s">
        <v>72</v>
      </c>
      <c r="I1306" s="2" t="s">
        <v>3511</v>
      </c>
      <c r="J1306" s="3" t="str">
        <f>HYPERLINK("https://www.boe.es/gazeta/dias/1815/08/10/pdfs/GMD-1815-98.pdf#page=2","Abrir facsímil")</f>
        <v>Abrir facsímil</v>
      </c>
      <c r="K1306" s="3" t="s">
        <v>74</v>
      </c>
    </row>
    <row r="1307" spans="1:11" ht="42" customHeight="1">
      <c r="A1307" s="2" t="s">
        <v>3512</v>
      </c>
      <c r="B1307" s="2" t="s">
        <v>3513</v>
      </c>
      <c r="C1307" s="2" t="s">
        <v>49</v>
      </c>
      <c r="D1307" s="2" t="s">
        <v>50</v>
      </c>
      <c r="E1307" s="5">
        <v>-30865</v>
      </c>
      <c r="F1307" s="3" t="s">
        <v>163</v>
      </c>
      <c r="G1307" s="3" t="s">
        <v>71</v>
      </c>
      <c r="H1307" s="2" t="s">
        <v>72</v>
      </c>
      <c r="I1307" s="2" t="s">
        <v>3514</v>
      </c>
      <c r="J1307" s="3" t="str">
        <f>HYPERLINK("https://www.boe.es/gazeta/dias/1815/06/29/pdfs/GMD-1815-78.pdf#page=7","Abrir facsímil")</f>
        <v>Abrir facsímil</v>
      </c>
      <c r="K1307" s="3" t="s">
        <v>74</v>
      </c>
    </row>
    <row r="1308" spans="1:11" ht="42" customHeight="1">
      <c r="A1308" s="2" t="s">
        <v>3515</v>
      </c>
      <c r="B1308" s="2" t="s">
        <v>3515</v>
      </c>
      <c r="C1308" s="2" t="s">
        <v>49</v>
      </c>
      <c r="D1308" s="2" t="s">
        <v>50</v>
      </c>
      <c r="E1308" s="5">
        <v>-30821</v>
      </c>
      <c r="F1308" s="3" t="s">
        <v>915</v>
      </c>
      <c r="G1308" s="3" t="s">
        <v>1304</v>
      </c>
      <c r="H1308" s="2" t="s">
        <v>72</v>
      </c>
      <c r="I1308" s="2" t="s">
        <v>3516</v>
      </c>
      <c r="J1308" s="3" t="str">
        <f>HYPERLINK("https://www.boe.es/gazeta/dias/1815/08/12/pdfs/GMD-1815-99.pdf#page=4","Abrir facsímil")</f>
        <v>Abrir facsímil</v>
      </c>
      <c r="K1308" s="3" t="s">
        <v>74</v>
      </c>
    </row>
    <row r="1309" spans="1:11" ht="42" customHeight="1">
      <c r="A1309" s="2" t="s">
        <v>3517</v>
      </c>
      <c r="B1309" s="2" t="s">
        <v>3517</v>
      </c>
      <c r="C1309" s="2" t="s">
        <v>31</v>
      </c>
      <c r="D1309" s="2" t="s">
        <v>32</v>
      </c>
      <c r="E1309" s="5">
        <v>-30858</v>
      </c>
      <c r="F1309" s="3" t="s">
        <v>1928</v>
      </c>
      <c r="G1309" s="3" t="s">
        <v>377</v>
      </c>
      <c r="H1309" s="2" t="s">
        <v>72</v>
      </c>
      <c r="I1309" s="2" t="s">
        <v>3518</v>
      </c>
      <c r="J1309" s="3" t="str">
        <f>HYPERLINK("https://www.boe.es/gazeta/dias/1815/07/06/pdfs/GMD-1815-83.pdf#page=2","Abrir facsímil")</f>
        <v>Abrir facsímil</v>
      </c>
      <c r="K1309" s="3" t="s">
        <v>74</v>
      </c>
    </row>
    <row r="1310" spans="1:11" ht="42" customHeight="1">
      <c r="A1310" s="2" t="s">
        <v>3519</v>
      </c>
      <c r="B1310" s="2" t="s">
        <v>3520</v>
      </c>
      <c r="C1310" s="2" t="s">
        <v>81</v>
      </c>
      <c r="D1310" s="2" t="s">
        <v>50</v>
      </c>
      <c r="E1310" s="5">
        <v>-30937</v>
      </c>
      <c r="F1310" s="3" t="s">
        <v>322</v>
      </c>
      <c r="G1310" s="3" t="s">
        <v>3521</v>
      </c>
      <c r="H1310" s="2" t="s">
        <v>72</v>
      </c>
      <c r="I1310" s="2" t="s">
        <v>3522</v>
      </c>
      <c r="J1310" s="3" t="str">
        <f>HYPERLINK("https://www.boe.es/gazeta/dias/1815/04/18/pdfs/GMD-1815-47.pdf#page=8","Abrir facsímil")</f>
        <v>Abrir facsímil</v>
      </c>
      <c r="K1310" s="3" t="s">
        <v>74</v>
      </c>
    </row>
    <row r="1311" spans="1:11" ht="42" customHeight="1">
      <c r="A1311" s="2" t="s">
        <v>3523</v>
      </c>
      <c r="B1311" s="2" t="s">
        <v>3524</v>
      </c>
      <c r="C1311" s="2" t="s">
        <v>31</v>
      </c>
      <c r="D1311" s="2" t="s">
        <v>32</v>
      </c>
      <c r="E1311" s="5">
        <v>-30958</v>
      </c>
      <c r="F1311" s="3" t="s">
        <v>297</v>
      </c>
      <c r="G1311" s="3" t="s">
        <v>27</v>
      </c>
      <c r="H1311" s="2" t="s">
        <v>72</v>
      </c>
      <c r="I1311" s="2" t="s">
        <v>3525</v>
      </c>
      <c r="J1311" s="3" t="str">
        <f>HYPERLINK("https://www.boe.es/gazeta/dias/1815/03/28/pdfs/GMD-1815-37.pdf#page=6","Abrir facsímil")</f>
        <v>Abrir facsímil</v>
      </c>
      <c r="K1311" s="3" t="s">
        <v>74</v>
      </c>
    </row>
    <row r="1312" spans="1:11" ht="42" customHeight="1">
      <c r="A1312" s="2" t="s">
        <v>3526</v>
      </c>
      <c r="B1312" s="2" t="s">
        <v>3527</v>
      </c>
      <c r="C1312" s="2" t="s">
        <v>31</v>
      </c>
      <c r="D1312" s="2" t="s">
        <v>32</v>
      </c>
      <c r="E1312" s="5">
        <v>-30772</v>
      </c>
      <c r="F1312" s="3" t="s">
        <v>216</v>
      </c>
      <c r="G1312" s="3" t="s">
        <v>27</v>
      </c>
      <c r="H1312" s="2" t="s">
        <v>72</v>
      </c>
      <c r="I1312" s="2" t="s">
        <v>3528</v>
      </c>
      <c r="J1312" s="3" t="str">
        <f>HYPERLINK("https://www.boe.es/gazeta/dias/1815/09/30/pdfs/GMD-1815-123.pdf#page=6","Abrir facsímil")</f>
        <v>Abrir facsímil</v>
      </c>
      <c r="K1312" s="3" t="s">
        <v>74</v>
      </c>
    </row>
    <row r="1313" spans="1:11" ht="42" customHeight="1">
      <c r="A1313" s="2" t="s">
        <v>3529</v>
      </c>
      <c r="B1313" s="2" t="s">
        <v>3529</v>
      </c>
      <c r="C1313" s="2" t="s">
        <v>49</v>
      </c>
      <c r="D1313" s="2" t="s">
        <v>50</v>
      </c>
      <c r="E1313" s="5">
        <v>-30933</v>
      </c>
      <c r="F1313" s="3" t="s">
        <v>725</v>
      </c>
      <c r="G1313" s="3" t="s">
        <v>27</v>
      </c>
      <c r="H1313" s="2" t="s">
        <v>72</v>
      </c>
      <c r="I1313" s="2" t="s">
        <v>3530</v>
      </c>
      <c r="J1313" s="3" t="str">
        <f>HYPERLINK("https://www.boe.es/gazeta/dias/1815/04/22/pdfs/GMD-1815-49.pdf#page=6","Abrir facsímil")</f>
        <v>Abrir facsímil</v>
      </c>
      <c r="K1313" s="3" t="s">
        <v>74</v>
      </c>
    </row>
    <row r="1314" spans="1:11" ht="42" customHeight="1">
      <c r="A1314" s="2" t="s">
        <v>3531</v>
      </c>
      <c r="B1314" s="2" t="s">
        <v>3532</v>
      </c>
      <c r="C1314" s="2" t="s">
        <v>31</v>
      </c>
      <c r="D1314" s="2" t="s">
        <v>32</v>
      </c>
      <c r="E1314" s="5">
        <v>-30891</v>
      </c>
      <c r="F1314" s="3" t="s">
        <v>498</v>
      </c>
      <c r="G1314" s="3" t="s">
        <v>27</v>
      </c>
      <c r="H1314" s="2" t="s">
        <v>72</v>
      </c>
      <c r="I1314" s="2" t="s">
        <v>3533</v>
      </c>
      <c r="J1314" s="3" t="str">
        <f>HYPERLINK("https://www.boe.es/gazeta/dias/1815/06/03/pdfs/GMD-1815-67.pdf#page=6","Abrir facsímil")</f>
        <v>Abrir facsímil</v>
      </c>
      <c r="K1314" s="3" t="s">
        <v>74</v>
      </c>
    </row>
    <row r="1315" spans="1:11" ht="42" customHeight="1">
      <c r="A1315" s="2" t="s">
        <v>3534</v>
      </c>
      <c r="B1315" s="2" t="s">
        <v>3534</v>
      </c>
      <c r="C1315" s="2" t="s">
        <v>31</v>
      </c>
      <c r="D1315" s="2" t="s">
        <v>32</v>
      </c>
      <c r="E1315" s="5">
        <v>-30823</v>
      </c>
      <c r="F1315" s="3" t="s">
        <v>305</v>
      </c>
      <c r="G1315" s="3" t="s">
        <v>20</v>
      </c>
      <c r="H1315" s="2" t="s">
        <v>72</v>
      </c>
      <c r="I1315" s="2" t="s">
        <v>3535</v>
      </c>
      <c r="J1315" s="3" t="str">
        <f>HYPERLINK("https://www.boe.es/gazeta/dias/1815/08/10/pdfs/GMD-1815-98.pdf#page=4","Abrir facsímil")</f>
        <v>Abrir facsímil</v>
      </c>
      <c r="K1315" s="3" t="s">
        <v>74</v>
      </c>
    </row>
    <row r="1316" spans="1:11" ht="42" customHeight="1">
      <c r="A1316" s="2" t="s">
        <v>3534</v>
      </c>
      <c r="B1316" s="2" t="s">
        <v>3534</v>
      </c>
      <c r="C1316" s="2" t="s">
        <v>31</v>
      </c>
      <c r="D1316" s="2" t="s">
        <v>32</v>
      </c>
      <c r="E1316" s="5">
        <v>-30711</v>
      </c>
      <c r="F1316" s="3" t="s">
        <v>438</v>
      </c>
      <c r="G1316" s="3" t="s">
        <v>410</v>
      </c>
      <c r="H1316" s="2" t="s">
        <v>72</v>
      </c>
      <c r="I1316" s="2" t="s">
        <v>3536</v>
      </c>
      <c r="J1316" s="3" t="str">
        <f>HYPERLINK("https://www.boe.es/gazeta/dias/1815/11/30/pdfs/GMD-1815-149.pdf#page=1","Abrir facsímil")</f>
        <v>Abrir facsímil</v>
      </c>
      <c r="K1316" s="3" t="s">
        <v>74</v>
      </c>
    </row>
    <row r="1317" spans="1:11" ht="42" customHeight="1">
      <c r="A1317" s="2" t="s">
        <v>3534</v>
      </c>
      <c r="B1317" s="2" t="s">
        <v>3534</v>
      </c>
      <c r="C1317" s="2" t="s">
        <v>31</v>
      </c>
      <c r="D1317" s="2" t="s">
        <v>32</v>
      </c>
      <c r="E1317" s="5">
        <v>-30688</v>
      </c>
      <c r="F1317" s="3" t="s">
        <v>62</v>
      </c>
      <c r="G1317" s="3" t="s">
        <v>377</v>
      </c>
      <c r="H1317" s="2" t="s">
        <v>72</v>
      </c>
      <c r="I1317" s="2" t="s">
        <v>3537</v>
      </c>
      <c r="J1317" s="3" t="str">
        <f>HYPERLINK("https://www.boe.es/gazeta/dias/1815/12/23/pdfs/GMD-1815-159.pdf#page=2","Abrir facsímil")</f>
        <v>Abrir facsímil</v>
      </c>
      <c r="K1317" s="3" t="s">
        <v>74</v>
      </c>
    </row>
    <row r="1318" spans="1:11" ht="42" customHeight="1">
      <c r="A1318" s="2" t="s">
        <v>3538</v>
      </c>
      <c r="B1318" s="2" t="s">
        <v>3539</v>
      </c>
      <c r="C1318" s="2" t="s">
        <v>31</v>
      </c>
      <c r="D1318" s="2" t="s">
        <v>32</v>
      </c>
      <c r="E1318" s="5">
        <v>-30837</v>
      </c>
      <c r="F1318" s="3" t="s">
        <v>2256</v>
      </c>
      <c r="G1318" s="3" t="s">
        <v>377</v>
      </c>
      <c r="H1318" s="2" t="s">
        <v>72</v>
      </c>
      <c r="I1318" s="2" t="s">
        <v>3540</v>
      </c>
      <c r="J1318" s="3" t="str">
        <f>HYPERLINK("https://www.boe.es/gazeta/dias/1815/07/27/pdfs/GMD-1815-92.pdf#page=2","Abrir facsímil")</f>
        <v>Abrir facsímil</v>
      </c>
      <c r="K1318" s="3" t="s">
        <v>74</v>
      </c>
    </row>
    <row r="1319" spans="1:11" ht="42" customHeight="1">
      <c r="A1319" s="2" t="s">
        <v>3541</v>
      </c>
      <c r="B1319" s="2" t="s">
        <v>3541</v>
      </c>
      <c r="C1319" s="2" t="s">
        <v>31</v>
      </c>
      <c r="D1319" s="2" t="s">
        <v>32</v>
      </c>
      <c r="E1319" s="5">
        <v>-30828</v>
      </c>
      <c r="F1319" s="3" t="s">
        <v>1402</v>
      </c>
      <c r="G1319" s="3" t="s">
        <v>97</v>
      </c>
      <c r="H1319" s="2" t="s">
        <v>72</v>
      </c>
      <c r="I1319" s="2" t="s">
        <v>3542</v>
      </c>
      <c r="J1319" s="3" t="str">
        <f>HYPERLINK("https://www.boe.es/gazeta/dias/1815/08/05/pdfs/GMD-1815-96.pdf#page=3","Abrir facsímil")</f>
        <v>Abrir facsímil</v>
      </c>
      <c r="K1319" s="3" t="s">
        <v>74</v>
      </c>
    </row>
    <row r="1320" spans="1:11" ht="42" customHeight="1">
      <c r="A1320" s="2" t="s">
        <v>3543</v>
      </c>
      <c r="B1320" s="2" t="s">
        <v>3544</v>
      </c>
      <c r="C1320" s="2" t="s">
        <v>61</v>
      </c>
      <c r="D1320" s="2" t="s">
        <v>50</v>
      </c>
      <c r="E1320" s="5">
        <v>-30940</v>
      </c>
      <c r="F1320" s="3" t="s">
        <v>610</v>
      </c>
      <c r="G1320" s="3" t="s">
        <v>71</v>
      </c>
      <c r="H1320" s="2" t="s">
        <v>72</v>
      </c>
      <c r="I1320" s="2" t="s">
        <v>3545</v>
      </c>
      <c r="J1320" s="3" t="str">
        <f>HYPERLINK("https://www.boe.es/gazeta/dias/1815/04/15/pdfs/GMD-1815-46.pdf#page=7","Abrir facsímil")</f>
        <v>Abrir facsímil</v>
      </c>
      <c r="K1320" s="3" t="s">
        <v>74</v>
      </c>
    </row>
    <row r="1321" spans="1:11" ht="42" customHeight="1">
      <c r="A1321" s="2" t="s">
        <v>3546</v>
      </c>
      <c r="B1321" s="2" t="s">
        <v>3547</v>
      </c>
      <c r="C1321" s="2" t="s">
        <v>31</v>
      </c>
      <c r="D1321" s="2" t="s">
        <v>32</v>
      </c>
      <c r="E1321" s="5">
        <v>-30975</v>
      </c>
      <c r="F1321" s="3" t="s">
        <v>1194</v>
      </c>
      <c r="G1321" s="3" t="s">
        <v>71</v>
      </c>
      <c r="H1321" s="2" t="s">
        <v>72</v>
      </c>
      <c r="I1321" s="2" t="s">
        <v>3548</v>
      </c>
      <c r="J1321" s="3" t="str">
        <f>HYPERLINK("https://www.boe.es/gazeta/dias/1815/03/11/pdfs/GMD-1815-30.pdf#page=7","Abrir facsímil")</f>
        <v>Abrir facsímil</v>
      </c>
      <c r="K1321" s="3" t="s">
        <v>74</v>
      </c>
    </row>
    <row r="1322" spans="1:11" ht="42" customHeight="1">
      <c r="A1322" s="2" t="s">
        <v>3549</v>
      </c>
      <c r="B1322" s="2" t="s">
        <v>3550</v>
      </c>
      <c r="C1322" s="2" t="s">
        <v>49</v>
      </c>
      <c r="D1322" s="2" t="s">
        <v>50</v>
      </c>
      <c r="E1322" s="5">
        <v>-31035</v>
      </c>
      <c r="F1322" s="3" t="s">
        <v>42</v>
      </c>
      <c r="G1322" s="3" t="s">
        <v>3551</v>
      </c>
      <c r="H1322" s="2" t="s">
        <v>72</v>
      </c>
      <c r="I1322" s="2" t="s">
        <v>3552</v>
      </c>
      <c r="J1322" s="3" t="str">
        <f>HYPERLINK("https://www.boe.es/gazeta/dias/1815/01/10/pdfs/GMD-1815-4.pdf#page=8","Abrir facsímil")</f>
        <v>Abrir facsímil</v>
      </c>
      <c r="K1322" s="3" t="s">
        <v>74</v>
      </c>
    </row>
    <row r="1323" spans="1:11" ht="42" customHeight="1">
      <c r="A1323" s="2" t="s">
        <v>3553</v>
      </c>
      <c r="B1323" s="2" t="s">
        <v>3554</v>
      </c>
      <c r="C1323" s="2" t="s">
        <v>31</v>
      </c>
      <c r="D1323" s="2" t="s">
        <v>32</v>
      </c>
      <c r="E1323" s="5">
        <v>-30930</v>
      </c>
      <c r="F1323" s="3" t="s">
        <v>51</v>
      </c>
      <c r="G1323" s="3" t="s">
        <v>88</v>
      </c>
      <c r="H1323" s="2" t="s">
        <v>21</v>
      </c>
      <c r="I1323" s="2" t="s">
        <v>3555</v>
      </c>
      <c r="J1323" s="3" t="str">
        <f>HYPERLINK("https://www.boe.es/gazeta/dias/1815/04/25/pdfs/GMD-1815-50.pdf#page=10","Abrir facsímil")</f>
        <v>Abrir facsímil</v>
      </c>
      <c r="K1323" s="3" t="s">
        <v>23</v>
      </c>
    </row>
    <row r="1324" spans="1:11" ht="42" customHeight="1">
      <c r="A1324" s="2" t="s">
        <v>3556</v>
      </c>
      <c r="B1324" s="2" t="s">
        <v>3557</v>
      </c>
      <c r="C1324" s="2" t="s">
        <v>49</v>
      </c>
      <c r="D1324" s="2" t="s">
        <v>50</v>
      </c>
      <c r="E1324" s="5">
        <v>-30893</v>
      </c>
      <c r="F1324" s="3" t="s">
        <v>132</v>
      </c>
      <c r="G1324" s="3" t="s">
        <v>155</v>
      </c>
      <c r="H1324" s="2" t="s">
        <v>72</v>
      </c>
      <c r="I1324" s="2" t="s">
        <v>3558</v>
      </c>
      <c r="J1324" s="3" t="str">
        <f>HYPERLINK("https://www.boe.es/gazeta/dias/1815/06/01/pdfs/GMD-1815-66.pdf#page=6","Abrir facsímil")</f>
        <v>Abrir facsímil</v>
      </c>
      <c r="K1324" s="3" t="s">
        <v>74</v>
      </c>
    </row>
    <row r="1325" spans="1:11" ht="42" customHeight="1">
      <c r="A1325" s="2" t="s">
        <v>3559</v>
      </c>
      <c r="B1325" s="2" t="s">
        <v>3560</v>
      </c>
      <c r="C1325" s="2" t="s">
        <v>195</v>
      </c>
      <c r="D1325" s="2" t="s">
        <v>50</v>
      </c>
      <c r="E1325" s="5">
        <v>-30830</v>
      </c>
      <c r="F1325" s="3" t="s">
        <v>33</v>
      </c>
      <c r="G1325" s="3" t="s">
        <v>276</v>
      </c>
      <c r="H1325" s="2" t="s">
        <v>72</v>
      </c>
      <c r="I1325" s="2" t="s">
        <v>3561</v>
      </c>
      <c r="J1325" s="3" t="str">
        <f>HYPERLINK("https://www.boe.es/gazeta/dias/1815/08/03/pdfs/GMD-1815-95.pdf#page=12","Abrir facsímil")</f>
        <v>Abrir facsímil</v>
      </c>
      <c r="K1325" s="3" t="s">
        <v>74</v>
      </c>
    </row>
    <row r="1326" spans="1:11" ht="42" customHeight="1">
      <c r="A1326" s="2" t="s">
        <v>3562</v>
      </c>
      <c r="B1326" s="2" t="s">
        <v>3563</v>
      </c>
      <c r="C1326" s="2" t="s">
        <v>49</v>
      </c>
      <c r="D1326" s="2" t="s">
        <v>50</v>
      </c>
      <c r="E1326" s="5">
        <v>-30965</v>
      </c>
      <c r="F1326" s="3" t="s">
        <v>1679</v>
      </c>
      <c r="G1326" s="3" t="s">
        <v>38</v>
      </c>
      <c r="H1326" s="2" t="s">
        <v>72</v>
      </c>
      <c r="I1326" s="2" t="s">
        <v>3564</v>
      </c>
      <c r="J1326" s="3" t="str">
        <f>HYPERLINK("https://www.boe.es/gazeta/dias/1815/03/21/pdfs/GMD-1815-34.pdf#page=8","Abrir facsímil")</f>
        <v>Abrir facsímil</v>
      </c>
      <c r="K1326" s="3" t="s">
        <v>74</v>
      </c>
    </row>
    <row r="1327" spans="1:11" ht="42" customHeight="1">
      <c r="A1327" s="2" t="s">
        <v>3565</v>
      </c>
      <c r="B1327" s="2" t="s">
        <v>3565</v>
      </c>
      <c r="C1327" s="2" t="s">
        <v>17</v>
      </c>
      <c r="D1327" s="2" t="s">
        <v>18</v>
      </c>
      <c r="E1327" s="5">
        <v>-30823</v>
      </c>
      <c r="F1327" s="3" t="s">
        <v>305</v>
      </c>
      <c r="G1327" s="3" t="s">
        <v>306</v>
      </c>
      <c r="H1327" s="2" t="s">
        <v>72</v>
      </c>
      <c r="I1327" s="2" t="s">
        <v>3566</v>
      </c>
      <c r="J1327" s="3" t="str">
        <f>HYPERLINK("https://www.boe.es/gazeta/dias/1815/08/10/pdfs/GMD-1815-98.pdf#page=7","Abrir facsímil")</f>
        <v>Abrir facsímil</v>
      </c>
      <c r="K1327" s="3" t="s">
        <v>74</v>
      </c>
    </row>
    <row r="1328" spans="1:11" ht="42" customHeight="1">
      <c r="A1328" s="2" t="s">
        <v>3567</v>
      </c>
      <c r="B1328" s="2" t="s">
        <v>3568</v>
      </c>
      <c r="C1328" s="2" t="s">
        <v>17</v>
      </c>
      <c r="D1328" s="2" t="s">
        <v>18</v>
      </c>
      <c r="E1328" s="5">
        <v>-31038</v>
      </c>
      <c r="F1328" s="3" t="s">
        <v>395</v>
      </c>
      <c r="G1328" s="3" t="s">
        <v>71</v>
      </c>
      <c r="H1328" s="2" t="s">
        <v>72</v>
      </c>
      <c r="I1328" s="2" t="s">
        <v>3569</v>
      </c>
      <c r="J1328" s="3" t="str">
        <f>HYPERLINK("https://www.boe.es/gazeta/dias/1815/01/07/pdfs/GMD-1815-3.pdf#page=7","Abrir facsímil")</f>
        <v>Abrir facsímil</v>
      </c>
      <c r="K1328" s="3" t="s">
        <v>74</v>
      </c>
    </row>
    <row r="1329" spans="1:11" ht="42" customHeight="1">
      <c r="A1329" s="2" t="s">
        <v>3570</v>
      </c>
      <c r="B1329" s="2" t="s">
        <v>3571</v>
      </c>
      <c r="C1329" s="2" t="s">
        <v>131</v>
      </c>
      <c r="D1329" s="2" t="s">
        <v>50</v>
      </c>
      <c r="E1329" s="5">
        <v>-30963</v>
      </c>
      <c r="F1329" s="3" t="s">
        <v>879</v>
      </c>
      <c r="G1329" s="3" t="s">
        <v>71</v>
      </c>
      <c r="H1329" s="2" t="s">
        <v>72</v>
      </c>
      <c r="I1329" s="2" t="s">
        <v>3572</v>
      </c>
      <c r="J1329" s="3" t="str">
        <f>HYPERLINK("https://www.boe.es/gazeta/dias/1815/03/23/pdfs/GMD-1815-35.pdf#page=7","Abrir facsímil")</f>
        <v>Abrir facsímil</v>
      </c>
      <c r="K1329" s="3" t="s">
        <v>74</v>
      </c>
    </row>
    <row r="1330" spans="1:11" ht="42" customHeight="1">
      <c r="A1330" s="2" t="s">
        <v>3573</v>
      </c>
      <c r="B1330" s="2" t="s">
        <v>3574</v>
      </c>
      <c r="C1330" s="2" t="s">
        <v>49</v>
      </c>
      <c r="D1330" s="2" t="s">
        <v>50</v>
      </c>
      <c r="E1330" s="5">
        <v>-30982</v>
      </c>
      <c r="F1330" s="3" t="s">
        <v>220</v>
      </c>
      <c r="G1330" s="3" t="s">
        <v>57</v>
      </c>
      <c r="H1330" s="2" t="s">
        <v>72</v>
      </c>
      <c r="I1330" s="2" t="s">
        <v>3575</v>
      </c>
      <c r="J1330" s="3" t="str">
        <f>HYPERLINK("https://www.boe.es/gazeta/dias/1815/03/04/pdfs/GMD-1815-27.pdf#page=5","Abrir facsímil")</f>
        <v>Abrir facsímil</v>
      </c>
      <c r="K1330" s="3" t="s">
        <v>74</v>
      </c>
    </row>
    <row r="1331" spans="1:11" ht="42" customHeight="1">
      <c r="A1331" s="2" t="s">
        <v>3576</v>
      </c>
      <c r="B1331" s="2" t="s">
        <v>3577</v>
      </c>
      <c r="C1331" s="2" t="s">
        <v>31</v>
      </c>
      <c r="D1331" s="2" t="s">
        <v>32</v>
      </c>
      <c r="E1331" s="5">
        <v>-30818</v>
      </c>
      <c r="F1331" s="3" t="s">
        <v>334</v>
      </c>
      <c r="G1331" s="3" t="s">
        <v>224</v>
      </c>
      <c r="H1331" s="2" t="s">
        <v>72</v>
      </c>
      <c r="I1331" s="2" t="s">
        <v>3578</v>
      </c>
      <c r="J1331" s="3" t="str">
        <f>HYPERLINK("https://www.boe.es/gazeta/dias/1815/08/15/pdfs/GMD-1815-100.pdf#page=9","Abrir facsímil")</f>
        <v>Abrir facsímil</v>
      </c>
      <c r="K1331" s="3" t="s">
        <v>74</v>
      </c>
    </row>
    <row r="1332" spans="1:11" ht="42" customHeight="1">
      <c r="A1332" s="2" t="s">
        <v>3579</v>
      </c>
      <c r="B1332" s="2" t="s">
        <v>3580</v>
      </c>
      <c r="C1332" s="2" t="s">
        <v>17</v>
      </c>
      <c r="D1332" s="2" t="s">
        <v>18</v>
      </c>
      <c r="E1332" s="5">
        <v>-30795</v>
      </c>
      <c r="F1332" s="3" t="s">
        <v>172</v>
      </c>
      <c r="G1332" s="3" t="s">
        <v>3581</v>
      </c>
      <c r="H1332" s="2" t="s">
        <v>72</v>
      </c>
      <c r="I1332" s="2" t="s">
        <v>3582</v>
      </c>
      <c r="J1332" s="3" t="str">
        <f>HYPERLINK("https://www.boe.es/gazeta/dias/1815/09/07/pdfs/GMD-1815-111.pdf#page=10","Abrir facsímil")</f>
        <v>Abrir facsímil</v>
      </c>
      <c r="K1332" s="3" t="s">
        <v>74</v>
      </c>
    </row>
    <row r="1333" spans="1:11" ht="42" customHeight="1">
      <c r="A1333" s="2" t="s">
        <v>3583</v>
      </c>
      <c r="B1333" s="2" t="s">
        <v>3584</v>
      </c>
      <c r="C1333" s="2" t="s">
        <v>17</v>
      </c>
      <c r="D1333" s="2" t="s">
        <v>18</v>
      </c>
      <c r="E1333" s="5">
        <v>-31024</v>
      </c>
      <c r="F1333" s="3" t="s">
        <v>101</v>
      </c>
      <c r="G1333" s="3" t="s">
        <v>57</v>
      </c>
      <c r="H1333" s="2" t="s">
        <v>72</v>
      </c>
      <c r="I1333" s="2" t="s">
        <v>3585</v>
      </c>
      <c r="J1333" s="3" t="str">
        <f>HYPERLINK("https://www.boe.es/gazeta/dias/1815/01/21/pdfs/GMD-1815-9.pdf#page=5","Abrir facsímil")</f>
        <v>Abrir facsímil</v>
      </c>
      <c r="K1333" s="3" t="s">
        <v>74</v>
      </c>
    </row>
    <row r="1334" spans="1:11" ht="42" customHeight="1">
      <c r="A1334" s="2" t="s">
        <v>3583</v>
      </c>
      <c r="B1334" s="2" t="s">
        <v>3584</v>
      </c>
      <c r="C1334" s="2" t="s">
        <v>17</v>
      </c>
      <c r="D1334" s="2" t="s">
        <v>18</v>
      </c>
      <c r="E1334" s="5">
        <v>-31007</v>
      </c>
      <c r="F1334" s="3" t="s">
        <v>200</v>
      </c>
      <c r="G1334" s="3" t="s">
        <v>71</v>
      </c>
      <c r="H1334" s="2" t="s">
        <v>72</v>
      </c>
      <c r="I1334" s="2" t="s">
        <v>3586</v>
      </c>
      <c r="J1334" s="3" t="str">
        <f>HYPERLINK("https://www.boe.es/gazeta/dias/1815/02/07/pdfs/GMD-1815-16.pdf#page=7","Abrir facsímil")</f>
        <v>Abrir facsímil</v>
      </c>
      <c r="K1334" s="3" t="s">
        <v>74</v>
      </c>
    </row>
    <row r="1335" spans="1:11" ht="42" customHeight="1">
      <c r="A1335" s="2" t="s">
        <v>3583</v>
      </c>
      <c r="B1335" s="2" t="s">
        <v>3584</v>
      </c>
      <c r="C1335" s="2" t="s">
        <v>17</v>
      </c>
      <c r="D1335" s="2" t="s">
        <v>18</v>
      </c>
      <c r="E1335" s="5">
        <v>-30685</v>
      </c>
      <c r="F1335" s="3" t="s">
        <v>1453</v>
      </c>
      <c r="G1335" s="3" t="s">
        <v>3587</v>
      </c>
      <c r="H1335" s="2" t="s">
        <v>72</v>
      </c>
      <c r="I1335" s="2" t="s">
        <v>3588</v>
      </c>
      <c r="J1335" s="3" t="str">
        <f>HYPERLINK("https://www.boe.es/gazeta/dias/1815/12/26/pdfs/GMD-1815-160.pdf#page=6","Abrir facsímil")</f>
        <v>Abrir facsímil</v>
      </c>
      <c r="K1335" s="3" t="s">
        <v>74</v>
      </c>
    </row>
    <row r="1336" spans="1:11" ht="42" customHeight="1">
      <c r="A1336" s="2" t="s">
        <v>3589</v>
      </c>
      <c r="B1336" s="2" t="s">
        <v>3589</v>
      </c>
      <c r="C1336" s="2" t="s">
        <v>31</v>
      </c>
      <c r="D1336" s="2" t="s">
        <v>32</v>
      </c>
      <c r="E1336" s="5">
        <v>-30942</v>
      </c>
      <c r="F1336" s="3" t="s">
        <v>730</v>
      </c>
      <c r="G1336" s="3" t="s">
        <v>410</v>
      </c>
      <c r="H1336" s="2" t="s">
        <v>72</v>
      </c>
      <c r="I1336" s="2" t="s">
        <v>3590</v>
      </c>
      <c r="J1336" s="3" t="str">
        <f>HYPERLINK("https://www.boe.es/gazeta/dias/1815/04/13/pdfs/GMD-1815-45.pdf#page=1","Abrir facsímil")</f>
        <v>Abrir facsímil</v>
      </c>
      <c r="K1336" s="3" t="s">
        <v>74</v>
      </c>
    </row>
    <row r="1337" spans="1:11" ht="42" customHeight="1">
      <c r="A1337" s="2" t="s">
        <v>3591</v>
      </c>
      <c r="B1337" s="2" t="s">
        <v>3592</v>
      </c>
      <c r="C1337" s="2" t="s">
        <v>17</v>
      </c>
      <c r="D1337" s="2" t="s">
        <v>18</v>
      </c>
      <c r="E1337" s="5">
        <v>-30958</v>
      </c>
      <c r="F1337" s="3" t="s">
        <v>297</v>
      </c>
      <c r="G1337" s="3" t="s">
        <v>27</v>
      </c>
      <c r="H1337" s="2" t="s">
        <v>72</v>
      </c>
      <c r="I1337" s="2" t="s">
        <v>3593</v>
      </c>
      <c r="J1337" s="3" t="str">
        <f>HYPERLINK("https://www.boe.es/gazeta/dias/1815/03/28/pdfs/GMD-1815-37.pdf#page=6","Abrir facsímil")</f>
        <v>Abrir facsímil</v>
      </c>
      <c r="K1337" s="3" t="s">
        <v>74</v>
      </c>
    </row>
    <row r="1338" spans="1:11" ht="42" customHeight="1">
      <c r="A1338" s="2" t="s">
        <v>3591</v>
      </c>
      <c r="B1338" s="2" t="s">
        <v>3592</v>
      </c>
      <c r="C1338" s="2" t="s">
        <v>17</v>
      </c>
      <c r="D1338" s="2" t="s">
        <v>18</v>
      </c>
      <c r="E1338" s="5">
        <v>-30814</v>
      </c>
      <c r="F1338" s="3" t="s">
        <v>644</v>
      </c>
      <c r="G1338" s="3" t="s">
        <v>2047</v>
      </c>
      <c r="H1338" s="2" t="s">
        <v>72</v>
      </c>
      <c r="I1338" s="2" t="s">
        <v>3594</v>
      </c>
      <c r="J1338" s="3" t="str">
        <f>HYPERLINK("https://www.boe.es/gazeta/dias/1815/08/19/pdfs/GMD-1815-102.pdf#page=4","Abrir facsímil")</f>
        <v>Abrir facsímil</v>
      </c>
      <c r="K1338" s="3" t="s">
        <v>74</v>
      </c>
    </row>
    <row r="1339" spans="1:11" ht="42" customHeight="1">
      <c r="A1339" s="2" t="s">
        <v>3595</v>
      </c>
      <c r="B1339" s="2" t="s">
        <v>3596</v>
      </c>
      <c r="C1339" s="2" t="s">
        <v>17</v>
      </c>
      <c r="D1339" s="2" t="s">
        <v>18</v>
      </c>
      <c r="E1339" s="5">
        <v>-30795</v>
      </c>
      <c r="F1339" s="3" t="s">
        <v>172</v>
      </c>
      <c r="G1339" s="3" t="s">
        <v>276</v>
      </c>
      <c r="H1339" s="2" t="s">
        <v>72</v>
      </c>
      <c r="I1339" s="2" t="s">
        <v>3597</v>
      </c>
      <c r="J1339" s="3" t="str">
        <f>HYPERLINK("https://www.boe.es/gazeta/dias/1815/09/07/pdfs/GMD-1815-111.pdf#page=12","Abrir facsímil")</f>
        <v>Abrir facsímil</v>
      </c>
      <c r="K1339" s="3" t="s">
        <v>74</v>
      </c>
    </row>
    <row r="1340" spans="1:11" ht="42" customHeight="1">
      <c r="A1340" s="2" t="s">
        <v>3598</v>
      </c>
      <c r="B1340" s="2" t="s">
        <v>3599</v>
      </c>
      <c r="C1340" s="2" t="s">
        <v>31</v>
      </c>
      <c r="D1340" s="2" t="s">
        <v>32</v>
      </c>
      <c r="E1340" s="5">
        <v>-30977</v>
      </c>
      <c r="F1340" s="3" t="s">
        <v>37</v>
      </c>
      <c r="G1340" s="3" t="s">
        <v>71</v>
      </c>
      <c r="H1340" s="2" t="s">
        <v>72</v>
      </c>
      <c r="I1340" s="2" t="s">
        <v>3600</v>
      </c>
      <c r="J1340" s="3" t="str">
        <f>HYPERLINK("https://www.boe.es/gazeta/dias/1815/03/09/pdfs/GMD-1815-29.pdf#page=7","Abrir facsímil")</f>
        <v>Abrir facsímil</v>
      </c>
      <c r="K1340" s="3" t="s">
        <v>74</v>
      </c>
    </row>
    <row r="1341" spans="1:11" ht="42" customHeight="1">
      <c r="A1341" s="2" t="s">
        <v>3601</v>
      </c>
      <c r="B1341" s="2" t="s">
        <v>3602</v>
      </c>
      <c r="C1341" s="2" t="s">
        <v>49</v>
      </c>
      <c r="D1341" s="2" t="s">
        <v>50</v>
      </c>
      <c r="E1341" s="5">
        <v>-30865</v>
      </c>
      <c r="F1341" s="3" t="s">
        <v>163</v>
      </c>
      <c r="G1341" s="3" t="s">
        <v>71</v>
      </c>
      <c r="H1341" s="2" t="s">
        <v>72</v>
      </c>
      <c r="I1341" s="2" t="s">
        <v>3603</v>
      </c>
      <c r="J1341" s="3" t="str">
        <f>HYPERLINK("https://www.boe.es/gazeta/dias/1815/06/29/pdfs/GMD-1815-78.pdf#page=7","Abrir facsímil")</f>
        <v>Abrir facsímil</v>
      </c>
      <c r="K1341" s="3" t="s">
        <v>74</v>
      </c>
    </row>
    <row r="1342" spans="1:11" ht="42" customHeight="1">
      <c r="A1342" s="2" t="s">
        <v>3604</v>
      </c>
      <c r="B1342" s="2" t="s">
        <v>3605</v>
      </c>
      <c r="C1342" s="2" t="s">
        <v>49</v>
      </c>
      <c r="D1342" s="2" t="s">
        <v>50</v>
      </c>
      <c r="E1342" s="5">
        <v>-30823</v>
      </c>
      <c r="F1342" s="3" t="s">
        <v>305</v>
      </c>
      <c r="G1342" s="3" t="s">
        <v>224</v>
      </c>
      <c r="H1342" s="2" t="s">
        <v>72</v>
      </c>
      <c r="I1342" s="2" t="s">
        <v>3606</v>
      </c>
      <c r="J1342" s="3" t="str">
        <f>HYPERLINK("https://www.boe.es/gazeta/dias/1815/08/10/pdfs/GMD-1815-98.pdf#page=9","Abrir facsímil")</f>
        <v>Abrir facsímil</v>
      </c>
      <c r="K1342" s="3" t="s">
        <v>74</v>
      </c>
    </row>
    <row r="1343" spans="1:11" ht="42" customHeight="1">
      <c r="A1343" s="2" t="s">
        <v>3607</v>
      </c>
      <c r="B1343" s="2" t="s">
        <v>3607</v>
      </c>
      <c r="C1343" s="2" t="s">
        <v>31</v>
      </c>
      <c r="D1343" s="2" t="s">
        <v>32</v>
      </c>
      <c r="E1343" s="5">
        <v>-30898</v>
      </c>
      <c r="F1343" s="3" t="s">
        <v>212</v>
      </c>
      <c r="G1343" s="3" t="s">
        <v>377</v>
      </c>
      <c r="H1343" s="2" t="s">
        <v>72</v>
      </c>
      <c r="I1343" s="2" t="s">
        <v>3608</v>
      </c>
      <c r="J1343" s="3" t="str">
        <f>HYPERLINK("https://www.boe.es/gazeta/dias/1815/05/27/pdfs/GMD-1815-64.pdf#page=2","Abrir facsímil")</f>
        <v>Abrir facsímil</v>
      </c>
      <c r="K1343" s="3" t="s">
        <v>74</v>
      </c>
    </row>
    <row r="1344" spans="1:11" ht="42" customHeight="1">
      <c r="A1344" s="2" t="s">
        <v>3609</v>
      </c>
      <c r="B1344" s="2" t="s">
        <v>3609</v>
      </c>
      <c r="C1344" s="2" t="s">
        <v>31</v>
      </c>
      <c r="D1344" s="2" t="s">
        <v>179</v>
      </c>
      <c r="E1344" s="5">
        <v>-30860</v>
      </c>
      <c r="F1344" s="3" t="s">
        <v>180</v>
      </c>
      <c r="G1344" s="3" t="s">
        <v>20</v>
      </c>
      <c r="H1344" s="2" t="s">
        <v>72</v>
      </c>
      <c r="I1344" s="2" t="s">
        <v>3610</v>
      </c>
      <c r="J1344" s="3" t="str">
        <f>HYPERLINK("https://www.boe.es/gazeta/dias/1815/07/04/pdfs/GMD-1815-82E.pdf#page=4","Abrir facsímil")</f>
        <v>Abrir facsímil</v>
      </c>
      <c r="K1344" s="3" t="s">
        <v>74</v>
      </c>
    </row>
    <row r="1345" spans="1:11" ht="42" customHeight="1">
      <c r="A1345" s="2" t="s">
        <v>3611</v>
      </c>
      <c r="B1345" s="2" t="s">
        <v>3612</v>
      </c>
      <c r="C1345" s="2" t="s">
        <v>31</v>
      </c>
      <c r="D1345" s="2" t="s">
        <v>32</v>
      </c>
      <c r="E1345" s="5">
        <v>-30942</v>
      </c>
      <c r="F1345" s="3" t="s">
        <v>730</v>
      </c>
      <c r="G1345" s="3" t="s">
        <v>38</v>
      </c>
      <c r="H1345" s="2" t="s">
        <v>72</v>
      </c>
      <c r="I1345" s="2" t="s">
        <v>3613</v>
      </c>
      <c r="J1345" s="3" t="str">
        <f>HYPERLINK("https://www.boe.es/gazeta/dias/1815/04/13/pdfs/GMD-1815-45.pdf#page=8","Abrir facsímil")</f>
        <v>Abrir facsímil</v>
      </c>
      <c r="K1345" s="3" t="s">
        <v>74</v>
      </c>
    </row>
    <row r="1346" spans="1:11" ht="42" customHeight="1">
      <c r="A1346" s="2" t="s">
        <v>3614</v>
      </c>
      <c r="B1346" s="2" t="s">
        <v>3614</v>
      </c>
      <c r="C1346" s="2" t="s">
        <v>31</v>
      </c>
      <c r="D1346" s="2" t="s">
        <v>32</v>
      </c>
      <c r="E1346" s="5">
        <v>-30844</v>
      </c>
      <c r="F1346" s="3" t="s">
        <v>114</v>
      </c>
      <c r="G1346" s="3" t="s">
        <v>20</v>
      </c>
      <c r="H1346" s="2" t="s">
        <v>72</v>
      </c>
      <c r="I1346" s="2" t="s">
        <v>3615</v>
      </c>
      <c r="J1346" s="3" t="str">
        <f>HYPERLINK("https://www.boe.es/gazeta/dias/1815/07/20/pdfs/GMD-1815-89.pdf#page=4","Abrir facsímil")</f>
        <v>Abrir facsímil</v>
      </c>
      <c r="K1346" s="3" t="s">
        <v>74</v>
      </c>
    </row>
    <row r="1347" spans="1:11" ht="42" customHeight="1">
      <c r="A1347" s="2" t="s">
        <v>3616</v>
      </c>
      <c r="B1347" s="2" t="s">
        <v>3617</v>
      </c>
      <c r="C1347" s="2" t="s">
        <v>31</v>
      </c>
      <c r="D1347" s="2" t="s">
        <v>32</v>
      </c>
      <c r="E1347" s="5">
        <v>-30732</v>
      </c>
      <c r="F1347" s="3" t="s">
        <v>554</v>
      </c>
      <c r="G1347" s="3" t="s">
        <v>27</v>
      </c>
      <c r="H1347" s="2" t="s">
        <v>72</v>
      </c>
      <c r="I1347" s="2" t="s">
        <v>3618</v>
      </c>
      <c r="J1347" s="3" t="str">
        <f>HYPERLINK("https://www.boe.es/gazeta/dias/1815/11/09/pdfs/GMD-1815-140.pdf#page=6","Abrir facsímil")</f>
        <v>Abrir facsímil</v>
      </c>
      <c r="K1347" s="3" t="s">
        <v>74</v>
      </c>
    </row>
    <row r="1348" spans="1:11" ht="42" customHeight="1">
      <c r="A1348" s="2" t="s">
        <v>3619</v>
      </c>
      <c r="B1348" s="2" t="s">
        <v>3620</v>
      </c>
      <c r="C1348" s="2" t="s">
        <v>31</v>
      </c>
      <c r="D1348" s="2" t="s">
        <v>32</v>
      </c>
      <c r="E1348" s="5">
        <v>-31042</v>
      </c>
      <c r="F1348" s="3" t="s">
        <v>512</v>
      </c>
      <c r="G1348" s="3" t="s">
        <v>71</v>
      </c>
      <c r="H1348" s="2" t="s">
        <v>72</v>
      </c>
      <c r="I1348" s="2" t="s">
        <v>3621</v>
      </c>
      <c r="J1348" s="3" t="str">
        <f>HYPERLINK("https://www.boe.es/gazeta/dias/1815/01/03/pdfs/GMD-1815-1.pdf#page=7","Abrir facsímil")</f>
        <v>Abrir facsímil</v>
      </c>
      <c r="K1348" s="3" t="s">
        <v>74</v>
      </c>
    </row>
    <row r="1349" spans="1:11" ht="42" customHeight="1">
      <c r="A1349" s="2" t="s">
        <v>3622</v>
      </c>
      <c r="B1349" s="2" t="s">
        <v>3623</v>
      </c>
      <c r="C1349" s="2" t="s">
        <v>49</v>
      </c>
      <c r="D1349" s="2" t="s">
        <v>50</v>
      </c>
      <c r="E1349" s="5">
        <v>-30818</v>
      </c>
      <c r="F1349" s="3" t="s">
        <v>334</v>
      </c>
      <c r="G1349" s="3" t="s">
        <v>224</v>
      </c>
      <c r="H1349" s="2" t="s">
        <v>72</v>
      </c>
      <c r="I1349" s="2" t="s">
        <v>3624</v>
      </c>
      <c r="J1349" s="3" t="str">
        <f>HYPERLINK("https://www.boe.es/gazeta/dias/1815/08/15/pdfs/GMD-1815-100.pdf#page=9","Abrir facsímil")</f>
        <v>Abrir facsímil</v>
      </c>
      <c r="K1349" s="3" t="s">
        <v>74</v>
      </c>
    </row>
    <row r="1350" spans="1:11" ht="42" customHeight="1">
      <c r="A1350" s="2" t="s">
        <v>3625</v>
      </c>
      <c r="B1350" s="2" t="s">
        <v>3626</v>
      </c>
      <c r="C1350" s="2" t="s">
        <v>195</v>
      </c>
      <c r="D1350" s="2" t="s">
        <v>50</v>
      </c>
      <c r="E1350" s="5">
        <v>-30949</v>
      </c>
      <c r="F1350" s="3" t="s">
        <v>420</v>
      </c>
      <c r="G1350" s="3" t="s">
        <v>27</v>
      </c>
      <c r="H1350" s="2" t="s">
        <v>72</v>
      </c>
      <c r="I1350" s="2" t="s">
        <v>3627</v>
      </c>
      <c r="J1350" s="3" t="str">
        <f>HYPERLINK("https://www.boe.es/gazeta/dias/1815/04/06/pdfs/GMD-1815-42.pdf#page=6","Abrir facsímil")</f>
        <v>Abrir facsímil</v>
      </c>
      <c r="K1350" s="3" t="s">
        <v>74</v>
      </c>
    </row>
    <row r="1351" spans="1:11" ht="42" customHeight="1">
      <c r="A1351" s="2" t="s">
        <v>3628</v>
      </c>
      <c r="B1351" s="2" t="s">
        <v>3629</v>
      </c>
      <c r="C1351" s="2" t="s">
        <v>17</v>
      </c>
      <c r="D1351" s="2" t="s">
        <v>18</v>
      </c>
      <c r="E1351" s="5">
        <v>-30844</v>
      </c>
      <c r="F1351" s="3" t="s">
        <v>114</v>
      </c>
      <c r="G1351" s="3" t="s">
        <v>71</v>
      </c>
      <c r="H1351" s="2" t="s">
        <v>72</v>
      </c>
      <c r="I1351" s="2" t="s">
        <v>3630</v>
      </c>
      <c r="J1351" s="3" t="str">
        <f>HYPERLINK("https://www.boe.es/gazeta/dias/1815/07/20/pdfs/GMD-1815-89.pdf#page=7","Abrir facsímil")</f>
        <v>Abrir facsímil</v>
      </c>
      <c r="K1351" s="3" t="s">
        <v>74</v>
      </c>
    </row>
    <row r="1352" spans="1:11" ht="42" customHeight="1">
      <c r="A1352" s="2" t="s">
        <v>3631</v>
      </c>
      <c r="B1352" s="2" t="s">
        <v>3632</v>
      </c>
      <c r="C1352" s="2" t="s">
        <v>81</v>
      </c>
      <c r="D1352" s="2" t="s">
        <v>50</v>
      </c>
      <c r="E1352" s="5">
        <v>-30860</v>
      </c>
      <c r="F1352" s="3" t="s">
        <v>184</v>
      </c>
      <c r="G1352" s="3" t="s">
        <v>472</v>
      </c>
      <c r="H1352" s="2" t="s">
        <v>72</v>
      </c>
      <c r="I1352" s="2" t="s">
        <v>3633</v>
      </c>
      <c r="J1352" s="3" t="str">
        <f>HYPERLINK("https://www.boe.es/gazeta/dias/1815/07/04/pdfs/GMD-1815-81.pdf#page=8","Abrir facsímil")</f>
        <v>Abrir facsímil</v>
      </c>
      <c r="K1352" s="3" t="s">
        <v>74</v>
      </c>
    </row>
    <row r="1353" spans="1:11" ht="42" customHeight="1">
      <c r="A1353" s="2" t="s">
        <v>3634</v>
      </c>
      <c r="B1353" s="2" t="s">
        <v>3635</v>
      </c>
      <c r="C1353" s="2" t="s">
        <v>31</v>
      </c>
      <c r="D1353" s="2" t="s">
        <v>32</v>
      </c>
      <c r="E1353" s="5">
        <v>-30704</v>
      </c>
      <c r="F1353" s="3" t="s">
        <v>1276</v>
      </c>
      <c r="G1353" s="3" t="s">
        <v>3636</v>
      </c>
      <c r="H1353" s="2" t="s">
        <v>72</v>
      </c>
      <c r="I1353" s="2" t="s">
        <v>3637</v>
      </c>
      <c r="J1353" s="3" t="str">
        <f>HYPERLINK("https://www.boe.es/gazeta/dias/1815/12/07/pdfs/GMD-1815-152.pdf#page=7","Abrir facsímil")</f>
        <v>Abrir facsímil</v>
      </c>
      <c r="K1353" s="3" t="s">
        <v>74</v>
      </c>
    </row>
    <row r="1354" spans="1:11" ht="42" customHeight="1">
      <c r="A1354" s="2" t="s">
        <v>3638</v>
      </c>
      <c r="B1354" s="2" t="s">
        <v>3639</v>
      </c>
      <c r="C1354" s="2" t="s">
        <v>31</v>
      </c>
      <c r="D1354" s="2" t="s">
        <v>32</v>
      </c>
      <c r="E1354" s="5">
        <v>-30709</v>
      </c>
      <c r="F1354" s="3" t="s">
        <v>314</v>
      </c>
      <c r="G1354" s="3" t="s">
        <v>57</v>
      </c>
      <c r="H1354" s="2" t="s">
        <v>72</v>
      </c>
      <c r="I1354" s="2" t="s">
        <v>3640</v>
      </c>
      <c r="J1354" s="3" t="str">
        <f>HYPERLINK("https://www.boe.es/gazeta/dias/1815/12/02/pdfs/GMD-1815-150.pdf#page=5","Abrir facsímil")</f>
        <v>Abrir facsímil</v>
      </c>
      <c r="K1354" s="3" t="s">
        <v>74</v>
      </c>
    </row>
    <row r="1355" spans="1:11" ht="42" customHeight="1">
      <c r="A1355" s="2" t="s">
        <v>3641</v>
      </c>
      <c r="B1355" s="2" t="s">
        <v>3641</v>
      </c>
      <c r="C1355" s="2" t="s">
        <v>49</v>
      </c>
      <c r="D1355" s="2" t="s">
        <v>50</v>
      </c>
      <c r="E1355" s="5">
        <v>-30821</v>
      </c>
      <c r="F1355" s="3" t="s">
        <v>915</v>
      </c>
      <c r="G1355" s="3" t="s">
        <v>1304</v>
      </c>
      <c r="H1355" s="2" t="s">
        <v>72</v>
      </c>
      <c r="I1355" s="2" t="s">
        <v>3642</v>
      </c>
      <c r="J1355" s="3" t="str">
        <f>HYPERLINK("https://www.boe.es/gazeta/dias/1815/08/12/pdfs/GMD-1815-99.pdf#page=4","Abrir facsímil")</f>
        <v>Abrir facsímil</v>
      </c>
      <c r="K1355" s="3" t="s">
        <v>74</v>
      </c>
    </row>
    <row r="1356" spans="1:11" ht="42" customHeight="1">
      <c r="A1356" s="2" t="s">
        <v>3643</v>
      </c>
      <c r="B1356" s="2" t="s">
        <v>3644</v>
      </c>
      <c r="C1356" s="2" t="s">
        <v>31</v>
      </c>
      <c r="D1356" s="2" t="s">
        <v>32</v>
      </c>
      <c r="E1356" s="5">
        <v>-30863</v>
      </c>
      <c r="F1356" s="3" t="s">
        <v>110</v>
      </c>
      <c r="G1356" s="3" t="s">
        <v>88</v>
      </c>
      <c r="H1356" s="2" t="s">
        <v>72</v>
      </c>
      <c r="I1356" s="2" t="s">
        <v>3645</v>
      </c>
      <c r="J1356" s="3" t="str">
        <f>HYPERLINK("https://www.boe.es/gazeta/dias/1815/07/01/pdfs/GMD-1815-79.pdf#page=10","Abrir facsímil")</f>
        <v>Abrir facsímil</v>
      </c>
      <c r="K1356" s="3" t="s">
        <v>74</v>
      </c>
    </row>
    <row r="1357" spans="1:11" ht="42" customHeight="1">
      <c r="A1357" s="2" t="s">
        <v>3646</v>
      </c>
      <c r="B1357" s="2" t="s">
        <v>3647</v>
      </c>
      <c r="C1357" s="2" t="s">
        <v>31</v>
      </c>
      <c r="D1357" s="2" t="s">
        <v>32</v>
      </c>
      <c r="E1357" s="5">
        <v>-30718</v>
      </c>
      <c r="F1357" s="3" t="s">
        <v>3115</v>
      </c>
      <c r="G1357" s="3" t="s">
        <v>3488</v>
      </c>
      <c r="H1357" s="2" t="s">
        <v>72</v>
      </c>
      <c r="I1357" s="2" t="s">
        <v>3648</v>
      </c>
      <c r="J1357" s="3" t="str">
        <f>HYPERLINK("https://www.boe.es/gazeta/dias/1815/11/23/pdfs/GMD-1815-146.pdf#page=7","Abrir facsímil")</f>
        <v>Abrir facsímil</v>
      </c>
      <c r="K1357" s="3" t="s">
        <v>74</v>
      </c>
    </row>
    <row r="1358" spans="1:11" ht="42" customHeight="1">
      <c r="A1358" s="2" t="s">
        <v>3649</v>
      </c>
      <c r="B1358" s="2" t="s">
        <v>3650</v>
      </c>
      <c r="C1358" s="2" t="s">
        <v>31</v>
      </c>
      <c r="D1358" s="2" t="s">
        <v>32</v>
      </c>
      <c r="E1358" s="5">
        <v>-30797</v>
      </c>
      <c r="F1358" s="3" t="s">
        <v>248</v>
      </c>
      <c r="G1358" s="3" t="s">
        <v>20</v>
      </c>
      <c r="H1358" s="2" t="s">
        <v>72</v>
      </c>
      <c r="I1358" s="2" t="s">
        <v>3651</v>
      </c>
      <c r="J1358" s="3" t="str">
        <f>HYPERLINK("https://www.boe.es/gazeta/dias/1815/09/05/pdfs/GMD-1815-110.pdf#page=4","Abrir facsímil")</f>
        <v>Abrir facsímil</v>
      </c>
      <c r="K1358" s="3" t="s">
        <v>74</v>
      </c>
    </row>
    <row r="1359" spans="1:11" ht="42" customHeight="1">
      <c r="A1359" s="2" t="s">
        <v>3652</v>
      </c>
      <c r="B1359" s="2" t="s">
        <v>3653</v>
      </c>
      <c r="C1359" s="2" t="s">
        <v>31</v>
      </c>
      <c r="D1359" s="2" t="s">
        <v>32</v>
      </c>
      <c r="E1359" s="5">
        <v>-30844</v>
      </c>
      <c r="F1359" s="3" t="s">
        <v>114</v>
      </c>
      <c r="G1359" s="3" t="s">
        <v>71</v>
      </c>
      <c r="H1359" s="2" t="s">
        <v>72</v>
      </c>
      <c r="I1359" s="2" t="s">
        <v>3654</v>
      </c>
      <c r="J1359" s="3" t="str">
        <f>HYPERLINK("https://www.boe.es/gazeta/dias/1815/07/20/pdfs/GMD-1815-89.pdf#page=7","Abrir facsímil")</f>
        <v>Abrir facsímil</v>
      </c>
      <c r="K1359" s="3" t="s">
        <v>74</v>
      </c>
    </row>
    <row r="1360" spans="1:11" ht="42" customHeight="1">
      <c r="A1360" s="2" t="s">
        <v>3655</v>
      </c>
      <c r="B1360" s="2" t="s">
        <v>3656</v>
      </c>
      <c r="C1360" s="2" t="s">
        <v>49</v>
      </c>
      <c r="D1360" s="2" t="s">
        <v>50</v>
      </c>
      <c r="E1360" s="5">
        <v>-30893</v>
      </c>
      <c r="F1360" s="3" t="s">
        <v>132</v>
      </c>
      <c r="G1360" s="3" t="s">
        <v>71</v>
      </c>
      <c r="H1360" s="2" t="s">
        <v>72</v>
      </c>
      <c r="I1360" s="2" t="s">
        <v>3657</v>
      </c>
      <c r="J1360" s="3" t="str">
        <f>HYPERLINK("https://www.boe.es/gazeta/dias/1815/06/01/pdfs/GMD-1815-66.pdf#page=7","Abrir facsímil")</f>
        <v>Abrir facsímil</v>
      </c>
      <c r="K1360" s="3" t="s">
        <v>74</v>
      </c>
    </row>
    <row r="1361" spans="1:11" ht="42" customHeight="1">
      <c r="A1361" s="2" t="s">
        <v>3658</v>
      </c>
      <c r="B1361" s="2" t="s">
        <v>3659</v>
      </c>
      <c r="C1361" s="2" t="s">
        <v>31</v>
      </c>
      <c r="D1361" s="2" t="s">
        <v>32</v>
      </c>
      <c r="E1361" s="5">
        <v>-30916</v>
      </c>
      <c r="F1361" s="3" t="s">
        <v>147</v>
      </c>
      <c r="G1361" s="3" t="s">
        <v>224</v>
      </c>
      <c r="H1361" s="2" t="s">
        <v>72</v>
      </c>
      <c r="I1361" s="2" t="s">
        <v>3660</v>
      </c>
      <c r="J1361" s="3" t="str">
        <f>HYPERLINK("https://www.boe.es/gazeta/dias/1815/05/09/pdfs/GMD-1815-56.pdf#page=9","Abrir facsímil")</f>
        <v>Abrir facsímil</v>
      </c>
      <c r="K1361" s="3" t="s">
        <v>74</v>
      </c>
    </row>
    <row r="1362" spans="1:11" ht="42" customHeight="1">
      <c r="A1362" s="2" t="s">
        <v>3661</v>
      </c>
      <c r="B1362" s="2" t="s">
        <v>3662</v>
      </c>
      <c r="C1362" s="2" t="s">
        <v>195</v>
      </c>
      <c r="D1362" s="2" t="s">
        <v>50</v>
      </c>
      <c r="E1362" s="5">
        <v>-30879</v>
      </c>
      <c r="F1362" s="3" t="s">
        <v>754</v>
      </c>
      <c r="G1362" s="3" t="s">
        <v>52</v>
      </c>
      <c r="H1362" s="2" t="s">
        <v>72</v>
      </c>
      <c r="I1362" s="2" t="s">
        <v>3663</v>
      </c>
      <c r="J1362" s="3" t="str">
        <f>HYPERLINK("https://www.boe.es/gazeta/dias/1815/06/15/pdfs/GMD-1815-72.pdf#page=11","Abrir facsímil")</f>
        <v>Abrir facsímil</v>
      </c>
      <c r="K1362" s="3" t="s">
        <v>74</v>
      </c>
    </row>
    <row r="1363" spans="1:11" ht="42" customHeight="1">
      <c r="A1363" s="2" t="s">
        <v>3664</v>
      </c>
      <c r="B1363" s="2" t="s">
        <v>3665</v>
      </c>
      <c r="C1363" s="2" t="s">
        <v>49</v>
      </c>
      <c r="D1363" s="2" t="s">
        <v>50</v>
      </c>
      <c r="E1363" s="5">
        <v>-30865</v>
      </c>
      <c r="F1363" s="3" t="s">
        <v>163</v>
      </c>
      <c r="G1363" s="3" t="s">
        <v>27</v>
      </c>
      <c r="H1363" s="2" t="s">
        <v>72</v>
      </c>
      <c r="I1363" s="2" t="s">
        <v>3666</v>
      </c>
      <c r="J1363" s="3" t="str">
        <f>HYPERLINK("https://www.boe.es/gazeta/dias/1815/06/29/pdfs/GMD-1815-78.pdf#page=6","Abrir facsímil")</f>
        <v>Abrir facsímil</v>
      </c>
      <c r="K1363" s="3" t="s">
        <v>74</v>
      </c>
    </row>
    <row r="1364" spans="1:11" ht="42" customHeight="1">
      <c r="A1364" s="2" t="s">
        <v>3667</v>
      </c>
      <c r="B1364" s="2" t="s">
        <v>3668</v>
      </c>
      <c r="C1364" s="2" t="s">
        <v>49</v>
      </c>
      <c r="D1364" s="2" t="s">
        <v>50</v>
      </c>
      <c r="E1364" s="5">
        <v>-30863</v>
      </c>
      <c r="F1364" s="3" t="s">
        <v>110</v>
      </c>
      <c r="G1364" s="3" t="s">
        <v>224</v>
      </c>
      <c r="H1364" s="2" t="s">
        <v>72</v>
      </c>
      <c r="I1364" s="2" t="s">
        <v>3669</v>
      </c>
      <c r="J1364" s="3" t="str">
        <f>HYPERLINK("https://www.boe.es/gazeta/dias/1815/07/01/pdfs/GMD-1815-79.pdf#page=9","Abrir facsímil")</f>
        <v>Abrir facsímil</v>
      </c>
      <c r="K1364" s="3" t="s">
        <v>74</v>
      </c>
    </row>
    <row r="1365" spans="1:11" ht="42" customHeight="1">
      <c r="A1365" s="2" t="s">
        <v>3670</v>
      </c>
      <c r="B1365" s="2" t="s">
        <v>3671</v>
      </c>
      <c r="C1365" s="2" t="s">
        <v>49</v>
      </c>
      <c r="D1365" s="2" t="s">
        <v>50</v>
      </c>
      <c r="E1365" s="5">
        <v>-30818</v>
      </c>
      <c r="F1365" s="3" t="s">
        <v>334</v>
      </c>
      <c r="G1365" s="3" t="s">
        <v>27</v>
      </c>
      <c r="H1365" s="2" t="s">
        <v>72</v>
      </c>
      <c r="I1365" s="2" t="s">
        <v>3672</v>
      </c>
      <c r="J1365" s="3" t="str">
        <f>HYPERLINK("https://www.boe.es/gazeta/dias/1815/08/15/pdfs/GMD-1815-100.pdf#page=6","Abrir facsímil")</f>
        <v>Abrir facsímil</v>
      </c>
      <c r="K1365" s="3" t="s">
        <v>74</v>
      </c>
    </row>
    <row r="1366" spans="1:11" ht="42" customHeight="1">
      <c r="A1366" s="2" t="s">
        <v>3673</v>
      </c>
      <c r="B1366" s="2" t="s">
        <v>3674</v>
      </c>
      <c r="C1366" s="2" t="s">
        <v>17</v>
      </c>
      <c r="D1366" s="2" t="s">
        <v>18</v>
      </c>
      <c r="E1366" s="5">
        <v>-30772</v>
      </c>
      <c r="F1366" s="3" t="s">
        <v>216</v>
      </c>
      <c r="G1366" s="3" t="s">
        <v>27</v>
      </c>
      <c r="H1366" s="2" t="s">
        <v>72</v>
      </c>
      <c r="I1366" s="2" t="s">
        <v>3675</v>
      </c>
      <c r="J1366" s="3" t="str">
        <f>HYPERLINK("https://www.boe.es/gazeta/dias/1815/09/30/pdfs/GMD-1815-123.pdf#page=6","Abrir facsímil")</f>
        <v>Abrir facsímil</v>
      </c>
      <c r="K1366" s="3" t="s">
        <v>74</v>
      </c>
    </row>
    <row r="1367" spans="1:11" ht="42" customHeight="1">
      <c r="A1367" s="2" t="s">
        <v>3676</v>
      </c>
      <c r="B1367" s="2" t="s">
        <v>3677</v>
      </c>
      <c r="C1367" s="2" t="s">
        <v>49</v>
      </c>
      <c r="D1367" s="2" t="s">
        <v>50</v>
      </c>
      <c r="E1367" s="5">
        <v>-30818</v>
      </c>
      <c r="F1367" s="3" t="s">
        <v>334</v>
      </c>
      <c r="G1367" s="3" t="s">
        <v>224</v>
      </c>
      <c r="H1367" s="2" t="s">
        <v>72</v>
      </c>
      <c r="I1367" s="2" t="s">
        <v>3678</v>
      </c>
      <c r="J1367" s="3" t="str">
        <f>HYPERLINK("https://www.boe.es/gazeta/dias/1815/08/15/pdfs/GMD-1815-100.pdf#page=9","Abrir facsímil")</f>
        <v>Abrir facsímil</v>
      </c>
      <c r="K1367" s="3" t="s">
        <v>74</v>
      </c>
    </row>
    <row r="1368" spans="1:11" ht="42" customHeight="1">
      <c r="A1368" s="2" t="s">
        <v>3679</v>
      </c>
      <c r="B1368" s="2" t="s">
        <v>3680</v>
      </c>
      <c r="C1368" s="2" t="s">
        <v>31</v>
      </c>
      <c r="D1368" s="2" t="s">
        <v>32</v>
      </c>
      <c r="E1368" s="5">
        <v>-30877</v>
      </c>
      <c r="F1368" s="3" t="s">
        <v>548</v>
      </c>
      <c r="G1368" s="3" t="s">
        <v>276</v>
      </c>
      <c r="H1368" s="2" t="s">
        <v>72</v>
      </c>
      <c r="I1368" s="2" t="s">
        <v>3681</v>
      </c>
      <c r="J1368" s="3" t="str">
        <f>HYPERLINK("https://www.boe.es/gazeta/dias/1815/06/17/pdfs/GMD-1815-73.pdf#page=12","Abrir facsímil")</f>
        <v>Abrir facsímil</v>
      </c>
      <c r="K1368" s="3" t="s">
        <v>74</v>
      </c>
    </row>
    <row r="1369" spans="1:11" ht="42" customHeight="1">
      <c r="A1369" s="2" t="s">
        <v>3682</v>
      </c>
      <c r="B1369" s="2" t="s">
        <v>3683</v>
      </c>
      <c r="C1369" s="2" t="s">
        <v>49</v>
      </c>
      <c r="D1369" s="2" t="s">
        <v>50</v>
      </c>
      <c r="E1369" s="5">
        <v>-30825</v>
      </c>
      <c r="F1369" s="3" t="s">
        <v>669</v>
      </c>
      <c r="G1369" s="3" t="s">
        <v>27</v>
      </c>
      <c r="H1369" s="2" t="s">
        <v>72</v>
      </c>
      <c r="I1369" s="2" t="s">
        <v>3684</v>
      </c>
      <c r="J1369" s="3" t="str">
        <f>HYPERLINK("https://www.boe.es/gazeta/dias/1815/08/08/pdfs/GMD-1815-97.pdf#page=6","Abrir facsímil")</f>
        <v>Abrir facsímil</v>
      </c>
      <c r="K1369" s="3" t="s">
        <v>74</v>
      </c>
    </row>
    <row r="1370" spans="1:11" ht="42" customHeight="1">
      <c r="A1370" s="2" t="s">
        <v>3685</v>
      </c>
      <c r="B1370" s="2" t="s">
        <v>3686</v>
      </c>
      <c r="C1370" s="2" t="s">
        <v>81</v>
      </c>
      <c r="D1370" s="2" t="s">
        <v>50</v>
      </c>
      <c r="E1370" s="5">
        <v>-30951</v>
      </c>
      <c r="F1370" s="3" t="s">
        <v>87</v>
      </c>
      <c r="G1370" s="3" t="s">
        <v>57</v>
      </c>
      <c r="H1370" s="2" t="s">
        <v>72</v>
      </c>
      <c r="I1370" s="2" t="s">
        <v>3687</v>
      </c>
      <c r="J1370" s="3" t="str">
        <f>HYPERLINK("https://www.boe.es/gazeta/dias/1815/04/04/pdfs/GMD-1815-41.pdf#page=5","Abrir facsímil")</f>
        <v>Abrir facsímil</v>
      </c>
      <c r="K1370" s="3" t="s">
        <v>74</v>
      </c>
    </row>
    <row r="1371" spans="1:11" ht="42" customHeight="1">
      <c r="A1371" s="2" t="s">
        <v>3688</v>
      </c>
      <c r="B1371" s="2" t="s">
        <v>3689</v>
      </c>
      <c r="C1371" s="2" t="s">
        <v>31</v>
      </c>
      <c r="D1371" s="2" t="s">
        <v>32</v>
      </c>
      <c r="E1371" s="5">
        <v>-30830</v>
      </c>
      <c r="F1371" s="3" t="s">
        <v>33</v>
      </c>
      <c r="G1371" s="3" t="s">
        <v>71</v>
      </c>
      <c r="H1371" s="2" t="s">
        <v>72</v>
      </c>
      <c r="I1371" s="2" t="s">
        <v>3690</v>
      </c>
      <c r="J1371" s="3" t="str">
        <f>HYPERLINK("https://www.boe.es/gazeta/dias/1815/08/03/pdfs/GMD-1815-95.pdf#page=7","Abrir facsímil")</f>
        <v>Abrir facsímil</v>
      </c>
      <c r="K1371" s="3" t="s">
        <v>74</v>
      </c>
    </row>
    <row r="1372" spans="1:11" ht="42" customHeight="1">
      <c r="A1372" s="2" t="s">
        <v>3691</v>
      </c>
      <c r="B1372" s="2" t="s">
        <v>3692</v>
      </c>
      <c r="C1372" s="2" t="s">
        <v>31</v>
      </c>
      <c r="D1372" s="2" t="s">
        <v>32</v>
      </c>
      <c r="E1372" s="5">
        <v>-30860</v>
      </c>
      <c r="F1372" s="3" t="s">
        <v>184</v>
      </c>
      <c r="G1372" s="3" t="s">
        <v>20</v>
      </c>
      <c r="H1372" s="2" t="s">
        <v>72</v>
      </c>
      <c r="I1372" s="2" t="s">
        <v>3693</v>
      </c>
      <c r="J1372" s="3" t="str">
        <f>HYPERLINK("https://www.boe.es/gazeta/dias/1815/07/04/pdfs/GMD-1815-81.pdf#page=4","Abrir facsímil")</f>
        <v>Abrir facsímil</v>
      </c>
      <c r="K1372" s="3" t="s">
        <v>74</v>
      </c>
    </row>
    <row r="1373" spans="1:11" ht="42" customHeight="1">
      <c r="A1373" s="2" t="s">
        <v>3694</v>
      </c>
      <c r="B1373" s="2" t="s">
        <v>3695</v>
      </c>
      <c r="C1373" s="2" t="s">
        <v>31</v>
      </c>
      <c r="D1373" s="2" t="s">
        <v>32</v>
      </c>
      <c r="E1373" s="5">
        <v>-30870</v>
      </c>
      <c r="F1373" s="3" t="s">
        <v>122</v>
      </c>
      <c r="G1373" s="3" t="s">
        <v>71</v>
      </c>
      <c r="H1373" s="2" t="s">
        <v>72</v>
      </c>
      <c r="I1373" s="2" t="s">
        <v>3696</v>
      </c>
      <c r="J1373" s="3" t="str">
        <f>HYPERLINK("https://www.boe.es/gazeta/dias/1815/06/24/pdfs/GMD-1815-76.pdf#page=7","Abrir facsímil")</f>
        <v>Abrir facsímil</v>
      </c>
      <c r="K1373" s="3" t="s">
        <v>74</v>
      </c>
    </row>
    <row r="1374" spans="1:11" ht="42" customHeight="1">
      <c r="A1374" s="2" t="s">
        <v>3697</v>
      </c>
      <c r="B1374" s="2" t="s">
        <v>3698</v>
      </c>
      <c r="C1374" s="2" t="s">
        <v>49</v>
      </c>
      <c r="D1374" s="2" t="s">
        <v>50</v>
      </c>
      <c r="E1374" s="5">
        <v>-30886</v>
      </c>
      <c r="F1374" s="3" t="s">
        <v>140</v>
      </c>
      <c r="G1374" s="3" t="s">
        <v>38</v>
      </c>
      <c r="H1374" s="2" t="s">
        <v>72</v>
      </c>
      <c r="I1374" s="2" t="s">
        <v>3699</v>
      </c>
      <c r="J1374" s="3" t="str">
        <f>HYPERLINK("https://www.boe.es/gazeta/dias/1815/06/08/pdfs/GMD-1815-69.pdf#page=8","Abrir facsímil")</f>
        <v>Abrir facsímil</v>
      </c>
      <c r="K1374" s="3" t="s">
        <v>74</v>
      </c>
    </row>
    <row r="1375" spans="1:11" ht="42" customHeight="1">
      <c r="A1375" s="2" t="s">
        <v>3700</v>
      </c>
      <c r="B1375" s="2" t="s">
        <v>3701</v>
      </c>
      <c r="C1375" s="2" t="s">
        <v>61</v>
      </c>
      <c r="D1375" s="2" t="s">
        <v>50</v>
      </c>
      <c r="E1375" s="5">
        <v>-31038</v>
      </c>
      <c r="F1375" s="3" t="s">
        <v>395</v>
      </c>
      <c r="G1375" s="3" t="s">
        <v>71</v>
      </c>
      <c r="H1375" s="2" t="s">
        <v>21</v>
      </c>
      <c r="I1375" s="2" t="s">
        <v>3702</v>
      </c>
      <c r="J1375" s="3" t="str">
        <f>HYPERLINK("https://www.boe.es/gazeta/dias/1815/01/07/pdfs/GMD-1815-3.pdf#page=7","Abrir facsímil")</f>
        <v>Abrir facsímil</v>
      </c>
      <c r="K1375" s="3" t="s">
        <v>23</v>
      </c>
    </row>
    <row r="1376" spans="1:11" ht="42" customHeight="1">
      <c r="A1376" s="2" t="s">
        <v>3703</v>
      </c>
      <c r="B1376" s="2" t="s">
        <v>3703</v>
      </c>
      <c r="C1376" s="2" t="s">
        <v>31</v>
      </c>
      <c r="D1376" s="2" t="s">
        <v>32</v>
      </c>
      <c r="E1376" s="5">
        <v>-30751</v>
      </c>
      <c r="F1376" s="3" t="s">
        <v>819</v>
      </c>
      <c r="G1376" s="3" t="s">
        <v>820</v>
      </c>
      <c r="H1376" s="2" t="s">
        <v>72</v>
      </c>
      <c r="I1376" s="2" t="s">
        <v>3704</v>
      </c>
      <c r="J1376" s="3" t="str">
        <f>HYPERLINK("https://www.boe.es/gazeta/dias/1815/10/21/pdfs/GMD-1815-132.pdf#page=4","Abrir facsímil")</f>
        <v>Abrir facsímil</v>
      </c>
      <c r="K1376" s="3" t="s">
        <v>74</v>
      </c>
    </row>
    <row r="1377" spans="1:11" ht="42" customHeight="1">
      <c r="A1377" s="2" t="s">
        <v>3705</v>
      </c>
      <c r="B1377" s="2" t="s">
        <v>3705</v>
      </c>
      <c r="C1377" s="2" t="s">
        <v>31</v>
      </c>
      <c r="D1377" s="2" t="s">
        <v>32</v>
      </c>
      <c r="E1377" s="5">
        <v>-30760</v>
      </c>
      <c r="F1377" s="3" t="s">
        <v>349</v>
      </c>
      <c r="G1377" s="3" t="s">
        <v>20</v>
      </c>
      <c r="H1377" s="2" t="s">
        <v>72</v>
      </c>
      <c r="I1377" s="2" t="s">
        <v>3706</v>
      </c>
      <c r="J1377" s="3" t="str">
        <f>HYPERLINK("https://www.boe.es/gazeta/dias/1815/10/12/pdfs/GMD-1815-128.pdf#page=4","Abrir facsímil")</f>
        <v>Abrir facsímil</v>
      </c>
      <c r="K1377" s="3" t="s">
        <v>74</v>
      </c>
    </row>
    <row r="1378" spans="1:11" ht="42" customHeight="1">
      <c r="A1378" s="2" t="s">
        <v>3707</v>
      </c>
      <c r="B1378" s="2" t="s">
        <v>3708</v>
      </c>
      <c r="C1378" s="2" t="s">
        <v>31</v>
      </c>
      <c r="D1378" s="2" t="s">
        <v>32</v>
      </c>
      <c r="E1378" s="5">
        <v>-30839</v>
      </c>
      <c r="F1378" s="3" t="s">
        <v>616</v>
      </c>
      <c r="G1378" s="3" t="s">
        <v>71</v>
      </c>
      <c r="H1378" s="2" t="s">
        <v>72</v>
      </c>
      <c r="I1378" s="2" t="s">
        <v>3709</v>
      </c>
      <c r="J1378" s="3" t="str">
        <f>HYPERLINK("https://www.boe.es/gazeta/dias/1815/07/25/pdfs/GMD-1815-91.pdf#page=7","Abrir facsímil")</f>
        <v>Abrir facsímil</v>
      </c>
      <c r="K1378" s="3" t="s">
        <v>74</v>
      </c>
    </row>
    <row r="1379" spans="1:11" ht="42" customHeight="1">
      <c r="A1379" s="2" t="s">
        <v>3710</v>
      </c>
      <c r="B1379" s="2" t="s">
        <v>3710</v>
      </c>
      <c r="C1379" s="2" t="s">
        <v>31</v>
      </c>
      <c r="D1379" s="2" t="s">
        <v>32</v>
      </c>
      <c r="E1379" s="5">
        <v>-30823</v>
      </c>
      <c r="F1379" s="3" t="s">
        <v>305</v>
      </c>
      <c r="G1379" s="3" t="s">
        <v>306</v>
      </c>
      <c r="H1379" s="2" t="s">
        <v>72</v>
      </c>
      <c r="I1379" s="2" t="s">
        <v>3711</v>
      </c>
      <c r="J1379" s="3" t="str">
        <f>HYPERLINK("https://www.boe.es/gazeta/dias/1815/08/10/pdfs/GMD-1815-98.pdf#page=7","Abrir facsímil")</f>
        <v>Abrir facsímil</v>
      </c>
      <c r="K1379" s="3" t="s">
        <v>74</v>
      </c>
    </row>
    <row r="1380" spans="1:11" ht="42" customHeight="1">
      <c r="A1380" s="2" t="s">
        <v>3712</v>
      </c>
      <c r="B1380" s="2" t="s">
        <v>3713</v>
      </c>
      <c r="C1380" s="2" t="s">
        <v>49</v>
      </c>
      <c r="D1380" s="2" t="s">
        <v>50</v>
      </c>
      <c r="E1380" s="5">
        <v>-30870</v>
      </c>
      <c r="F1380" s="3" t="s">
        <v>122</v>
      </c>
      <c r="G1380" s="3" t="s">
        <v>88</v>
      </c>
      <c r="H1380" s="2" t="s">
        <v>72</v>
      </c>
      <c r="I1380" s="2" t="s">
        <v>3714</v>
      </c>
      <c r="J1380" s="3" t="str">
        <f>HYPERLINK("https://www.boe.es/gazeta/dias/1815/06/24/pdfs/GMD-1815-76.pdf#page=10","Abrir facsímil")</f>
        <v>Abrir facsímil</v>
      </c>
      <c r="K1380" s="3" t="s">
        <v>74</v>
      </c>
    </row>
    <row r="1381" spans="1:11" ht="42" customHeight="1">
      <c r="A1381" s="2" t="s">
        <v>3715</v>
      </c>
      <c r="B1381" s="2" t="s">
        <v>3716</v>
      </c>
      <c r="C1381" s="2" t="s">
        <v>31</v>
      </c>
      <c r="D1381" s="2" t="s">
        <v>32</v>
      </c>
      <c r="E1381" s="5">
        <v>-30739</v>
      </c>
      <c r="F1381" s="3" t="s">
        <v>254</v>
      </c>
      <c r="G1381" s="3" t="s">
        <v>88</v>
      </c>
      <c r="H1381" s="2" t="s">
        <v>72</v>
      </c>
      <c r="I1381" s="2" t="s">
        <v>3717</v>
      </c>
      <c r="J1381" s="3" t="str">
        <f>HYPERLINK("https://www.boe.es/gazeta/dias/1815/11/02/pdfs/GMD-1815-137.pdf#page=10","Abrir facsímil")</f>
        <v>Abrir facsímil</v>
      </c>
      <c r="K1381" s="3" t="s">
        <v>74</v>
      </c>
    </row>
    <row r="1382" spans="1:11" ht="42" customHeight="1">
      <c r="A1382" s="2" t="s">
        <v>3718</v>
      </c>
      <c r="B1382" s="2" t="s">
        <v>3718</v>
      </c>
      <c r="C1382" s="2" t="s">
        <v>31</v>
      </c>
      <c r="D1382" s="2" t="s">
        <v>32</v>
      </c>
      <c r="E1382" s="5">
        <v>-30823</v>
      </c>
      <c r="F1382" s="3" t="s">
        <v>305</v>
      </c>
      <c r="G1382" s="3" t="s">
        <v>97</v>
      </c>
      <c r="H1382" s="2" t="s">
        <v>72</v>
      </c>
      <c r="I1382" s="2" t="s">
        <v>3719</v>
      </c>
      <c r="J1382" s="3" t="str">
        <f>HYPERLINK("https://www.boe.es/gazeta/dias/1815/08/10/pdfs/GMD-1815-98.pdf#page=3","Abrir facsímil")</f>
        <v>Abrir facsímil</v>
      </c>
      <c r="K1382" s="3" t="s">
        <v>74</v>
      </c>
    </row>
    <row r="1383" spans="1:11" ht="42" customHeight="1">
      <c r="A1383" s="2" t="s">
        <v>3720</v>
      </c>
      <c r="B1383" s="2" t="s">
        <v>3721</v>
      </c>
      <c r="C1383" s="2" t="s">
        <v>31</v>
      </c>
      <c r="D1383" s="2" t="s">
        <v>32</v>
      </c>
      <c r="E1383" s="5">
        <v>-30695</v>
      </c>
      <c r="F1383" s="3" t="s">
        <v>824</v>
      </c>
      <c r="G1383" s="3" t="s">
        <v>38</v>
      </c>
      <c r="H1383" s="2" t="s">
        <v>72</v>
      </c>
      <c r="I1383" s="2" t="s">
        <v>3722</v>
      </c>
      <c r="J1383" s="3" t="str">
        <f>HYPERLINK("https://www.boe.es/gazeta/dias/1815/12/16/pdfs/GMD-1815-156.pdf#page=8","Abrir facsímil")</f>
        <v>Abrir facsímil</v>
      </c>
      <c r="K1383" s="3" t="s">
        <v>74</v>
      </c>
    </row>
    <row r="1384" spans="1:11" ht="42" customHeight="1">
      <c r="A1384" s="2" t="s">
        <v>3723</v>
      </c>
      <c r="B1384" s="2" t="s">
        <v>3723</v>
      </c>
      <c r="C1384" s="2" t="s">
        <v>31</v>
      </c>
      <c r="D1384" s="2" t="s">
        <v>32</v>
      </c>
      <c r="E1384" s="5">
        <v>-30830</v>
      </c>
      <c r="F1384" s="3" t="s">
        <v>33</v>
      </c>
      <c r="G1384" s="3" t="s">
        <v>57</v>
      </c>
      <c r="H1384" s="2" t="s">
        <v>72</v>
      </c>
      <c r="I1384" s="2" t="s">
        <v>3724</v>
      </c>
      <c r="J1384" s="3" t="str">
        <f>HYPERLINK("https://www.boe.es/gazeta/dias/1815/08/03/pdfs/GMD-1815-95.pdf#page=5","Abrir facsímil")</f>
        <v>Abrir facsímil</v>
      </c>
      <c r="K1384" s="3" t="s">
        <v>74</v>
      </c>
    </row>
    <row r="1385" spans="1:11" ht="42" customHeight="1">
      <c r="A1385" s="2" t="s">
        <v>3725</v>
      </c>
      <c r="B1385" s="2" t="s">
        <v>3726</v>
      </c>
      <c r="C1385" s="2" t="s">
        <v>17</v>
      </c>
      <c r="D1385" s="2" t="s">
        <v>18</v>
      </c>
      <c r="E1385" s="5">
        <v>-30767</v>
      </c>
      <c r="F1385" s="3" t="s">
        <v>228</v>
      </c>
      <c r="G1385" s="3" t="s">
        <v>88</v>
      </c>
      <c r="H1385" s="2" t="s">
        <v>72</v>
      </c>
      <c r="I1385" s="2" t="s">
        <v>3727</v>
      </c>
      <c r="J1385" s="3" t="str">
        <f>HYPERLINK("https://www.boe.es/gazeta/dias/1815/10/05/pdfs/GMD-1815-125.pdf#page=10","Abrir facsímil")</f>
        <v>Abrir facsímil</v>
      </c>
      <c r="K1385" s="3" t="s">
        <v>74</v>
      </c>
    </row>
    <row r="1386" spans="1:11" ht="42" customHeight="1">
      <c r="A1386" s="2" t="s">
        <v>3728</v>
      </c>
      <c r="B1386" s="2" t="s">
        <v>3729</v>
      </c>
      <c r="C1386" s="2" t="s">
        <v>17</v>
      </c>
      <c r="D1386" s="2" t="s">
        <v>18</v>
      </c>
      <c r="E1386" s="5">
        <v>-30993</v>
      </c>
      <c r="F1386" s="3" t="s">
        <v>66</v>
      </c>
      <c r="G1386" s="3" t="s">
        <v>38</v>
      </c>
      <c r="H1386" s="2" t="s">
        <v>72</v>
      </c>
      <c r="I1386" s="2" t="s">
        <v>3730</v>
      </c>
      <c r="J1386" s="3" t="str">
        <f>HYPERLINK("https://www.boe.es/gazeta/dias/1815/02/21/pdfs/GMD-1815-22.pdf#page=8","Abrir facsímil")</f>
        <v>Abrir facsímil</v>
      </c>
      <c r="K1386" s="3" t="s">
        <v>74</v>
      </c>
    </row>
    <row r="1387" spans="1:11" ht="42" customHeight="1">
      <c r="A1387" s="2" t="s">
        <v>3731</v>
      </c>
      <c r="B1387" s="2" t="s">
        <v>3732</v>
      </c>
      <c r="C1387" s="2" t="s">
        <v>31</v>
      </c>
      <c r="D1387" s="2" t="s">
        <v>32</v>
      </c>
      <c r="E1387" s="5">
        <v>-30818</v>
      </c>
      <c r="F1387" s="3" t="s">
        <v>334</v>
      </c>
      <c r="G1387" s="3" t="s">
        <v>38</v>
      </c>
      <c r="H1387" s="2" t="s">
        <v>72</v>
      </c>
      <c r="I1387" s="2" t="s">
        <v>3733</v>
      </c>
      <c r="J1387" s="3" t="str">
        <f>HYPERLINK("https://www.boe.es/gazeta/dias/1815/08/15/pdfs/GMD-1815-100.pdf#page=8","Abrir facsímil")</f>
        <v>Abrir facsímil</v>
      </c>
      <c r="K1387" s="3" t="s">
        <v>74</v>
      </c>
    </row>
    <row r="1388" spans="1:11" ht="42" customHeight="1">
      <c r="A1388" s="2" t="s">
        <v>3734</v>
      </c>
      <c r="B1388" s="2" t="s">
        <v>3735</v>
      </c>
      <c r="C1388" s="2" t="s">
        <v>195</v>
      </c>
      <c r="D1388" s="2" t="s">
        <v>50</v>
      </c>
      <c r="E1388" s="5">
        <v>-30900</v>
      </c>
      <c r="F1388" s="3" t="s">
        <v>921</v>
      </c>
      <c r="G1388" s="3" t="s">
        <v>88</v>
      </c>
      <c r="H1388" s="2" t="s">
        <v>72</v>
      </c>
      <c r="I1388" s="2" t="s">
        <v>3736</v>
      </c>
      <c r="J1388" s="3" t="str">
        <f>HYPERLINK("https://www.boe.es/gazeta/dias/1815/05/25/pdfs/GMD-1815-63.pdf#page=10","Abrir facsímil")</f>
        <v>Abrir facsímil</v>
      </c>
      <c r="K1388" s="3" t="s">
        <v>74</v>
      </c>
    </row>
    <row r="1389" spans="1:11" ht="42" customHeight="1">
      <c r="A1389" s="2" t="s">
        <v>3737</v>
      </c>
      <c r="B1389" s="2" t="s">
        <v>3738</v>
      </c>
      <c r="C1389" s="2" t="s">
        <v>49</v>
      </c>
      <c r="D1389" s="2" t="s">
        <v>50</v>
      </c>
      <c r="E1389" s="5">
        <v>-30818</v>
      </c>
      <c r="F1389" s="3" t="s">
        <v>334</v>
      </c>
      <c r="G1389" s="3" t="s">
        <v>224</v>
      </c>
      <c r="H1389" s="2" t="s">
        <v>72</v>
      </c>
      <c r="I1389" s="2" t="s">
        <v>3739</v>
      </c>
      <c r="J1389" s="3" t="str">
        <f>HYPERLINK("https://www.boe.es/gazeta/dias/1815/08/15/pdfs/GMD-1815-100.pdf#page=9","Abrir facsímil")</f>
        <v>Abrir facsímil</v>
      </c>
      <c r="K1389" s="3" t="s">
        <v>74</v>
      </c>
    </row>
    <row r="1390" spans="1:11" ht="42" customHeight="1">
      <c r="A1390" s="2" t="s">
        <v>3740</v>
      </c>
      <c r="B1390" s="2" t="s">
        <v>3740</v>
      </c>
      <c r="C1390" s="2" t="s">
        <v>31</v>
      </c>
      <c r="D1390" s="2" t="s">
        <v>32</v>
      </c>
      <c r="E1390" s="5">
        <v>-30823</v>
      </c>
      <c r="F1390" s="3" t="s">
        <v>305</v>
      </c>
      <c r="G1390" s="3" t="s">
        <v>20</v>
      </c>
      <c r="H1390" s="2" t="s">
        <v>72</v>
      </c>
      <c r="I1390" s="2" t="s">
        <v>3741</v>
      </c>
      <c r="J1390" s="3" t="str">
        <f>HYPERLINK("https://www.boe.es/gazeta/dias/1815/08/10/pdfs/GMD-1815-98.pdf#page=4","Abrir facsímil")</f>
        <v>Abrir facsímil</v>
      </c>
      <c r="K1390" s="3" t="s">
        <v>74</v>
      </c>
    </row>
    <row r="1391" spans="1:11" ht="42" customHeight="1">
      <c r="A1391" s="2" t="s">
        <v>3742</v>
      </c>
      <c r="B1391" s="2" t="s">
        <v>3742</v>
      </c>
      <c r="C1391" s="2" t="s">
        <v>31</v>
      </c>
      <c r="D1391" s="2" t="s">
        <v>32</v>
      </c>
      <c r="E1391" s="5">
        <v>-30832</v>
      </c>
      <c r="F1391" s="3" t="s">
        <v>266</v>
      </c>
      <c r="G1391" s="3" t="s">
        <v>27</v>
      </c>
      <c r="H1391" s="2" t="s">
        <v>72</v>
      </c>
      <c r="I1391" s="2" t="s">
        <v>3743</v>
      </c>
      <c r="J1391" s="3" t="str">
        <f>HYPERLINK("https://www.boe.es/gazeta/dias/1815/08/01/pdfs/GMD-1815-94.pdf#page=6","Abrir facsímil")</f>
        <v>Abrir facsímil</v>
      </c>
      <c r="K1391" s="3" t="s">
        <v>74</v>
      </c>
    </row>
    <row r="1392" spans="1:11" ht="42" customHeight="1">
      <c r="A1392" s="2" t="s">
        <v>3744</v>
      </c>
      <c r="B1392" s="2" t="s">
        <v>3745</v>
      </c>
      <c r="C1392" s="2" t="s">
        <v>49</v>
      </c>
      <c r="D1392" s="2" t="s">
        <v>50</v>
      </c>
      <c r="E1392" s="5">
        <v>-30870</v>
      </c>
      <c r="F1392" s="3" t="s">
        <v>122</v>
      </c>
      <c r="G1392" s="3" t="s">
        <v>88</v>
      </c>
      <c r="H1392" s="2" t="s">
        <v>72</v>
      </c>
      <c r="I1392" s="2" t="s">
        <v>3746</v>
      </c>
      <c r="J1392" s="3" t="str">
        <f>HYPERLINK("https://www.boe.es/gazeta/dias/1815/06/24/pdfs/GMD-1815-76.pdf#page=10","Abrir facsímil")</f>
        <v>Abrir facsímil</v>
      </c>
      <c r="K1392" s="3" t="s">
        <v>74</v>
      </c>
    </row>
    <row r="1393" spans="1:11" ht="42" customHeight="1">
      <c r="A1393" s="2" t="s">
        <v>3747</v>
      </c>
      <c r="B1393" s="2" t="s">
        <v>3748</v>
      </c>
      <c r="C1393" s="2" t="s">
        <v>31</v>
      </c>
      <c r="D1393" s="2" t="s">
        <v>32</v>
      </c>
      <c r="E1393" s="5">
        <v>-31038</v>
      </c>
      <c r="F1393" s="3" t="s">
        <v>395</v>
      </c>
      <c r="G1393" s="3" t="s">
        <v>27</v>
      </c>
      <c r="H1393" s="2" t="s">
        <v>72</v>
      </c>
      <c r="I1393" s="2" t="s">
        <v>3749</v>
      </c>
      <c r="J1393" s="3" t="str">
        <f>HYPERLINK("https://www.boe.es/gazeta/dias/1815/01/07/pdfs/GMD-1815-3.pdf#page=6","Abrir facsímil")</f>
        <v>Abrir facsímil</v>
      </c>
      <c r="K1393" s="3" t="s">
        <v>74</v>
      </c>
    </row>
    <row r="1394" spans="1:11" ht="42" customHeight="1">
      <c r="A1394" s="2" t="s">
        <v>3750</v>
      </c>
      <c r="B1394" s="2" t="s">
        <v>3751</v>
      </c>
      <c r="C1394" s="2" t="s">
        <v>49</v>
      </c>
      <c r="D1394" s="2" t="s">
        <v>50</v>
      </c>
      <c r="E1394" s="5">
        <v>-30863</v>
      </c>
      <c r="F1394" s="3" t="s">
        <v>110</v>
      </c>
      <c r="G1394" s="3" t="s">
        <v>224</v>
      </c>
      <c r="H1394" s="2" t="s">
        <v>72</v>
      </c>
      <c r="I1394" s="2" t="s">
        <v>3752</v>
      </c>
      <c r="J1394" s="3" t="str">
        <f>HYPERLINK("https://www.boe.es/gazeta/dias/1815/07/01/pdfs/GMD-1815-79.pdf#page=9","Abrir facsímil")</f>
        <v>Abrir facsímil</v>
      </c>
      <c r="K1394" s="3" t="s">
        <v>74</v>
      </c>
    </row>
    <row r="1395" spans="1:11" ht="42" customHeight="1">
      <c r="A1395" s="2" t="s">
        <v>3753</v>
      </c>
      <c r="B1395" s="2" t="s">
        <v>3754</v>
      </c>
      <c r="C1395" s="2" t="s">
        <v>17</v>
      </c>
      <c r="D1395" s="2" t="s">
        <v>18</v>
      </c>
      <c r="E1395" s="5">
        <v>-30968</v>
      </c>
      <c r="F1395" s="3" t="s">
        <v>2695</v>
      </c>
      <c r="G1395" s="3" t="s">
        <v>57</v>
      </c>
      <c r="H1395" s="2" t="s">
        <v>72</v>
      </c>
      <c r="I1395" s="2" t="s">
        <v>3755</v>
      </c>
      <c r="J1395" s="3" t="str">
        <f>HYPERLINK("https://www.boe.es/gazeta/dias/1815/03/18/pdfs/GMD-1815-33.pdf#page=5","Abrir facsímil")</f>
        <v>Abrir facsímil</v>
      </c>
      <c r="K1395" s="3" t="s">
        <v>74</v>
      </c>
    </row>
    <row r="1396" spans="1:11" ht="42" customHeight="1">
      <c r="A1396" s="2" t="s">
        <v>3756</v>
      </c>
      <c r="B1396" s="2" t="s">
        <v>3756</v>
      </c>
      <c r="C1396" s="2" t="s">
        <v>131</v>
      </c>
      <c r="D1396" s="2" t="s">
        <v>50</v>
      </c>
      <c r="E1396" s="5">
        <v>-30963</v>
      </c>
      <c r="F1396" s="3" t="s">
        <v>879</v>
      </c>
      <c r="G1396" s="3" t="s">
        <v>71</v>
      </c>
      <c r="H1396" s="2" t="s">
        <v>72</v>
      </c>
      <c r="I1396" s="2" t="s">
        <v>3757</v>
      </c>
      <c r="J1396" s="3" t="str">
        <f>HYPERLINK("https://www.boe.es/gazeta/dias/1815/03/23/pdfs/GMD-1815-35.pdf#page=7","Abrir facsímil")</f>
        <v>Abrir facsímil</v>
      </c>
      <c r="K1396" s="3" t="s">
        <v>74</v>
      </c>
    </row>
    <row r="1397" spans="1:11" ht="42" customHeight="1">
      <c r="A1397" s="2" t="s">
        <v>3756</v>
      </c>
      <c r="B1397" s="2" t="s">
        <v>3756</v>
      </c>
      <c r="C1397" s="2" t="s">
        <v>31</v>
      </c>
      <c r="D1397" s="2" t="s">
        <v>32</v>
      </c>
      <c r="E1397" s="5">
        <v>-30695</v>
      </c>
      <c r="F1397" s="3" t="s">
        <v>824</v>
      </c>
      <c r="G1397" s="3" t="s">
        <v>3758</v>
      </c>
      <c r="H1397" s="2" t="s">
        <v>72</v>
      </c>
      <c r="I1397" s="2" t="s">
        <v>3759</v>
      </c>
      <c r="J1397" s="3" t="str">
        <f>HYPERLINK("https://www.boe.es/gazeta/dias/1815/12/16/pdfs/GMD-1815-156.pdf#page=6","Abrir facsímil")</f>
        <v>Abrir facsímil</v>
      </c>
      <c r="K1397" s="3" t="s">
        <v>74</v>
      </c>
    </row>
    <row r="1398" spans="1:11" ht="42" customHeight="1">
      <c r="A1398" s="2" t="s">
        <v>3760</v>
      </c>
      <c r="B1398" s="2" t="s">
        <v>3761</v>
      </c>
      <c r="C1398" s="2" t="s">
        <v>49</v>
      </c>
      <c r="D1398" s="2" t="s">
        <v>50</v>
      </c>
      <c r="E1398" s="5">
        <v>-30767</v>
      </c>
      <c r="F1398" s="3" t="s">
        <v>228</v>
      </c>
      <c r="G1398" s="3" t="s">
        <v>88</v>
      </c>
      <c r="H1398" s="2" t="s">
        <v>72</v>
      </c>
      <c r="I1398" s="2" t="s">
        <v>3762</v>
      </c>
      <c r="J1398" s="3" t="str">
        <f>HYPERLINK("https://www.boe.es/gazeta/dias/1815/10/05/pdfs/GMD-1815-125.pdf#page=10","Abrir facsímil")</f>
        <v>Abrir facsímil</v>
      </c>
      <c r="K1398" s="3" t="s">
        <v>74</v>
      </c>
    </row>
    <row r="1399" spans="1:11" ht="42" customHeight="1">
      <c r="A1399" s="2" t="s">
        <v>3763</v>
      </c>
      <c r="B1399" s="2" t="s">
        <v>3763</v>
      </c>
      <c r="C1399" s="2" t="s">
        <v>81</v>
      </c>
      <c r="D1399" s="2" t="s">
        <v>50</v>
      </c>
      <c r="E1399" s="5">
        <v>-30949</v>
      </c>
      <c r="F1399" s="3" t="s">
        <v>420</v>
      </c>
      <c r="G1399" s="3" t="s">
        <v>377</v>
      </c>
      <c r="H1399" s="2" t="s">
        <v>72</v>
      </c>
      <c r="I1399" s="2" t="s">
        <v>3764</v>
      </c>
      <c r="J1399" s="3" t="str">
        <f>HYPERLINK("https://www.boe.es/gazeta/dias/1815/04/06/pdfs/GMD-1815-42.pdf#page=2","Abrir facsímil")</f>
        <v>Abrir facsímil</v>
      </c>
      <c r="K1399" s="3" t="s">
        <v>74</v>
      </c>
    </row>
    <row r="1400" spans="1:11" ht="42" customHeight="1">
      <c r="A1400" s="2" t="s">
        <v>3763</v>
      </c>
      <c r="B1400" s="2" t="s">
        <v>3763</v>
      </c>
      <c r="C1400" s="2" t="s">
        <v>49</v>
      </c>
      <c r="D1400" s="2" t="s">
        <v>50</v>
      </c>
      <c r="E1400" s="5">
        <v>-30891</v>
      </c>
      <c r="F1400" s="3" t="s">
        <v>498</v>
      </c>
      <c r="G1400" s="3" t="s">
        <v>71</v>
      </c>
      <c r="H1400" s="2" t="s">
        <v>72</v>
      </c>
      <c r="I1400" s="2" t="s">
        <v>3765</v>
      </c>
      <c r="J1400" s="3" t="str">
        <f>HYPERLINK("https://www.boe.es/gazeta/dias/1815/06/03/pdfs/GMD-1815-67.pdf#page=7","Abrir facsímil")</f>
        <v>Abrir facsímil</v>
      </c>
      <c r="K1400" s="3" t="s">
        <v>74</v>
      </c>
    </row>
    <row r="1401" spans="1:11" ht="42" customHeight="1">
      <c r="A1401" s="2" t="s">
        <v>3763</v>
      </c>
      <c r="B1401" s="2" t="s">
        <v>3763</v>
      </c>
      <c r="C1401" s="2" t="s">
        <v>31</v>
      </c>
      <c r="D1401" s="2" t="s">
        <v>32</v>
      </c>
      <c r="E1401" s="5">
        <v>-30877</v>
      </c>
      <c r="F1401" s="3" t="s">
        <v>548</v>
      </c>
      <c r="G1401" s="3" t="s">
        <v>276</v>
      </c>
      <c r="H1401" s="2" t="s">
        <v>72</v>
      </c>
      <c r="I1401" s="2" t="s">
        <v>3766</v>
      </c>
      <c r="J1401" s="3" t="str">
        <f>HYPERLINK("https://www.boe.es/gazeta/dias/1815/06/17/pdfs/GMD-1815-73.pdf#page=12","Abrir facsímil")</f>
        <v>Abrir facsímil</v>
      </c>
      <c r="K1401" s="3" t="s">
        <v>74</v>
      </c>
    </row>
    <row r="1402" spans="1:11" ht="42" customHeight="1">
      <c r="A1402" s="2" t="s">
        <v>3763</v>
      </c>
      <c r="B1402" s="2" t="s">
        <v>3763</v>
      </c>
      <c r="C1402" s="2" t="s">
        <v>31</v>
      </c>
      <c r="D1402" s="2" t="s">
        <v>32</v>
      </c>
      <c r="E1402" s="5">
        <v>-30870</v>
      </c>
      <c r="F1402" s="3" t="s">
        <v>122</v>
      </c>
      <c r="G1402" s="3" t="s">
        <v>88</v>
      </c>
      <c r="H1402" s="2" t="s">
        <v>72</v>
      </c>
      <c r="I1402" s="2" t="s">
        <v>3767</v>
      </c>
      <c r="J1402" s="3" t="str">
        <f>HYPERLINK("https://www.boe.es/gazeta/dias/1815/06/24/pdfs/GMD-1815-76.pdf#page=10","Abrir facsímil")</f>
        <v>Abrir facsímil</v>
      </c>
      <c r="K1402" s="3" t="s">
        <v>74</v>
      </c>
    </row>
    <row r="1403" spans="1:11" ht="42" customHeight="1">
      <c r="A1403" s="2" t="s">
        <v>3763</v>
      </c>
      <c r="B1403" s="2" t="s">
        <v>3763</v>
      </c>
      <c r="C1403" s="2" t="s">
        <v>49</v>
      </c>
      <c r="D1403" s="2" t="s">
        <v>50</v>
      </c>
      <c r="E1403" s="5">
        <v>-30865</v>
      </c>
      <c r="F1403" s="3" t="s">
        <v>163</v>
      </c>
      <c r="G1403" s="3" t="s">
        <v>38</v>
      </c>
      <c r="H1403" s="2" t="s">
        <v>72</v>
      </c>
      <c r="I1403" s="2" t="s">
        <v>3768</v>
      </c>
      <c r="J1403" s="3" t="str">
        <f>HYPERLINK("https://www.boe.es/gazeta/dias/1815/06/29/pdfs/GMD-1815-78.pdf#page=8","Abrir facsímil")</f>
        <v>Abrir facsímil</v>
      </c>
      <c r="K1403" s="3" t="s">
        <v>74</v>
      </c>
    </row>
    <row r="1404" spans="1:11" ht="42" customHeight="1">
      <c r="A1404" s="2" t="s">
        <v>3769</v>
      </c>
      <c r="B1404" s="2" t="s">
        <v>3770</v>
      </c>
      <c r="C1404" s="2" t="s">
        <v>17</v>
      </c>
      <c r="D1404" s="2" t="s">
        <v>18</v>
      </c>
      <c r="E1404" s="5">
        <v>-30949</v>
      </c>
      <c r="F1404" s="3" t="s">
        <v>420</v>
      </c>
      <c r="G1404" s="3" t="s">
        <v>377</v>
      </c>
      <c r="H1404" s="2" t="s">
        <v>72</v>
      </c>
      <c r="I1404" s="2" t="s">
        <v>3771</v>
      </c>
      <c r="J1404" s="3" t="str">
        <f>HYPERLINK("https://www.boe.es/gazeta/dias/1815/04/06/pdfs/GMD-1815-42.pdf#page=2","Abrir facsímil")</f>
        <v>Abrir facsímil</v>
      </c>
      <c r="K1404" s="3" t="s">
        <v>74</v>
      </c>
    </row>
    <row r="1405" spans="1:11" ht="42" customHeight="1">
      <c r="A1405" s="2" t="s">
        <v>3772</v>
      </c>
      <c r="B1405" s="2" t="s">
        <v>3773</v>
      </c>
      <c r="C1405" s="2" t="s">
        <v>61</v>
      </c>
      <c r="D1405" s="2" t="s">
        <v>50</v>
      </c>
      <c r="E1405" s="5">
        <v>-31007</v>
      </c>
      <c r="F1405" s="3" t="s">
        <v>200</v>
      </c>
      <c r="G1405" s="3" t="s">
        <v>97</v>
      </c>
      <c r="H1405" s="2" t="s">
        <v>72</v>
      </c>
      <c r="I1405" s="2" t="s">
        <v>3774</v>
      </c>
      <c r="J1405" s="3" t="str">
        <f>HYPERLINK("https://www.boe.es/gazeta/dias/1815/02/07/pdfs/GMD-1815-16.pdf#page=3","Abrir facsímil")</f>
        <v>Abrir facsímil</v>
      </c>
      <c r="K1405" s="3" t="s">
        <v>74</v>
      </c>
    </row>
    <row r="1406" spans="1:11" ht="42" customHeight="1">
      <c r="A1406" s="2" t="s">
        <v>3775</v>
      </c>
      <c r="B1406" s="2" t="s">
        <v>3776</v>
      </c>
      <c r="C1406" s="2" t="s">
        <v>49</v>
      </c>
      <c r="D1406" s="2" t="s">
        <v>50</v>
      </c>
      <c r="E1406" s="5">
        <v>-30886</v>
      </c>
      <c r="F1406" s="3" t="s">
        <v>140</v>
      </c>
      <c r="G1406" s="3" t="s">
        <v>224</v>
      </c>
      <c r="H1406" s="2" t="s">
        <v>72</v>
      </c>
      <c r="I1406" s="2" t="s">
        <v>3777</v>
      </c>
      <c r="J1406" s="3" t="str">
        <f>HYPERLINK("https://www.boe.es/gazeta/dias/1815/06/08/pdfs/GMD-1815-69.pdf#page=9","Abrir facsímil")</f>
        <v>Abrir facsímil</v>
      </c>
      <c r="K1406" s="3" t="s">
        <v>74</v>
      </c>
    </row>
    <row r="1407" spans="1:11" ht="42" customHeight="1">
      <c r="A1407" s="2" t="s">
        <v>3778</v>
      </c>
      <c r="B1407" s="2" t="s">
        <v>3779</v>
      </c>
      <c r="C1407" s="2" t="s">
        <v>61</v>
      </c>
      <c r="D1407" s="2" t="s">
        <v>50</v>
      </c>
      <c r="E1407" s="5">
        <v>-30793</v>
      </c>
      <c r="F1407" s="3" t="s">
        <v>1704</v>
      </c>
      <c r="G1407" s="3" t="s">
        <v>38</v>
      </c>
      <c r="H1407" s="2" t="s">
        <v>72</v>
      </c>
      <c r="I1407" s="2" t="s">
        <v>3780</v>
      </c>
      <c r="J1407" s="3" t="str">
        <f>HYPERLINK("https://www.boe.es/gazeta/dias/1815/09/09/pdfs/GMD-1815-112.pdf#page=8","Abrir facsímil")</f>
        <v>Abrir facsímil</v>
      </c>
      <c r="K1407" s="3" t="s">
        <v>74</v>
      </c>
    </row>
    <row r="1408" spans="1:11" ht="42" customHeight="1">
      <c r="A1408" s="2" t="s">
        <v>3781</v>
      </c>
      <c r="B1408" s="2" t="s">
        <v>3782</v>
      </c>
      <c r="C1408" s="2" t="s">
        <v>31</v>
      </c>
      <c r="D1408" s="2" t="s">
        <v>32</v>
      </c>
      <c r="E1408" s="5">
        <v>-30800</v>
      </c>
      <c r="F1408" s="3" t="s">
        <v>26</v>
      </c>
      <c r="G1408" s="3" t="s">
        <v>71</v>
      </c>
      <c r="H1408" s="2" t="s">
        <v>72</v>
      </c>
      <c r="I1408" s="2" t="s">
        <v>3783</v>
      </c>
      <c r="J1408" s="3" t="str">
        <f>HYPERLINK("https://www.boe.es/gazeta/dias/1815/09/02/pdfs/GMD-1815-109.pdf#page=7","Abrir facsímil")</f>
        <v>Abrir facsímil</v>
      </c>
      <c r="K1408" s="3" t="s">
        <v>74</v>
      </c>
    </row>
    <row r="1409" spans="1:11" ht="42" customHeight="1">
      <c r="A1409" s="2" t="s">
        <v>3784</v>
      </c>
      <c r="B1409" s="2" t="s">
        <v>3785</v>
      </c>
      <c r="C1409" s="2" t="s">
        <v>31</v>
      </c>
      <c r="D1409" s="2" t="s">
        <v>32</v>
      </c>
      <c r="E1409" s="5">
        <v>-30739</v>
      </c>
      <c r="F1409" s="3" t="s">
        <v>254</v>
      </c>
      <c r="G1409" s="3" t="s">
        <v>38</v>
      </c>
      <c r="H1409" s="2" t="s">
        <v>72</v>
      </c>
      <c r="I1409" s="2" t="s">
        <v>3786</v>
      </c>
      <c r="J1409" s="3" t="str">
        <f>HYPERLINK("https://www.boe.es/gazeta/dias/1815/11/02/pdfs/GMD-1815-137.pdf#page=8","Abrir facsímil")</f>
        <v>Abrir facsímil</v>
      </c>
      <c r="K1409" s="3" t="s">
        <v>74</v>
      </c>
    </row>
    <row r="1410" spans="1:11" ht="42" customHeight="1">
      <c r="A1410" s="2" t="s">
        <v>3787</v>
      </c>
      <c r="B1410" s="2" t="s">
        <v>3788</v>
      </c>
      <c r="C1410" s="2" t="s">
        <v>49</v>
      </c>
      <c r="D1410" s="2" t="s">
        <v>50</v>
      </c>
      <c r="E1410" s="5">
        <v>-30886</v>
      </c>
      <c r="F1410" s="3" t="s">
        <v>140</v>
      </c>
      <c r="G1410" s="3" t="s">
        <v>224</v>
      </c>
      <c r="H1410" s="2" t="s">
        <v>72</v>
      </c>
      <c r="I1410" s="2" t="s">
        <v>3789</v>
      </c>
      <c r="J1410" s="3" t="str">
        <f>HYPERLINK("https://www.boe.es/gazeta/dias/1815/06/08/pdfs/GMD-1815-69.pdf#page=9","Abrir facsímil")</f>
        <v>Abrir facsímil</v>
      </c>
      <c r="K1410" s="3" t="s">
        <v>74</v>
      </c>
    </row>
    <row r="1411" spans="1:11" ht="42" customHeight="1">
      <c r="A1411" s="2" t="s">
        <v>3790</v>
      </c>
      <c r="B1411" s="2" t="s">
        <v>3791</v>
      </c>
      <c r="C1411" s="2" t="s">
        <v>49</v>
      </c>
      <c r="D1411" s="2" t="s">
        <v>50</v>
      </c>
      <c r="E1411" s="5">
        <v>-30790</v>
      </c>
      <c r="F1411" s="3" t="s">
        <v>285</v>
      </c>
      <c r="G1411" s="3" t="s">
        <v>20</v>
      </c>
      <c r="H1411" s="2" t="s">
        <v>21</v>
      </c>
      <c r="I1411" s="2" t="s">
        <v>3792</v>
      </c>
      <c r="J1411" s="3" t="str">
        <f>HYPERLINK("https://www.boe.es/gazeta/dias/1815/09/12/pdfs/GMD-1815-113.pdf#page=4","Abrir facsímil")</f>
        <v>Abrir facsímil</v>
      </c>
      <c r="K1411" s="3" t="s">
        <v>23</v>
      </c>
    </row>
    <row r="1412" spans="1:11" ht="42" customHeight="1">
      <c r="A1412" s="2" t="s">
        <v>3793</v>
      </c>
      <c r="B1412" s="2" t="s">
        <v>3794</v>
      </c>
      <c r="C1412" s="2" t="s">
        <v>17</v>
      </c>
      <c r="D1412" s="2" t="s">
        <v>18</v>
      </c>
      <c r="E1412" s="5">
        <v>-30853</v>
      </c>
      <c r="F1412" s="3" t="s">
        <v>1473</v>
      </c>
      <c r="G1412" s="3" t="s">
        <v>3505</v>
      </c>
      <c r="H1412" s="2" t="s">
        <v>72</v>
      </c>
      <c r="I1412" s="2" t="s">
        <v>3795</v>
      </c>
      <c r="J1412" s="3" t="str">
        <f>HYPERLINK("https://www.boe.es/gazeta/dias/1815/07/11/pdfs/GMD-1815-85.pdf#page=4","Abrir facsímil")</f>
        <v>Abrir facsímil</v>
      </c>
      <c r="K1412" s="3" t="s">
        <v>74</v>
      </c>
    </row>
    <row r="1413" spans="1:11" ht="42" customHeight="1">
      <c r="A1413" s="2" t="s">
        <v>3796</v>
      </c>
      <c r="B1413" s="2" t="s">
        <v>3797</v>
      </c>
      <c r="C1413" s="2" t="s">
        <v>17</v>
      </c>
      <c r="D1413" s="2" t="s">
        <v>18</v>
      </c>
      <c r="E1413" s="5">
        <v>-30902</v>
      </c>
      <c r="F1413" s="3" t="s">
        <v>648</v>
      </c>
      <c r="G1413" s="3" t="s">
        <v>38</v>
      </c>
      <c r="H1413" s="2" t="s">
        <v>72</v>
      </c>
      <c r="I1413" s="2" t="s">
        <v>3798</v>
      </c>
      <c r="J1413" s="3" t="str">
        <f>HYPERLINK("https://www.boe.es/gazeta/dias/1815/05/23/pdfs/GMD-1815-62.pdf#page=8","Abrir facsímil")</f>
        <v>Abrir facsímil</v>
      </c>
      <c r="K1413" s="3" t="s">
        <v>74</v>
      </c>
    </row>
    <row r="1414" spans="1:11" ht="42" customHeight="1">
      <c r="A1414" s="2" t="s">
        <v>3799</v>
      </c>
      <c r="B1414" s="2" t="s">
        <v>3800</v>
      </c>
      <c r="C1414" s="2" t="s">
        <v>195</v>
      </c>
      <c r="D1414" s="2" t="s">
        <v>50</v>
      </c>
      <c r="E1414" s="5">
        <v>-30940</v>
      </c>
      <c r="F1414" s="3" t="s">
        <v>610</v>
      </c>
      <c r="G1414" s="3" t="s">
        <v>71</v>
      </c>
      <c r="H1414" s="2" t="s">
        <v>72</v>
      </c>
      <c r="I1414" s="2" t="s">
        <v>3801</v>
      </c>
      <c r="J1414" s="3" t="str">
        <f>HYPERLINK("https://www.boe.es/gazeta/dias/1815/04/15/pdfs/GMD-1815-46.pdf#page=7","Abrir facsímil")</f>
        <v>Abrir facsímil</v>
      </c>
      <c r="K1414" s="3" t="s">
        <v>74</v>
      </c>
    </row>
    <row r="1415" spans="1:11" ht="42" customHeight="1">
      <c r="A1415" s="2" t="s">
        <v>3802</v>
      </c>
      <c r="B1415" s="2" t="s">
        <v>3803</v>
      </c>
      <c r="C1415" s="2" t="s">
        <v>195</v>
      </c>
      <c r="D1415" s="2" t="s">
        <v>50</v>
      </c>
      <c r="E1415" s="5">
        <v>-30793</v>
      </c>
      <c r="F1415" s="3" t="s">
        <v>1704</v>
      </c>
      <c r="G1415" s="3" t="s">
        <v>38</v>
      </c>
      <c r="H1415" s="2" t="s">
        <v>72</v>
      </c>
      <c r="I1415" s="2" t="s">
        <v>3804</v>
      </c>
      <c r="J1415" s="3" t="str">
        <f>HYPERLINK("https://www.boe.es/gazeta/dias/1815/09/09/pdfs/GMD-1815-112.pdf#page=8","Abrir facsímil")</f>
        <v>Abrir facsímil</v>
      </c>
      <c r="K1415" s="3" t="s">
        <v>74</v>
      </c>
    </row>
    <row r="1416" spans="1:11" ht="42" customHeight="1">
      <c r="A1416" s="2" t="s">
        <v>3805</v>
      </c>
      <c r="B1416" s="2" t="s">
        <v>3806</v>
      </c>
      <c r="C1416" s="2" t="s">
        <v>31</v>
      </c>
      <c r="D1416" s="2" t="s">
        <v>32</v>
      </c>
      <c r="E1416" s="5">
        <v>-30842</v>
      </c>
      <c r="F1416" s="3" t="s">
        <v>126</v>
      </c>
      <c r="G1416" s="3" t="s">
        <v>1715</v>
      </c>
      <c r="H1416" s="2" t="s">
        <v>72</v>
      </c>
      <c r="I1416" s="2" t="s">
        <v>3807</v>
      </c>
      <c r="J1416" s="3" t="str">
        <f>HYPERLINK("https://www.boe.es/gazeta/dias/1815/07/22/pdfs/GMD-1815-90.pdf#page=2","Abrir facsímil")</f>
        <v>Abrir facsímil</v>
      </c>
      <c r="K1416" s="3" t="s">
        <v>74</v>
      </c>
    </row>
    <row r="1417" spans="1:11" ht="42" customHeight="1">
      <c r="A1417" s="2" t="s">
        <v>3808</v>
      </c>
      <c r="B1417" s="2" t="s">
        <v>3809</v>
      </c>
      <c r="C1417" s="2" t="s">
        <v>31</v>
      </c>
      <c r="D1417" s="2" t="s">
        <v>32</v>
      </c>
      <c r="E1417" s="5">
        <v>-30823</v>
      </c>
      <c r="F1417" s="3" t="s">
        <v>305</v>
      </c>
      <c r="G1417" s="3" t="s">
        <v>38</v>
      </c>
      <c r="H1417" s="2" t="s">
        <v>72</v>
      </c>
      <c r="I1417" s="2" t="s">
        <v>3810</v>
      </c>
      <c r="J1417" s="3" t="str">
        <f>HYPERLINK("https://www.boe.es/gazeta/dias/1815/08/10/pdfs/GMD-1815-98.pdf#page=8","Abrir facsímil")</f>
        <v>Abrir facsímil</v>
      </c>
      <c r="K1417" s="3" t="s">
        <v>74</v>
      </c>
    </row>
    <row r="1418" spans="1:11" ht="42" customHeight="1">
      <c r="A1418" s="2" t="s">
        <v>3808</v>
      </c>
      <c r="B1418" s="2" t="s">
        <v>3809</v>
      </c>
      <c r="C1418" s="2" t="s">
        <v>17</v>
      </c>
      <c r="D1418" s="2" t="s">
        <v>18</v>
      </c>
      <c r="E1418" s="5">
        <v>-30681</v>
      </c>
      <c r="F1418" s="3" t="s">
        <v>2093</v>
      </c>
      <c r="G1418" s="3" t="s">
        <v>71</v>
      </c>
      <c r="H1418" s="2" t="s">
        <v>72</v>
      </c>
      <c r="I1418" s="2" t="s">
        <v>3811</v>
      </c>
      <c r="J1418" s="3" t="str">
        <f>HYPERLINK("https://www.boe.es/gazeta/dias/1815/12/30/pdfs/GMD-1815-162.pdf#page=7","Abrir facsímil")</f>
        <v>Abrir facsímil</v>
      </c>
      <c r="K1418" s="3" t="s">
        <v>74</v>
      </c>
    </row>
    <row r="1419" spans="1:11" ht="42" customHeight="1">
      <c r="A1419" s="2" t="s">
        <v>3812</v>
      </c>
      <c r="B1419" s="2" t="s">
        <v>3812</v>
      </c>
      <c r="C1419" s="2" t="s">
        <v>31</v>
      </c>
      <c r="D1419" s="2" t="s">
        <v>32</v>
      </c>
      <c r="E1419" s="5">
        <v>-30905</v>
      </c>
      <c r="F1419" s="3" t="s">
        <v>901</v>
      </c>
      <c r="G1419" s="3" t="s">
        <v>902</v>
      </c>
      <c r="H1419" s="2" t="s">
        <v>72</v>
      </c>
      <c r="I1419" s="2" t="s">
        <v>3813</v>
      </c>
      <c r="J1419" s="3" t="str">
        <f>HYPERLINK("https://www.boe.es/gazeta/dias/1815/05/20/pdfs/GMD-1815-61.pdf#page=8","Abrir facsímil")</f>
        <v>Abrir facsímil</v>
      </c>
      <c r="K1419" s="3" t="s">
        <v>74</v>
      </c>
    </row>
    <row r="1420" spans="1:11" ht="42" customHeight="1">
      <c r="A1420" s="2" t="s">
        <v>3814</v>
      </c>
      <c r="B1420" s="2" t="s">
        <v>3815</v>
      </c>
      <c r="C1420" s="2" t="s">
        <v>195</v>
      </c>
      <c r="D1420" s="2" t="s">
        <v>50</v>
      </c>
      <c r="E1420" s="5">
        <v>-30874</v>
      </c>
      <c r="F1420" s="3" t="s">
        <v>208</v>
      </c>
      <c r="G1420" s="3" t="s">
        <v>38</v>
      </c>
      <c r="H1420" s="2" t="s">
        <v>72</v>
      </c>
      <c r="I1420" s="2" t="s">
        <v>3816</v>
      </c>
      <c r="J1420" s="3" t="str">
        <f>HYPERLINK("https://www.boe.es/gazeta/dias/1815/06/20/pdfs/GMD-1815-74.pdf#page=8","Abrir facsímil")</f>
        <v>Abrir facsímil</v>
      </c>
      <c r="K1420" s="3" t="s">
        <v>74</v>
      </c>
    </row>
    <row r="1421" spans="1:11" ht="42" customHeight="1">
      <c r="A1421" s="2" t="s">
        <v>3817</v>
      </c>
      <c r="B1421" s="2" t="s">
        <v>3818</v>
      </c>
      <c r="C1421" s="2" t="s">
        <v>49</v>
      </c>
      <c r="D1421" s="2" t="s">
        <v>50</v>
      </c>
      <c r="E1421" s="5">
        <v>-31040</v>
      </c>
      <c r="F1421" s="3" t="s">
        <v>326</v>
      </c>
      <c r="G1421" s="3" t="s">
        <v>27</v>
      </c>
      <c r="H1421" s="2" t="s">
        <v>72</v>
      </c>
      <c r="I1421" s="2" t="s">
        <v>3819</v>
      </c>
      <c r="J1421" s="3" t="str">
        <f>HYPERLINK("https://www.boe.es/gazeta/dias/1815/01/05/pdfs/GMD-1815-2.pdf#page=6","Abrir facsímil")</f>
        <v>Abrir facsímil</v>
      </c>
      <c r="K1421" s="3" t="s">
        <v>74</v>
      </c>
    </row>
    <row r="1422" spans="1:11" ht="42" customHeight="1">
      <c r="A1422" s="2" t="s">
        <v>3820</v>
      </c>
      <c r="B1422" s="2" t="s">
        <v>3821</v>
      </c>
      <c r="C1422" s="2" t="s">
        <v>49</v>
      </c>
      <c r="D1422" s="2" t="s">
        <v>50</v>
      </c>
      <c r="E1422" s="5">
        <v>-30916</v>
      </c>
      <c r="F1422" s="3" t="s">
        <v>147</v>
      </c>
      <c r="G1422" s="3" t="s">
        <v>38</v>
      </c>
      <c r="H1422" s="2" t="s">
        <v>72</v>
      </c>
      <c r="I1422" s="2" t="s">
        <v>3822</v>
      </c>
      <c r="J1422" s="3" t="str">
        <f>HYPERLINK("https://www.boe.es/gazeta/dias/1815/05/09/pdfs/GMD-1815-56.pdf#page=8","Abrir facsímil")</f>
        <v>Abrir facsímil</v>
      </c>
      <c r="K1422" s="3" t="s">
        <v>74</v>
      </c>
    </row>
    <row r="1423" spans="1:11" ht="42" customHeight="1">
      <c r="A1423" s="2" t="s">
        <v>3823</v>
      </c>
      <c r="B1423" s="2" t="s">
        <v>3824</v>
      </c>
      <c r="C1423" s="2" t="s">
        <v>195</v>
      </c>
      <c r="D1423" s="2" t="s">
        <v>50</v>
      </c>
      <c r="E1423" s="5">
        <v>-30872</v>
      </c>
      <c r="F1423" s="3" t="s">
        <v>167</v>
      </c>
      <c r="G1423" s="3" t="s">
        <v>224</v>
      </c>
      <c r="H1423" s="2" t="s">
        <v>72</v>
      </c>
      <c r="I1423" s="2" t="s">
        <v>3825</v>
      </c>
      <c r="J1423" s="3" t="str">
        <f>HYPERLINK("https://www.boe.es/gazeta/dias/1815/06/22/pdfs/GMD-1815-75.pdf#page=9","Abrir facsímil")</f>
        <v>Abrir facsímil</v>
      </c>
      <c r="K1423" s="3" t="s">
        <v>74</v>
      </c>
    </row>
    <row r="1424" spans="1:11" ht="42" customHeight="1">
      <c r="A1424" s="2" t="s">
        <v>3826</v>
      </c>
      <c r="B1424" s="2" t="s">
        <v>3827</v>
      </c>
      <c r="C1424" s="2" t="s">
        <v>49</v>
      </c>
      <c r="D1424" s="2" t="s">
        <v>50</v>
      </c>
      <c r="E1424" s="5">
        <v>-30781</v>
      </c>
      <c r="F1424" s="3" t="s">
        <v>685</v>
      </c>
      <c r="G1424" s="3" t="s">
        <v>71</v>
      </c>
      <c r="H1424" s="2" t="s">
        <v>72</v>
      </c>
      <c r="I1424" s="2" t="s">
        <v>3828</v>
      </c>
      <c r="J1424" s="3" t="str">
        <f>HYPERLINK("https://www.boe.es/gazeta/dias/1815/09/21/pdfs/GMD-1815-117.pdf#page=7","Abrir facsímil")</f>
        <v>Abrir facsímil</v>
      </c>
      <c r="K1424" s="3" t="s">
        <v>74</v>
      </c>
    </row>
    <row r="1425" spans="1:11" ht="42" customHeight="1">
      <c r="A1425" s="2" t="s">
        <v>3829</v>
      </c>
      <c r="B1425" s="2" t="s">
        <v>3829</v>
      </c>
      <c r="C1425" s="2" t="s">
        <v>31</v>
      </c>
      <c r="D1425" s="2" t="s">
        <v>32</v>
      </c>
      <c r="E1425" s="5">
        <v>-30835</v>
      </c>
      <c r="F1425" s="3" t="s">
        <v>544</v>
      </c>
      <c r="G1425" s="3" t="s">
        <v>52</v>
      </c>
      <c r="H1425" s="2" t="s">
        <v>72</v>
      </c>
      <c r="I1425" s="2" t="s">
        <v>3830</v>
      </c>
      <c r="J1425" s="3" t="str">
        <f>HYPERLINK("https://www.boe.es/gazeta/dias/1815/07/29/pdfs/GMD-1815-93.pdf#page=11","Abrir facsímil")</f>
        <v>Abrir facsímil</v>
      </c>
      <c r="K1425" s="3" t="s">
        <v>74</v>
      </c>
    </row>
    <row r="1426" spans="1:11" ht="42" customHeight="1">
      <c r="A1426" s="2" t="s">
        <v>3831</v>
      </c>
      <c r="B1426" s="2" t="s">
        <v>3832</v>
      </c>
      <c r="C1426" s="2" t="s">
        <v>195</v>
      </c>
      <c r="D1426" s="2" t="s">
        <v>50</v>
      </c>
      <c r="E1426" s="5">
        <v>-30921</v>
      </c>
      <c r="F1426" s="3" t="s">
        <v>191</v>
      </c>
      <c r="G1426" s="3" t="s">
        <v>27</v>
      </c>
      <c r="H1426" s="2" t="s">
        <v>72</v>
      </c>
      <c r="I1426" s="2" t="s">
        <v>3833</v>
      </c>
      <c r="J1426" s="3" t="str">
        <f>HYPERLINK("https://www.boe.es/gazeta/dias/1815/05/04/pdfs/GMD-1815-54.pdf#page=6","Abrir facsímil")</f>
        <v>Abrir facsímil</v>
      </c>
      <c r="K1426" s="3" t="s">
        <v>74</v>
      </c>
    </row>
    <row r="1427" spans="1:11" ht="42" customHeight="1">
      <c r="A1427" s="2" t="s">
        <v>3834</v>
      </c>
      <c r="B1427" s="2" t="s">
        <v>3834</v>
      </c>
      <c r="C1427" s="2" t="s">
        <v>49</v>
      </c>
      <c r="D1427" s="2" t="s">
        <v>50</v>
      </c>
      <c r="E1427" s="5">
        <v>-31014</v>
      </c>
      <c r="F1427" s="3" t="s">
        <v>3193</v>
      </c>
      <c r="G1427" s="3" t="s">
        <v>410</v>
      </c>
      <c r="H1427" s="2" t="s">
        <v>72</v>
      </c>
      <c r="I1427" s="2" t="s">
        <v>3835</v>
      </c>
      <c r="J1427" s="3" t="str">
        <f>HYPERLINK("https://www.boe.es/gazeta/dias/1815/01/31/pdfs/GMD-1815-13.pdf#page=1","Abrir facsímil")</f>
        <v>Abrir facsímil</v>
      </c>
      <c r="K1427" s="3" t="s">
        <v>74</v>
      </c>
    </row>
    <row r="1428" spans="1:11" ht="42" customHeight="1">
      <c r="A1428" s="2" t="s">
        <v>3836</v>
      </c>
      <c r="B1428" s="2" t="s">
        <v>3836</v>
      </c>
      <c r="C1428" s="2" t="s">
        <v>31</v>
      </c>
      <c r="D1428" s="2" t="s">
        <v>32</v>
      </c>
      <c r="E1428" s="5">
        <v>-30823</v>
      </c>
      <c r="F1428" s="3" t="s">
        <v>305</v>
      </c>
      <c r="G1428" s="3" t="s">
        <v>27</v>
      </c>
      <c r="H1428" s="2" t="s">
        <v>72</v>
      </c>
      <c r="I1428" s="2" t="s">
        <v>3837</v>
      </c>
      <c r="J1428" s="3" t="str">
        <f>HYPERLINK("https://www.boe.es/gazeta/dias/1815/08/10/pdfs/GMD-1815-98.pdf#page=6","Abrir facsímil")</f>
        <v>Abrir facsímil</v>
      </c>
      <c r="K1428" s="3" t="s">
        <v>74</v>
      </c>
    </row>
    <row r="1429" spans="1:11" ht="42" customHeight="1">
      <c r="A1429" s="2" t="s">
        <v>3838</v>
      </c>
      <c r="B1429" s="2" t="s">
        <v>3838</v>
      </c>
      <c r="C1429" s="2" t="s">
        <v>31</v>
      </c>
      <c r="D1429" s="2" t="s">
        <v>32</v>
      </c>
      <c r="E1429" s="5">
        <v>-30823</v>
      </c>
      <c r="F1429" s="3" t="s">
        <v>305</v>
      </c>
      <c r="G1429" s="3" t="s">
        <v>377</v>
      </c>
      <c r="H1429" s="2" t="s">
        <v>72</v>
      </c>
      <c r="I1429" s="2" t="s">
        <v>3839</v>
      </c>
      <c r="J1429" s="3" t="str">
        <f>HYPERLINK("https://www.boe.es/gazeta/dias/1815/08/10/pdfs/GMD-1815-98.pdf#page=2","Abrir facsímil")</f>
        <v>Abrir facsímil</v>
      </c>
      <c r="K1429" s="3" t="s">
        <v>74</v>
      </c>
    </row>
    <row r="1430" spans="1:11" ht="42" customHeight="1">
      <c r="A1430" s="2" t="s">
        <v>3840</v>
      </c>
      <c r="B1430" s="2" t="s">
        <v>3840</v>
      </c>
      <c r="C1430" s="2" t="s">
        <v>31</v>
      </c>
      <c r="D1430" s="2" t="s">
        <v>32</v>
      </c>
      <c r="E1430" s="5">
        <v>-30823</v>
      </c>
      <c r="F1430" s="3" t="s">
        <v>305</v>
      </c>
      <c r="G1430" s="3" t="s">
        <v>20</v>
      </c>
      <c r="H1430" s="2" t="s">
        <v>72</v>
      </c>
      <c r="I1430" s="2" t="s">
        <v>3841</v>
      </c>
      <c r="J1430" s="3" t="str">
        <f>HYPERLINK("https://www.boe.es/gazeta/dias/1815/08/10/pdfs/GMD-1815-98.pdf#page=4","Abrir facsímil")</f>
        <v>Abrir facsímil</v>
      </c>
      <c r="K1430" s="3" t="s">
        <v>74</v>
      </c>
    </row>
    <row r="1431" spans="1:11" ht="42" customHeight="1">
      <c r="A1431" s="2" t="s">
        <v>3842</v>
      </c>
      <c r="B1431" s="2" t="s">
        <v>3842</v>
      </c>
      <c r="C1431" s="2" t="s">
        <v>31</v>
      </c>
      <c r="D1431" s="2" t="s">
        <v>32</v>
      </c>
      <c r="E1431" s="5">
        <v>-30823</v>
      </c>
      <c r="F1431" s="3" t="s">
        <v>305</v>
      </c>
      <c r="G1431" s="3" t="s">
        <v>57</v>
      </c>
      <c r="H1431" s="2" t="s">
        <v>72</v>
      </c>
      <c r="I1431" s="2" t="s">
        <v>3843</v>
      </c>
      <c r="J1431" s="3" t="str">
        <f>HYPERLINK("https://www.boe.es/gazeta/dias/1815/08/10/pdfs/GMD-1815-98.pdf#page=5","Abrir facsímil")</f>
        <v>Abrir facsímil</v>
      </c>
      <c r="K1431" s="3" t="s">
        <v>74</v>
      </c>
    </row>
    <row r="1432" spans="1:11" ht="42" customHeight="1">
      <c r="A1432" s="2" t="s">
        <v>3842</v>
      </c>
      <c r="B1432" s="2" t="s">
        <v>3842</v>
      </c>
      <c r="C1432" s="2" t="s">
        <v>31</v>
      </c>
      <c r="D1432" s="2" t="s">
        <v>32</v>
      </c>
      <c r="E1432" s="5">
        <v>-30823</v>
      </c>
      <c r="F1432" s="3" t="s">
        <v>305</v>
      </c>
      <c r="G1432" s="3" t="s">
        <v>27</v>
      </c>
      <c r="H1432" s="2" t="s">
        <v>72</v>
      </c>
      <c r="I1432" s="2" t="s">
        <v>3844</v>
      </c>
      <c r="J1432" s="3" t="str">
        <f>HYPERLINK("https://www.boe.es/gazeta/dias/1815/08/10/pdfs/GMD-1815-98.pdf#page=6","Abrir facsímil")</f>
        <v>Abrir facsímil</v>
      </c>
      <c r="K1432" s="3" t="s">
        <v>74</v>
      </c>
    </row>
    <row r="1433" spans="1:11" ht="42" customHeight="1">
      <c r="A1433" s="2" t="s">
        <v>3845</v>
      </c>
      <c r="B1433" s="2" t="s">
        <v>3846</v>
      </c>
      <c r="C1433" s="2" t="s">
        <v>31</v>
      </c>
      <c r="D1433" s="2" t="s">
        <v>32</v>
      </c>
      <c r="E1433" s="5">
        <v>-30818</v>
      </c>
      <c r="F1433" s="3" t="s">
        <v>334</v>
      </c>
      <c r="G1433" s="3" t="s">
        <v>38</v>
      </c>
      <c r="H1433" s="2" t="s">
        <v>21</v>
      </c>
      <c r="I1433" s="2" t="s">
        <v>3847</v>
      </c>
      <c r="J1433" s="3" t="str">
        <f>HYPERLINK("https://www.boe.es/gazeta/dias/1815/08/15/pdfs/GMD-1815-100.pdf#page=8","Abrir facsímil")</f>
        <v>Abrir facsímil</v>
      </c>
      <c r="K1433" s="3" t="s">
        <v>23</v>
      </c>
    </row>
    <row r="1434" spans="1:11" ht="42" customHeight="1">
      <c r="A1434" s="2" t="s">
        <v>3848</v>
      </c>
      <c r="B1434" s="2" t="s">
        <v>3849</v>
      </c>
      <c r="C1434" s="2" t="s">
        <v>31</v>
      </c>
      <c r="D1434" s="2" t="s">
        <v>32</v>
      </c>
      <c r="E1434" s="5">
        <v>-30958</v>
      </c>
      <c r="F1434" s="3" t="s">
        <v>297</v>
      </c>
      <c r="G1434" s="3" t="s">
        <v>27</v>
      </c>
      <c r="H1434" s="2" t="s">
        <v>21</v>
      </c>
      <c r="I1434" s="2" t="s">
        <v>3850</v>
      </c>
      <c r="J1434" s="3" t="str">
        <f>HYPERLINK("https://www.boe.es/gazeta/dias/1815/03/28/pdfs/GMD-1815-37.pdf#page=6","Abrir facsímil")</f>
        <v>Abrir facsímil</v>
      </c>
      <c r="K1434" s="3" t="s">
        <v>23</v>
      </c>
    </row>
    <row r="1435" spans="1:11" ht="42" customHeight="1">
      <c r="A1435" s="2" t="s">
        <v>3851</v>
      </c>
      <c r="B1435" s="2" t="s">
        <v>3852</v>
      </c>
      <c r="C1435" s="2" t="s">
        <v>31</v>
      </c>
      <c r="D1435" s="2" t="s">
        <v>32</v>
      </c>
      <c r="E1435" s="5">
        <v>-30921</v>
      </c>
      <c r="F1435" s="3" t="s">
        <v>191</v>
      </c>
      <c r="G1435" s="3" t="s">
        <v>71</v>
      </c>
      <c r="H1435" s="2" t="s">
        <v>21</v>
      </c>
      <c r="I1435" s="2" t="s">
        <v>3853</v>
      </c>
      <c r="J1435" s="3" t="str">
        <f>HYPERLINK("https://www.boe.es/gazeta/dias/1815/05/04/pdfs/GMD-1815-54.pdf#page=7","Abrir facsímil")</f>
        <v>Abrir facsímil</v>
      </c>
      <c r="K1435" s="3" t="s">
        <v>23</v>
      </c>
    </row>
    <row r="1436" spans="1:11" ht="42" customHeight="1">
      <c r="A1436" s="2" t="s">
        <v>3854</v>
      </c>
      <c r="B1436" s="2" t="s">
        <v>3855</v>
      </c>
      <c r="C1436" s="2" t="s">
        <v>49</v>
      </c>
      <c r="D1436" s="2" t="s">
        <v>50</v>
      </c>
      <c r="E1436" s="5">
        <v>-30923</v>
      </c>
      <c r="F1436" s="3" t="s">
        <v>524</v>
      </c>
      <c r="G1436" s="3" t="s">
        <v>57</v>
      </c>
      <c r="H1436" s="2" t="s">
        <v>21</v>
      </c>
      <c r="I1436" s="2" t="s">
        <v>3856</v>
      </c>
      <c r="J1436" s="3" t="str">
        <f>HYPERLINK("https://www.boe.es/gazeta/dias/1815/05/02/pdfs/GMD-1815-53.pdf#page=5","Abrir facsímil")</f>
        <v>Abrir facsímil</v>
      </c>
      <c r="K1436" s="3" t="s">
        <v>23</v>
      </c>
    </row>
    <row r="1437" spans="1:11" ht="42" customHeight="1">
      <c r="A1437" s="2" t="s">
        <v>3857</v>
      </c>
      <c r="B1437" s="2" t="s">
        <v>3858</v>
      </c>
      <c r="C1437" s="2" t="s">
        <v>61</v>
      </c>
      <c r="D1437" s="2" t="s">
        <v>50</v>
      </c>
      <c r="E1437" s="5">
        <v>-30725</v>
      </c>
      <c r="F1437" s="3" t="s">
        <v>1535</v>
      </c>
      <c r="G1437" s="3" t="s">
        <v>1536</v>
      </c>
      <c r="H1437" s="2" t="s">
        <v>21</v>
      </c>
      <c r="I1437" s="2" t="s">
        <v>3859</v>
      </c>
      <c r="J1437" s="3" t="str">
        <f>HYPERLINK("https://www.boe.es/gazeta/dias/1815/11/16/pdfs/GMD-1815-143.pdf#page=8","Abrir facsímil")</f>
        <v>Abrir facsímil</v>
      </c>
      <c r="K1437" s="3" t="s">
        <v>23</v>
      </c>
    </row>
    <row r="1438" spans="1:11" ht="42" customHeight="1">
      <c r="A1438" s="2" t="s">
        <v>3860</v>
      </c>
      <c r="B1438" s="2" t="s">
        <v>3861</v>
      </c>
      <c r="C1438" s="2" t="s">
        <v>17</v>
      </c>
      <c r="D1438" s="2" t="s">
        <v>18</v>
      </c>
      <c r="E1438" s="5">
        <v>-30979</v>
      </c>
      <c r="F1438" s="3" t="s">
        <v>56</v>
      </c>
      <c r="G1438" s="3" t="s">
        <v>27</v>
      </c>
      <c r="H1438" s="2" t="s">
        <v>21</v>
      </c>
      <c r="I1438" s="2" t="s">
        <v>3862</v>
      </c>
      <c r="J1438" s="3" t="str">
        <f>HYPERLINK("https://www.boe.es/gazeta/dias/1815/03/07/pdfs/GMD-1815-28.pdf#page=6","Abrir facsímil")</f>
        <v>Abrir facsímil</v>
      </c>
      <c r="K1438" s="3" t="s">
        <v>23</v>
      </c>
    </row>
    <row r="1439" spans="1:11" ht="42" customHeight="1">
      <c r="A1439" s="2" t="s">
        <v>3863</v>
      </c>
      <c r="B1439" s="2" t="s">
        <v>3864</v>
      </c>
      <c r="C1439" s="2" t="s">
        <v>49</v>
      </c>
      <c r="D1439" s="2" t="s">
        <v>50</v>
      </c>
      <c r="E1439" s="5">
        <v>-30741</v>
      </c>
      <c r="F1439" s="3" t="s">
        <v>1000</v>
      </c>
      <c r="G1439" s="3" t="s">
        <v>38</v>
      </c>
      <c r="H1439" s="2" t="s">
        <v>21</v>
      </c>
      <c r="I1439" s="2" t="s">
        <v>3865</v>
      </c>
      <c r="J1439" s="3" t="str">
        <f>HYPERLINK("https://www.boe.es/gazeta/dias/1815/10/31/pdfs/GMD-1815-136.pdf#page=8","Abrir facsímil")</f>
        <v>Abrir facsímil</v>
      </c>
      <c r="K1439" s="3" t="s">
        <v>23</v>
      </c>
    </row>
    <row r="1440" spans="1:11" ht="42" customHeight="1">
      <c r="A1440" s="2" t="s">
        <v>3866</v>
      </c>
      <c r="B1440" s="2" t="s">
        <v>3867</v>
      </c>
      <c r="C1440" s="2" t="s">
        <v>31</v>
      </c>
      <c r="D1440" s="2" t="s">
        <v>32</v>
      </c>
      <c r="E1440" s="5">
        <v>-30893</v>
      </c>
      <c r="F1440" s="3" t="s">
        <v>132</v>
      </c>
      <c r="G1440" s="3" t="s">
        <v>155</v>
      </c>
      <c r="H1440" s="2" t="s">
        <v>21</v>
      </c>
      <c r="I1440" s="2" t="s">
        <v>3868</v>
      </c>
      <c r="J1440" s="3" t="str">
        <f>HYPERLINK("https://www.boe.es/gazeta/dias/1815/06/01/pdfs/GMD-1815-66.pdf#page=6","Abrir facsímil")</f>
        <v>Abrir facsímil</v>
      </c>
      <c r="K1440" s="3" t="s">
        <v>23</v>
      </c>
    </row>
    <row r="1441" spans="1:11" ht="42" customHeight="1">
      <c r="A1441" s="2" t="s">
        <v>3869</v>
      </c>
      <c r="B1441" s="2" t="s">
        <v>3870</v>
      </c>
      <c r="C1441" s="2" t="s">
        <v>49</v>
      </c>
      <c r="D1441" s="2" t="s">
        <v>50</v>
      </c>
      <c r="E1441" s="5">
        <v>-30886</v>
      </c>
      <c r="F1441" s="3" t="s">
        <v>140</v>
      </c>
      <c r="G1441" s="3" t="s">
        <v>38</v>
      </c>
      <c r="H1441" s="2" t="s">
        <v>21</v>
      </c>
      <c r="I1441" s="2" t="s">
        <v>3871</v>
      </c>
      <c r="J1441" s="3" t="str">
        <f>HYPERLINK("https://www.boe.es/gazeta/dias/1815/06/08/pdfs/GMD-1815-69.pdf#page=8","Abrir facsímil")</f>
        <v>Abrir facsímil</v>
      </c>
      <c r="K1441" s="3" t="s">
        <v>23</v>
      </c>
    </row>
    <row r="1442" spans="1:11" ht="42" customHeight="1">
      <c r="A1442" s="2" t="s">
        <v>3872</v>
      </c>
      <c r="B1442" s="2" t="s">
        <v>3873</v>
      </c>
      <c r="C1442" s="2" t="s">
        <v>17</v>
      </c>
      <c r="D1442" s="2" t="s">
        <v>18</v>
      </c>
      <c r="E1442" s="5">
        <v>-30737</v>
      </c>
      <c r="F1442" s="3" t="s">
        <v>1932</v>
      </c>
      <c r="G1442" s="3" t="s">
        <v>57</v>
      </c>
      <c r="H1442" s="2" t="s">
        <v>21</v>
      </c>
      <c r="I1442" s="2" t="s">
        <v>3874</v>
      </c>
      <c r="J1442" s="3" t="str">
        <f>HYPERLINK("https://www.boe.es/gazeta/dias/1815/11/04/pdfs/GMD-1815-138.pdf#page=5","Abrir facsímil")</f>
        <v>Abrir facsímil</v>
      </c>
      <c r="K1442" s="3" t="s">
        <v>23</v>
      </c>
    </row>
    <row r="1443" spans="1:11" ht="42" customHeight="1">
      <c r="A1443" s="2" t="s">
        <v>3875</v>
      </c>
      <c r="B1443" s="2" t="s">
        <v>3876</v>
      </c>
      <c r="C1443" s="2" t="s">
        <v>195</v>
      </c>
      <c r="D1443" s="2" t="s">
        <v>50</v>
      </c>
      <c r="E1443" s="5">
        <v>-30795</v>
      </c>
      <c r="F1443" s="3" t="s">
        <v>172</v>
      </c>
      <c r="G1443" s="3" t="s">
        <v>276</v>
      </c>
      <c r="H1443" s="2" t="s">
        <v>21</v>
      </c>
      <c r="I1443" s="2" t="s">
        <v>3877</v>
      </c>
      <c r="J1443" s="3" t="str">
        <f>HYPERLINK("https://www.boe.es/gazeta/dias/1815/09/07/pdfs/GMD-1815-111.pdf#page=12","Abrir facsímil")</f>
        <v>Abrir facsímil</v>
      </c>
      <c r="K1443" s="3" t="s">
        <v>23</v>
      </c>
    </row>
    <row r="1444" spans="1:11" ht="42" customHeight="1">
      <c r="A1444" s="2" t="s">
        <v>3878</v>
      </c>
      <c r="B1444" s="2" t="s">
        <v>3879</v>
      </c>
      <c r="C1444" s="2" t="s">
        <v>49</v>
      </c>
      <c r="D1444" s="2" t="s">
        <v>50</v>
      </c>
      <c r="E1444" s="5">
        <v>-30886</v>
      </c>
      <c r="F1444" s="3" t="s">
        <v>140</v>
      </c>
      <c r="G1444" s="3" t="s">
        <v>38</v>
      </c>
      <c r="H1444" s="2" t="s">
        <v>21</v>
      </c>
      <c r="I1444" s="2" t="s">
        <v>3880</v>
      </c>
      <c r="J1444" s="3" t="str">
        <f>HYPERLINK("https://www.boe.es/gazeta/dias/1815/06/08/pdfs/GMD-1815-69.pdf#page=8","Abrir facsímil")</f>
        <v>Abrir facsímil</v>
      </c>
      <c r="K1444" s="3" t="s">
        <v>23</v>
      </c>
    </row>
    <row r="1445" spans="1:11" ht="42" customHeight="1">
      <c r="A1445" s="2" t="s">
        <v>3881</v>
      </c>
      <c r="B1445" s="2" t="s">
        <v>3882</v>
      </c>
      <c r="C1445" s="2" t="s">
        <v>31</v>
      </c>
      <c r="D1445" s="2" t="s">
        <v>32</v>
      </c>
      <c r="E1445" s="5">
        <v>-30979</v>
      </c>
      <c r="F1445" s="3" t="s">
        <v>56</v>
      </c>
      <c r="G1445" s="3" t="s">
        <v>57</v>
      </c>
      <c r="H1445" s="2" t="s">
        <v>21</v>
      </c>
      <c r="I1445" s="2" t="s">
        <v>3883</v>
      </c>
      <c r="J1445" s="3" t="str">
        <f>HYPERLINK("https://www.boe.es/gazeta/dias/1815/03/07/pdfs/GMD-1815-28.pdf#page=5","Abrir facsímil")</f>
        <v>Abrir facsímil</v>
      </c>
      <c r="K1445" s="3" t="s">
        <v>23</v>
      </c>
    </row>
    <row r="1446" spans="1:11" ht="42" customHeight="1">
      <c r="A1446" s="2" t="s">
        <v>3884</v>
      </c>
      <c r="B1446" s="2" t="s">
        <v>3885</v>
      </c>
      <c r="C1446" s="2" t="s">
        <v>49</v>
      </c>
      <c r="D1446" s="2" t="s">
        <v>50</v>
      </c>
      <c r="E1446" s="5">
        <v>-30863</v>
      </c>
      <c r="F1446" s="3" t="s">
        <v>110</v>
      </c>
      <c r="G1446" s="3" t="s">
        <v>224</v>
      </c>
      <c r="H1446" s="2" t="s">
        <v>72</v>
      </c>
      <c r="I1446" s="2" t="s">
        <v>3886</v>
      </c>
      <c r="J1446" s="3" t="str">
        <f>HYPERLINK("https://www.boe.es/gazeta/dias/1815/07/01/pdfs/GMD-1815-79.pdf#page=9","Abrir facsímil")</f>
        <v>Abrir facsímil</v>
      </c>
      <c r="K1446" s="3" t="s">
        <v>74</v>
      </c>
    </row>
    <row r="1447" spans="1:11" ht="42" customHeight="1">
      <c r="A1447" s="2" t="s">
        <v>3887</v>
      </c>
      <c r="B1447" s="2" t="s">
        <v>3887</v>
      </c>
      <c r="C1447" s="2" t="s">
        <v>31</v>
      </c>
      <c r="D1447" s="2" t="s">
        <v>32</v>
      </c>
      <c r="E1447" s="5">
        <v>-30926</v>
      </c>
      <c r="F1447" s="3" t="s">
        <v>2018</v>
      </c>
      <c r="G1447" s="3" t="s">
        <v>97</v>
      </c>
      <c r="H1447" s="2" t="s">
        <v>72</v>
      </c>
      <c r="I1447" s="2" t="s">
        <v>3888</v>
      </c>
      <c r="J1447" s="3" t="str">
        <f>HYPERLINK("https://www.boe.es/gazeta/dias/1815/04/29/pdfs/GMD-1815-52.pdf#page=3","Abrir facsímil")</f>
        <v>Abrir facsímil</v>
      </c>
      <c r="K1447" s="3" t="s">
        <v>74</v>
      </c>
    </row>
    <row r="1448" spans="1:11" ht="42" customHeight="1">
      <c r="A1448" s="2" t="s">
        <v>3889</v>
      </c>
      <c r="B1448" s="2" t="s">
        <v>3889</v>
      </c>
      <c r="C1448" s="2" t="s">
        <v>31</v>
      </c>
      <c r="D1448" s="2" t="s">
        <v>32</v>
      </c>
      <c r="E1448" s="5">
        <v>-30972</v>
      </c>
      <c r="F1448" s="3" t="s">
        <v>1382</v>
      </c>
      <c r="G1448" s="3" t="s">
        <v>97</v>
      </c>
      <c r="H1448" s="2" t="s">
        <v>72</v>
      </c>
      <c r="I1448" s="2" t="s">
        <v>3890</v>
      </c>
      <c r="J1448" s="3" t="str">
        <f>HYPERLINK("https://www.boe.es/gazeta/dias/1815/03/14/pdfs/GMD-1815-31.pdf#page=3","Abrir facsímil")</f>
        <v>Abrir facsímil</v>
      </c>
      <c r="K1448" s="3" t="s">
        <v>74</v>
      </c>
    </row>
    <row r="1449" spans="1:11" ht="42" customHeight="1">
      <c r="A1449" s="2" t="s">
        <v>3891</v>
      </c>
      <c r="B1449" s="2" t="s">
        <v>3892</v>
      </c>
      <c r="C1449" s="2" t="s">
        <v>49</v>
      </c>
      <c r="D1449" s="2" t="s">
        <v>50</v>
      </c>
      <c r="E1449" s="5">
        <v>-30863</v>
      </c>
      <c r="F1449" s="3" t="s">
        <v>110</v>
      </c>
      <c r="G1449" s="3" t="s">
        <v>224</v>
      </c>
      <c r="H1449" s="2" t="s">
        <v>72</v>
      </c>
      <c r="I1449" s="2" t="s">
        <v>3893</v>
      </c>
      <c r="J1449" s="3" t="str">
        <f>HYPERLINK("https://www.boe.es/gazeta/dias/1815/07/01/pdfs/GMD-1815-79.pdf#page=9","Abrir facsímil")</f>
        <v>Abrir facsímil</v>
      </c>
      <c r="K1449" s="3" t="s">
        <v>74</v>
      </c>
    </row>
    <row r="1450" spans="1:11" ht="42" customHeight="1">
      <c r="A1450" s="2" t="s">
        <v>3894</v>
      </c>
      <c r="B1450" s="2" t="s">
        <v>3895</v>
      </c>
      <c r="C1450" s="2" t="s">
        <v>31</v>
      </c>
      <c r="D1450" s="2" t="s">
        <v>32</v>
      </c>
      <c r="E1450" s="5">
        <v>-31017</v>
      </c>
      <c r="F1450" s="3" t="s">
        <v>456</v>
      </c>
      <c r="G1450" s="3" t="s">
        <v>2373</v>
      </c>
      <c r="H1450" s="2" t="s">
        <v>72</v>
      </c>
      <c r="I1450" s="2" t="s">
        <v>3896</v>
      </c>
      <c r="J1450" s="3" t="str">
        <f>HYPERLINK("https://www.boe.es/gazeta/dias/1815/01/28/pdfs/GMD-1815-12.pdf#page=7","Abrir facsímil")</f>
        <v>Abrir facsímil</v>
      </c>
      <c r="K1450" s="3" t="s">
        <v>74</v>
      </c>
    </row>
    <row r="1451" spans="1:11" ht="42" customHeight="1">
      <c r="A1451" s="2" t="s">
        <v>3897</v>
      </c>
      <c r="B1451" s="2" t="s">
        <v>3897</v>
      </c>
      <c r="C1451" s="2" t="s">
        <v>31</v>
      </c>
      <c r="D1451" s="2" t="s">
        <v>32</v>
      </c>
      <c r="E1451" s="5">
        <v>-30949</v>
      </c>
      <c r="F1451" s="3" t="s">
        <v>420</v>
      </c>
      <c r="G1451" s="3" t="s">
        <v>410</v>
      </c>
      <c r="H1451" s="2" t="s">
        <v>72</v>
      </c>
      <c r="I1451" s="2" t="s">
        <v>3898</v>
      </c>
      <c r="J1451" s="3" t="str">
        <f>HYPERLINK("https://www.boe.es/gazeta/dias/1815/04/06/pdfs/GMD-1815-42.pdf#page=1","Abrir facsímil")</f>
        <v>Abrir facsímil</v>
      </c>
      <c r="K1451" s="3" t="s">
        <v>74</v>
      </c>
    </row>
    <row r="1452" spans="1:11" ht="42" customHeight="1">
      <c r="A1452" s="2" t="s">
        <v>3897</v>
      </c>
      <c r="B1452" s="2" t="s">
        <v>3897</v>
      </c>
      <c r="C1452" s="2" t="s">
        <v>31</v>
      </c>
      <c r="D1452" s="2" t="s">
        <v>32</v>
      </c>
      <c r="E1452" s="5">
        <v>-30949</v>
      </c>
      <c r="F1452" s="3" t="s">
        <v>420</v>
      </c>
      <c r="G1452" s="3" t="s">
        <v>377</v>
      </c>
      <c r="H1452" s="2" t="s">
        <v>72</v>
      </c>
      <c r="I1452" s="2" t="s">
        <v>3899</v>
      </c>
      <c r="J1452" s="3" t="str">
        <f>HYPERLINK("https://www.boe.es/gazeta/dias/1815/04/06/pdfs/GMD-1815-42.pdf#page=2","Abrir facsímil")</f>
        <v>Abrir facsímil</v>
      </c>
      <c r="K1452" s="3" t="s">
        <v>74</v>
      </c>
    </row>
    <row r="1453" spans="1:11" ht="42" customHeight="1">
      <c r="A1453" s="2" t="s">
        <v>3900</v>
      </c>
      <c r="B1453" s="2" t="s">
        <v>3901</v>
      </c>
      <c r="C1453" s="2" t="s">
        <v>31</v>
      </c>
      <c r="D1453" s="2" t="s">
        <v>179</v>
      </c>
      <c r="E1453" s="5">
        <v>-30775</v>
      </c>
      <c r="F1453" s="3" t="s">
        <v>2741</v>
      </c>
      <c r="G1453" s="3" t="s">
        <v>410</v>
      </c>
      <c r="H1453" s="2" t="s">
        <v>72</v>
      </c>
      <c r="I1453" s="2" t="s">
        <v>3902</v>
      </c>
      <c r="J1453" s="3" t="str">
        <f>HYPERLINK("https://www.boe.es/gazeta/dias/1815/09/27/pdfs/GMD-1815-120E.pdf#page=1","Abrir facsímil")</f>
        <v>Abrir facsímil</v>
      </c>
      <c r="K1453" s="3" t="s">
        <v>74</v>
      </c>
    </row>
    <row r="1454" spans="1:11" ht="42" customHeight="1">
      <c r="A1454" s="2" t="s">
        <v>3903</v>
      </c>
      <c r="B1454" s="2" t="s">
        <v>3904</v>
      </c>
      <c r="C1454" s="2" t="s">
        <v>31</v>
      </c>
      <c r="D1454" s="2" t="s">
        <v>32</v>
      </c>
      <c r="E1454" s="5">
        <v>-30961</v>
      </c>
      <c r="F1454" s="3" t="s">
        <v>1176</v>
      </c>
      <c r="G1454" s="3" t="s">
        <v>57</v>
      </c>
      <c r="H1454" s="2" t="s">
        <v>72</v>
      </c>
      <c r="I1454" s="2" t="s">
        <v>3905</v>
      </c>
      <c r="J1454" s="3" t="str">
        <f>HYPERLINK("https://www.boe.es/gazeta/dias/1815/03/25/pdfs/GMD-1815-36.pdf#page=5","Abrir facsímil")</f>
        <v>Abrir facsímil</v>
      </c>
      <c r="K1454" s="3" t="s">
        <v>74</v>
      </c>
    </row>
    <row r="1455" spans="1:11" ht="42" customHeight="1">
      <c r="A1455" s="2" t="s">
        <v>3906</v>
      </c>
      <c r="B1455" s="2" t="s">
        <v>3907</v>
      </c>
      <c r="C1455" s="2" t="s">
        <v>49</v>
      </c>
      <c r="D1455" s="2" t="s">
        <v>50</v>
      </c>
      <c r="E1455" s="5">
        <v>-30865</v>
      </c>
      <c r="F1455" s="3" t="s">
        <v>163</v>
      </c>
      <c r="G1455" s="3" t="s">
        <v>71</v>
      </c>
      <c r="H1455" s="2" t="s">
        <v>72</v>
      </c>
      <c r="I1455" s="2" t="s">
        <v>3908</v>
      </c>
      <c r="J1455" s="3" t="str">
        <f>HYPERLINK("https://www.boe.es/gazeta/dias/1815/06/29/pdfs/GMD-1815-78.pdf#page=7","Abrir facsímil")</f>
        <v>Abrir facsímil</v>
      </c>
      <c r="K1455" s="3" t="s">
        <v>74</v>
      </c>
    </row>
    <row r="1456" spans="1:11" ht="42" customHeight="1">
      <c r="A1456" s="2" t="s">
        <v>3909</v>
      </c>
      <c r="B1456" s="2" t="s">
        <v>3909</v>
      </c>
      <c r="C1456" s="2" t="s">
        <v>897</v>
      </c>
      <c r="D1456" s="2" t="s">
        <v>50</v>
      </c>
      <c r="E1456" s="5">
        <v>-30727</v>
      </c>
      <c r="F1456" s="3" t="s">
        <v>262</v>
      </c>
      <c r="G1456" s="3" t="s">
        <v>377</v>
      </c>
      <c r="H1456" s="2" t="s">
        <v>72</v>
      </c>
      <c r="I1456" s="2" t="s">
        <v>3910</v>
      </c>
      <c r="J1456" s="3" t="str">
        <f>HYPERLINK("https://www.boe.es/gazeta/dias/1815/11/14/pdfs/GMD-1815-142.pdf#page=2","Abrir facsímil")</f>
        <v>Abrir facsímil</v>
      </c>
      <c r="K1456" s="3" t="s">
        <v>74</v>
      </c>
    </row>
    <row r="1457" spans="1:11" ht="42" customHeight="1">
      <c r="A1457" s="2" t="s">
        <v>3911</v>
      </c>
      <c r="B1457" s="2" t="s">
        <v>3912</v>
      </c>
      <c r="C1457" s="2" t="s">
        <v>49</v>
      </c>
      <c r="D1457" s="2" t="s">
        <v>50</v>
      </c>
      <c r="E1457" s="5">
        <v>-30865</v>
      </c>
      <c r="F1457" s="3" t="s">
        <v>163</v>
      </c>
      <c r="G1457" s="3" t="s">
        <v>71</v>
      </c>
      <c r="H1457" s="2" t="s">
        <v>72</v>
      </c>
      <c r="I1457" s="2" t="s">
        <v>3913</v>
      </c>
      <c r="J1457" s="3" t="str">
        <f>HYPERLINK("https://www.boe.es/gazeta/dias/1815/06/29/pdfs/GMD-1815-78.pdf#page=7","Abrir facsímil")</f>
        <v>Abrir facsímil</v>
      </c>
      <c r="K1457" s="3" t="s">
        <v>74</v>
      </c>
    </row>
    <row r="1458" spans="1:11" ht="42" customHeight="1">
      <c r="A1458" s="2" t="s">
        <v>3914</v>
      </c>
      <c r="B1458" s="2" t="s">
        <v>3915</v>
      </c>
      <c r="C1458" s="2" t="s">
        <v>131</v>
      </c>
      <c r="D1458" s="2" t="s">
        <v>50</v>
      </c>
      <c r="E1458" s="5">
        <v>-30844</v>
      </c>
      <c r="F1458" s="3" t="s">
        <v>114</v>
      </c>
      <c r="G1458" s="3" t="s">
        <v>38</v>
      </c>
      <c r="H1458" s="2" t="s">
        <v>72</v>
      </c>
      <c r="I1458" s="2" t="s">
        <v>3916</v>
      </c>
      <c r="J1458" s="3" t="str">
        <f>HYPERLINK("https://www.boe.es/gazeta/dias/1815/07/20/pdfs/GMD-1815-89.pdf#page=8","Abrir facsímil")</f>
        <v>Abrir facsímil</v>
      </c>
      <c r="K1458" s="3" t="s">
        <v>74</v>
      </c>
    </row>
    <row r="1459" spans="1:11" ht="42" customHeight="1">
      <c r="A1459" s="2" t="s">
        <v>3917</v>
      </c>
      <c r="B1459" s="2" t="s">
        <v>3917</v>
      </c>
      <c r="C1459" s="2" t="s">
        <v>17</v>
      </c>
      <c r="D1459" s="2" t="s">
        <v>18</v>
      </c>
      <c r="E1459" s="5">
        <v>-30933</v>
      </c>
      <c r="F1459" s="3" t="s">
        <v>725</v>
      </c>
      <c r="G1459" s="3" t="s">
        <v>27</v>
      </c>
      <c r="H1459" s="2" t="s">
        <v>72</v>
      </c>
      <c r="I1459" s="2" t="s">
        <v>3918</v>
      </c>
      <c r="J1459" s="3" t="str">
        <f>HYPERLINK("https://www.boe.es/gazeta/dias/1815/04/22/pdfs/GMD-1815-49.pdf#page=6","Abrir facsímil")</f>
        <v>Abrir facsímil</v>
      </c>
      <c r="K1459" s="3" t="s">
        <v>74</v>
      </c>
    </row>
    <row r="1460" spans="1:11" ht="42" customHeight="1">
      <c r="A1460" s="2" t="s">
        <v>3919</v>
      </c>
      <c r="B1460" s="2" t="s">
        <v>3919</v>
      </c>
      <c r="C1460" s="2" t="s">
        <v>31</v>
      </c>
      <c r="D1460" s="2" t="s">
        <v>32</v>
      </c>
      <c r="E1460" s="5">
        <v>-30951</v>
      </c>
      <c r="F1460" s="3" t="s">
        <v>87</v>
      </c>
      <c r="G1460" s="3" t="s">
        <v>97</v>
      </c>
      <c r="H1460" s="2" t="s">
        <v>72</v>
      </c>
      <c r="I1460" s="2" t="s">
        <v>3920</v>
      </c>
      <c r="J1460" s="3" t="str">
        <f>HYPERLINK("https://www.boe.es/gazeta/dias/1815/04/04/pdfs/GMD-1815-41.pdf#page=3","Abrir facsímil")</f>
        <v>Abrir facsímil</v>
      </c>
      <c r="K1460" s="3" t="s">
        <v>74</v>
      </c>
    </row>
    <row r="1461" spans="1:11" ht="42" customHeight="1">
      <c r="A1461" s="2" t="s">
        <v>3919</v>
      </c>
      <c r="B1461" s="2" t="s">
        <v>3919</v>
      </c>
      <c r="C1461" s="2" t="s">
        <v>31</v>
      </c>
      <c r="D1461" s="2" t="s">
        <v>32</v>
      </c>
      <c r="E1461" s="5">
        <v>-30842</v>
      </c>
      <c r="F1461" s="3" t="s">
        <v>126</v>
      </c>
      <c r="G1461" s="3" t="s">
        <v>20</v>
      </c>
      <c r="H1461" s="2" t="s">
        <v>72</v>
      </c>
      <c r="I1461" s="2" t="s">
        <v>3921</v>
      </c>
      <c r="J1461" s="3" t="str">
        <f>HYPERLINK("https://www.boe.es/gazeta/dias/1815/07/22/pdfs/GMD-1815-90.pdf#page=4","Abrir facsímil")</f>
        <v>Abrir facsímil</v>
      </c>
      <c r="K1461" s="3" t="s">
        <v>74</v>
      </c>
    </row>
    <row r="1462" spans="1:11" ht="42" customHeight="1">
      <c r="A1462" s="2" t="s">
        <v>3922</v>
      </c>
      <c r="B1462" s="2" t="s">
        <v>3922</v>
      </c>
      <c r="C1462" s="2" t="s">
        <v>31</v>
      </c>
      <c r="D1462" s="2" t="s">
        <v>32</v>
      </c>
      <c r="E1462" s="5">
        <v>-30928</v>
      </c>
      <c r="F1462" s="3" t="s">
        <v>330</v>
      </c>
      <c r="G1462" s="3" t="s">
        <v>410</v>
      </c>
      <c r="H1462" s="2" t="s">
        <v>72</v>
      </c>
      <c r="I1462" s="2" t="s">
        <v>3923</v>
      </c>
      <c r="J1462" s="3" t="str">
        <f>HYPERLINK("https://www.boe.es/gazeta/dias/1815/04/27/pdfs/GMD-1815-51.pdf#page=1","Abrir facsímil")</f>
        <v>Abrir facsímil</v>
      </c>
      <c r="K1462" s="3" t="s">
        <v>74</v>
      </c>
    </row>
    <row r="1463" spans="1:11" ht="42" customHeight="1">
      <c r="A1463" s="2" t="s">
        <v>3924</v>
      </c>
      <c r="B1463" s="2" t="s">
        <v>3924</v>
      </c>
      <c r="C1463" s="2" t="s">
        <v>49</v>
      </c>
      <c r="D1463" s="2" t="s">
        <v>50</v>
      </c>
      <c r="E1463" s="5">
        <v>-30821</v>
      </c>
      <c r="F1463" s="3" t="s">
        <v>915</v>
      </c>
      <c r="G1463" s="3" t="s">
        <v>1304</v>
      </c>
      <c r="H1463" s="2" t="s">
        <v>72</v>
      </c>
      <c r="I1463" s="2" t="s">
        <v>3925</v>
      </c>
      <c r="J1463" s="3" t="str">
        <f>HYPERLINK("https://www.boe.es/gazeta/dias/1815/08/12/pdfs/GMD-1815-99.pdf#page=4","Abrir facsímil")</f>
        <v>Abrir facsímil</v>
      </c>
      <c r="K1463" s="3" t="s">
        <v>74</v>
      </c>
    </row>
    <row r="1464" spans="1:11" ht="42" customHeight="1">
      <c r="A1464" s="2" t="s">
        <v>3926</v>
      </c>
      <c r="B1464" s="2" t="s">
        <v>3926</v>
      </c>
      <c r="C1464" s="2" t="s">
        <v>31</v>
      </c>
      <c r="D1464" s="2" t="s">
        <v>32</v>
      </c>
      <c r="E1464" s="5">
        <v>-30718</v>
      </c>
      <c r="F1464" s="3" t="s">
        <v>3115</v>
      </c>
      <c r="G1464" s="3" t="s">
        <v>57</v>
      </c>
      <c r="H1464" s="2" t="s">
        <v>72</v>
      </c>
      <c r="I1464" s="2" t="s">
        <v>3927</v>
      </c>
      <c r="J1464" s="3" t="str">
        <f>HYPERLINK("https://www.boe.es/gazeta/dias/1815/11/23/pdfs/GMD-1815-146.pdf#page=5","Abrir facsímil")</f>
        <v>Abrir facsímil</v>
      </c>
      <c r="K1464" s="3" t="s">
        <v>74</v>
      </c>
    </row>
    <row r="1465" spans="1:11" ht="42" customHeight="1">
      <c r="A1465" s="2" t="s">
        <v>3928</v>
      </c>
      <c r="B1465" s="2" t="s">
        <v>3928</v>
      </c>
      <c r="C1465" s="2" t="s">
        <v>31</v>
      </c>
      <c r="D1465" s="2" t="s">
        <v>32</v>
      </c>
      <c r="E1465" s="5">
        <v>-30734</v>
      </c>
      <c r="F1465" s="3" t="s">
        <v>376</v>
      </c>
      <c r="G1465" s="3" t="s">
        <v>377</v>
      </c>
      <c r="H1465" s="2" t="s">
        <v>72</v>
      </c>
      <c r="I1465" s="2" t="s">
        <v>3929</v>
      </c>
      <c r="J1465" s="3" t="str">
        <f>HYPERLINK("https://www.boe.es/gazeta/dias/1815/11/07/pdfs/GMD-1815-139.pdf#page=2","Abrir facsímil")</f>
        <v>Abrir facsímil</v>
      </c>
      <c r="K1465" s="3" t="s">
        <v>74</v>
      </c>
    </row>
    <row r="1466" spans="1:11" ht="42" customHeight="1">
      <c r="A1466" s="2" t="s">
        <v>3930</v>
      </c>
      <c r="B1466" s="2" t="s">
        <v>3930</v>
      </c>
      <c r="C1466" s="2" t="s">
        <v>49</v>
      </c>
      <c r="D1466" s="2" t="s">
        <v>50</v>
      </c>
      <c r="E1466" s="5">
        <v>-30821</v>
      </c>
      <c r="F1466" s="3" t="s">
        <v>915</v>
      </c>
      <c r="G1466" s="3" t="s">
        <v>1304</v>
      </c>
      <c r="H1466" s="2" t="s">
        <v>72</v>
      </c>
      <c r="I1466" s="2" t="s">
        <v>3931</v>
      </c>
      <c r="J1466" s="3" t="str">
        <f>HYPERLINK("https://www.boe.es/gazeta/dias/1815/08/12/pdfs/GMD-1815-99.pdf#page=4","Abrir facsímil")</f>
        <v>Abrir facsímil</v>
      </c>
      <c r="K1466" s="3" t="s">
        <v>74</v>
      </c>
    </row>
    <row r="1467" spans="1:11" ht="42" customHeight="1">
      <c r="A1467" s="2" t="s">
        <v>3932</v>
      </c>
      <c r="B1467" s="2" t="s">
        <v>3932</v>
      </c>
      <c r="C1467" s="2" t="s">
        <v>31</v>
      </c>
      <c r="D1467" s="2" t="s">
        <v>179</v>
      </c>
      <c r="E1467" s="5">
        <v>-30860</v>
      </c>
      <c r="F1467" s="3" t="s">
        <v>180</v>
      </c>
      <c r="G1467" s="3" t="s">
        <v>20</v>
      </c>
      <c r="H1467" s="2" t="s">
        <v>72</v>
      </c>
      <c r="I1467" s="2" t="s">
        <v>3933</v>
      </c>
      <c r="J1467" s="3" t="str">
        <f>HYPERLINK("https://www.boe.es/gazeta/dias/1815/07/04/pdfs/GMD-1815-82E.pdf#page=4","Abrir facsímil")</f>
        <v>Abrir facsímil</v>
      </c>
      <c r="K1467" s="3" t="s">
        <v>74</v>
      </c>
    </row>
    <row r="1468" spans="1:11" ht="42" customHeight="1">
      <c r="A1468" s="2" t="s">
        <v>3934</v>
      </c>
      <c r="B1468" s="2" t="s">
        <v>3935</v>
      </c>
      <c r="C1468" s="2" t="s">
        <v>49</v>
      </c>
      <c r="D1468" s="2" t="s">
        <v>50</v>
      </c>
      <c r="E1468" s="5">
        <v>-30865</v>
      </c>
      <c r="F1468" s="3" t="s">
        <v>163</v>
      </c>
      <c r="G1468" s="3" t="s">
        <v>71</v>
      </c>
      <c r="H1468" s="2" t="s">
        <v>72</v>
      </c>
      <c r="I1468" s="2" t="s">
        <v>3936</v>
      </c>
      <c r="J1468" s="3" t="str">
        <f>HYPERLINK("https://www.boe.es/gazeta/dias/1815/06/29/pdfs/GMD-1815-78.pdf#page=7","Abrir facsímil")</f>
        <v>Abrir facsímil</v>
      </c>
      <c r="K1468" s="3" t="s">
        <v>74</v>
      </c>
    </row>
    <row r="1469" spans="1:11" ht="42" customHeight="1">
      <c r="A1469" s="2" t="s">
        <v>3937</v>
      </c>
      <c r="B1469" s="2" t="s">
        <v>3938</v>
      </c>
      <c r="C1469" s="2" t="s">
        <v>49</v>
      </c>
      <c r="D1469" s="2" t="s">
        <v>50</v>
      </c>
      <c r="E1469" s="5">
        <v>-30886</v>
      </c>
      <c r="F1469" s="3" t="s">
        <v>140</v>
      </c>
      <c r="G1469" s="3" t="s">
        <v>38</v>
      </c>
      <c r="H1469" s="2" t="s">
        <v>72</v>
      </c>
      <c r="I1469" s="2" t="s">
        <v>3939</v>
      </c>
      <c r="J1469" s="3" t="str">
        <f>HYPERLINK("https://www.boe.es/gazeta/dias/1815/06/08/pdfs/GMD-1815-69.pdf#page=8","Abrir facsímil")</f>
        <v>Abrir facsímil</v>
      </c>
      <c r="K1469" s="3" t="s">
        <v>74</v>
      </c>
    </row>
    <row r="1470" spans="1:11" ht="42" customHeight="1">
      <c r="A1470" s="2" t="s">
        <v>3940</v>
      </c>
      <c r="B1470" s="2" t="s">
        <v>3941</v>
      </c>
      <c r="C1470" s="2" t="s">
        <v>49</v>
      </c>
      <c r="D1470" s="2" t="s">
        <v>50</v>
      </c>
      <c r="E1470" s="5">
        <v>-30886</v>
      </c>
      <c r="F1470" s="3" t="s">
        <v>140</v>
      </c>
      <c r="G1470" s="3" t="s">
        <v>224</v>
      </c>
      <c r="H1470" s="2" t="s">
        <v>72</v>
      </c>
      <c r="I1470" s="2" t="s">
        <v>3942</v>
      </c>
      <c r="J1470" s="3" t="str">
        <f>HYPERLINK("https://www.boe.es/gazeta/dias/1815/06/08/pdfs/GMD-1815-69.pdf#page=9","Abrir facsímil")</f>
        <v>Abrir facsímil</v>
      </c>
      <c r="K1470" s="3" t="s">
        <v>74</v>
      </c>
    </row>
    <row r="1471" spans="1:11" ht="42" customHeight="1">
      <c r="A1471" s="2" t="s">
        <v>3943</v>
      </c>
      <c r="B1471" s="2" t="s">
        <v>3944</v>
      </c>
      <c r="C1471" s="2" t="s">
        <v>49</v>
      </c>
      <c r="D1471" s="2" t="s">
        <v>50</v>
      </c>
      <c r="E1471" s="5">
        <v>-30860</v>
      </c>
      <c r="F1471" s="3" t="s">
        <v>184</v>
      </c>
      <c r="G1471" s="3" t="s">
        <v>472</v>
      </c>
      <c r="H1471" s="2" t="s">
        <v>72</v>
      </c>
      <c r="I1471" s="2" t="s">
        <v>3945</v>
      </c>
      <c r="J1471" s="3" t="str">
        <f>HYPERLINK("https://www.boe.es/gazeta/dias/1815/07/04/pdfs/GMD-1815-81.pdf#page=8","Abrir facsímil")</f>
        <v>Abrir facsímil</v>
      </c>
      <c r="K1471" s="3" t="s">
        <v>74</v>
      </c>
    </row>
    <row r="1472" spans="1:11" ht="42" customHeight="1">
      <c r="A1472" s="2" t="s">
        <v>3946</v>
      </c>
      <c r="B1472" s="2" t="s">
        <v>3947</v>
      </c>
      <c r="C1472" s="2" t="s">
        <v>49</v>
      </c>
      <c r="D1472" s="2" t="s">
        <v>50</v>
      </c>
      <c r="E1472" s="5">
        <v>-30741</v>
      </c>
      <c r="F1472" s="3" t="s">
        <v>1000</v>
      </c>
      <c r="G1472" s="3" t="s">
        <v>38</v>
      </c>
      <c r="H1472" s="2" t="s">
        <v>21</v>
      </c>
      <c r="I1472" s="2" t="s">
        <v>3948</v>
      </c>
      <c r="J1472" s="3" t="str">
        <f>HYPERLINK("https://www.boe.es/gazeta/dias/1815/10/31/pdfs/GMD-1815-136.pdf#page=8","Abrir facsímil")</f>
        <v>Abrir facsímil</v>
      </c>
      <c r="K1472" s="3" t="s">
        <v>23</v>
      </c>
    </row>
    <row r="1473" spans="1:11" ht="42" customHeight="1">
      <c r="A1473" s="2" t="s">
        <v>3949</v>
      </c>
      <c r="B1473" s="2" t="s">
        <v>3949</v>
      </c>
      <c r="C1473" s="2" t="s">
        <v>897</v>
      </c>
      <c r="D1473" s="2" t="s">
        <v>50</v>
      </c>
      <c r="E1473" s="5">
        <v>-30916</v>
      </c>
      <c r="F1473" s="3" t="s">
        <v>147</v>
      </c>
      <c r="G1473" s="3" t="s">
        <v>97</v>
      </c>
      <c r="H1473" s="2" t="s">
        <v>72</v>
      </c>
      <c r="I1473" s="2" t="s">
        <v>3950</v>
      </c>
      <c r="J1473" s="3" t="str">
        <f>HYPERLINK("https://www.boe.es/gazeta/dias/1815/05/09/pdfs/GMD-1815-56.pdf#page=3","Abrir facsímil")</f>
        <v>Abrir facsímil</v>
      </c>
      <c r="K1473" s="3" t="s">
        <v>74</v>
      </c>
    </row>
    <row r="1474" spans="1:11" ht="42" customHeight="1">
      <c r="A1474" s="2" t="s">
        <v>3951</v>
      </c>
      <c r="B1474" s="2" t="s">
        <v>3951</v>
      </c>
      <c r="C1474" s="2" t="s">
        <v>31</v>
      </c>
      <c r="D1474" s="2" t="s">
        <v>32</v>
      </c>
      <c r="E1474" s="5">
        <v>-30744</v>
      </c>
      <c r="F1474" s="3" t="s">
        <v>391</v>
      </c>
      <c r="G1474" s="3" t="s">
        <v>97</v>
      </c>
      <c r="H1474" s="2" t="s">
        <v>72</v>
      </c>
      <c r="I1474" s="2" t="s">
        <v>3952</v>
      </c>
      <c r="J1474" s="3" t="str">
        <f>HYPERLINK("https://www.boe.es/gazeta/dias/1815/10/28/pdfs/GMD-1815-135.pdf#page=3","Abrir facsímil")</f>
        <v>Abrir facsímil</v>
      </c>
      <c r="K1474" s="3" t="s">
        <v>74</v>
      </c>
    </row>
    <row r="1475" spans="1:11" ht="42" customHeight="1">
      <c r="A1475" s="2" t="s">
        <v>3953</v>
      </c>
      <c r="B1475" s="2" t="s">
        <v>3953</v>
      </c>
      <c r="C1475" s="2" t="s">
        <v>31</v>
      </c>
      <c r="D1475" s="2" t="s">
        <v>32</v>
      </c>
      <c r="E1475" s="5">
        <v>-30921</v>
      </c>
      <c r="F1475" s="3" t="s">
        <v>191</v>
      </c>
      <c r="G1475" s="3" t="s">
        <v>20</v>
      </c>
      <c r="H1475" s="2" t="s">
        <v>72</v>
      </c>
      <c r="I1475" s="2" t="s">
        <v>3954</v>
      </c>
      <c r="J1475" s="3" t="str">
        <f>HYPERLINK("https://www.boe.es/gazeta/dias/1815/05/04/pdfs/GMD-1815-54.pdf#page=4","Abrir facsímil")</f>
        <v>Abrir facsímil</v>
      </c>
      <c r="K1475" s="3" t="s">
        <v>74</v>
      </c>
    </row>
    <row r="1476" spans="1:11" ht="42" customHeight="1">
      <c r="A1476" s="2" t="s">
        <v>3955</v>
      </c>
      <c r="B1476" s="2" t="s">
        <v>3955</v>
      </c>
      <c r="C1476" s="2" t="s">
        <v>31</v>
      </c>
      <c r="D1476" s="2" t="s">
        <v>32</v>
      </c>
      <c r="E1476" s="5">
        <v>-30921</v>
      </c>
      <c r="F1476" s="3" t="s">
        <v>191</v>
      </c>
      <c r="G1476" s="3" t="s">
        <v>20</v>
      </c>
      <c r="H1476" s="2" t="s">
        <v>72</v>
      </c>
      <c r="I1476" s="2" t="s">
        <v>3956</v>
      </c>
      <c r="J1476" s="3" t="str">
        <f>HYPERLINK("https://www.boe.es/gazeta/dias/1815/05/04/pdfs/GMD-1815-54.pdf#page=4","Abrir facsímil")</f>
        <v>Abrir facsímil</v>
      </c>
      <c r="K1476" s="3" t="s">
        <v>74</v>
      </c>
    </row>
    <row r="1477" spans="1:11" ht="42" customHeight="1">
      <c r="A1477" s="2" t="s">
        <v>3957</v>
      </c>
      <c r="B1477" s="2" t="s">
        <v>3957</v>
      </c>
      <c r="C1477" s="2" t="s">
        <v>17</v>
      </c>
      <c r="D1477" s="2" t="s">
        <v>18</v>
      </c>
      <c r="E1477" s="5">
        <v>-30781</v>
      </c>
      <c r="F1477" s="3" t="s">
        <v>685</v>
      </c>
      <c r="G1477" s="3" t="s">
        <v>38</v>
      </c>
      <c r="H1477" s="2" t="s">
        <v>72</v>
      </c>
      <c r="I1477" s="2" t="s">
        <v>3958</v>
      </c>
      <c r="J1477" s="3" t="str">
        <f>HYPERLINK("https://www.boe.es/gazeta/dias/1815/09/21/pdfs/GMD-1815-117.pdf#page=8","Abrir facsímil")</f>
        <v>Abrir facsímil</v>
      </c>
      <c r="K1477" s="3" t="s">
        <v>74</v>
      </c>
    </row>
    <row r="1478" spans="1:11" ht="42" customHeight="1">
      <c r="A1478" s="2" t="s">
        <v>3959</v>
      </c>
      <c r="B1478" s="2" t="s">
        <v>3960</v>
      </c>
      <c r="C1478" s="2" t="s">
        <v>195</v>
      </c>
      <c r="D1478" s="2" t="s">
        <v>50</v>
      </c>
      <c r="E1478" s="5">
        <v>-30781</v>
      </c>
      <c r="F1478" s="3" t="s">
        <v>685</v>
      </c>
      <c r="G1478" s="3" t="s">
        <v>71</v>
      </c>
      <c r="H1478" s="2" t="s">
        <v>72</v>
      </c>
      <c r="I1478" s="2" t="s">
        <v>3961</v>
      </c>
      <c r="J1478" s="3" t="str">
        <f>HYPERLINK("https://www.boe.es/gazeta/dias/1815/09/21/pdfs/GMD-1815-117.pdf#page=7","Abrir facsímil")</f>
        <v>Abrir facsímil</v>
      </c>
      <c r="K1478" s="3" t="s">
        <v>74</v>
      </c>
    </row>
    <row r="1479" spans="1:11" ht="42" customHeight="1">
      <c r="A1479" s="2" t="s">
        <v>3959</v>
      </c>
      <c r="B1479" s="2" t="s">
        <v>3960</v>
      </c>
      <c r="C1479" s="2" t="s">
        <v>195</v>
      </c>
      <c r="D1479" s="2" t="s">
        <v>50</v>
      </c>
      <c r="E1479" s="5">
        <v>-30781</v>
      </c>
      <c r="F1479" s="3" t="s">
        <v>685</v>
      </c>
      <c r="G1479" s="3" t="s">
        <v>38</v>
      </c>
      <c r="H1479" s="2" t="s">
        <v>72</v>
      </c>
      <c r="I1479" s="2" t="s">
        <v>3962</v>
      </c>
      <c r="J1479" s="3" t="str">
        <f>HYPERLINK("https://www.boe.es/gazeta/dias/1815/09/21/pdfs/GMD-1815-117.pdf#page=8","Abrir facsímil")</f>
        <v>Abrir facsímil</v>
      </c>
      <c r="K1479" s="3" t="s">
        <v>74</v>
      </c>
    </row>
    <row r="1480" spans="1:11" ht="42" customHeight="1">
      <c r="A1480" s="2" t="s">
        <v>3963</v>
      </c>
      <c r="B1480" s="2" t="s">
        <v>3963</v>
      </c>
      <c r="C1480" s="2" t="s">
        <v>31</v>
      </c>
      <c r="D1480" s="2" t="s">
        <v>32</v>
      </c>
      <c r="E1480" s="5">
        <v>-30937</v>
      </c>
      <c r="F1480" s="3" t="s">
        <v>322</v>
      </c>
      <c r="G1480" s="3" t="s">
        <v>377</v>
      </c>
      <c r="H1480" s="2" t="s">
        <v>72</v>
      </c>
      <c r="I1480" s="2" t="s">
        <v>3964</v>
      </c>
      <c r="J1480" s="3" t="str">
        <f>HYPERLINK("https://www.boe.es/gazeta/dias/1815/04/18/pdfs/GMD-1815-47.pdf#page=2","Abrir facsímil")</f>
        <v>Abrir facsímil</v>
      </c>
      <c r="K1480" s="3" t="s">
        <v>74</v>
      </c>
    </row>
    <row r="1481" spans="1:11" ht="42" customHeight="1">
      <c r="A1481" s="2" t="s">
        <v>3965</v>
      </c>
      <c r="B1481" s="2" t="s">
        <v>3966</v>
      </c>
      <c r="C1481" s="2" t="s">
        <v>49</v>
      </c>
      <c r="D1481" s="2" t="s">
        <v>50</v>
      </c>
      <c r="E1481" s="5">
        <v>-30860</v>
      </c>
      <c r="F1481" s="3" t="s">
        <v>184</v>
      </c>
      <c r="G1481" s="3" t="s">
        <v>20</v>
      </c>
      <c r="H1481" s="2" t="s">
        <v>72</v>
      </c>
      <c r="I1481" s="2" t="s">
        <v>3967</v>
      </c>
      <c r="J1481" s="3" t="str">
        <f>HYPERLINK("https://www.boe.es/gazeta/dias/1815/07/04/pdfs/GMD-1815-81.pdf#page=4","Abrir facsímil")</f>
        <v>Abrir facsímil</v>
      </c>
      <c r="K1481" s="3" t="s">
        <v>74</v>
      </c>
    </row>
    <row r="1482" spans="1:11" ht="42" customHeight="1">
      <c r="A1482" s="2" t="s">
        <v>3968</v>
      </c>
      <c r="B1482" s="2" t="s">
        <v>3969</v>
      </c>
      <c r="C1482" s="2" t="s">
        <v>49</v>
      </c>
      <c r="D1482" s="2" t="s">
        <v>50</v>
      </c>
      <c r="E1482" s="5">
        <v>-30893</v>
      </c>
      <c r="F1482" s="3" t="s">
        <v>132</v>
      </c>
      <c r="G1482" s="3" t="s">
        <v>155</v>
      </c>
      <c r="H1482" s="2" t="s">
        <v>72</v>
      </c>
      <c r="I1482" s="2" t="s">
        <v>3970</v>
      </c>
      <c r="J1482" s="3" t="str">
        <f>HYPERLINK("https://www.boe.es/gazeta/dias/1815/06/01/pdfs/GMD-1815-66.pdf#page=6","Abrir facsímil")</f>
        <v>Abrir facsímil</v>
      </c>
      <c r="K1482" s="3" t="s">
        <v>74</v>
      </c>
    </row>
    <row r="1483" spans="1:11" ht="42" customHeight="1">
      <c r="A1483" s="2" t="s">
        <v>3971</v>
      </c>
      <c r="B1483" s="2" t="s">
        <v>3972</v>
      </c>
      <c r="C1483" s="2" t="s">
        <v>31</v>
      </c>
      <c r="D1483" s="2" t="s">
        <v>32</v>
      </c>
      <c r="E1483" s="5">
        <v>-30951</v>
      </c>
      <c r="F1483" s="3" t="s">
        <v>87</v>
      </c>
      <c r="G1483" s="3" t="s">
        <v>38</v>
      </c>
      <c r="H1483" s="2" t="s">
        <v>72</v>
      </c>
      <c r="I1483" s="2" t="s">
        <v>3973</v>
      </c>
      <c r="J1483" s="3" t="str">
        <f>HYPERLINK("https://www.boe.es/gazeta/dias/1815/04/04/pdfs/GMD-1815-41.pdf#page=8","Abrir facsímil")</f>
        <v>Abrir facsímil</v>
      </c>
      <c r="K1483" s="3" t="s">
        <v>74</v>
      </c>
    </row>
    <row r="1484" spans="1:11" ht="42" customHeight="1">
      <c r="A1484" s="2" t="s">
        <v>3974</v>
      </c>
      <c r="B1484" s="2" t="s">
        <v>3975</v>
      </c>
      <c r="C1484" s="2" t="s">
        <v>31</v>
      </c>
      <c r="D1484" s="2" t="s">
        <v>32</v>
      </c>
      <c r="E1484" s="5">
        <v>-31026</v>
      </c>
      <c r="F1484" s="3" t="s">
        <v>874</v>
      </c>
      <c r="G1484" s="3" t="s">
        <v>27</v>
      </c>
      <c r="H1484" s="2" t="s">
        <v>72</v>
      </c>
      <c r="I1484" s="2" t="s">
        <v>3976</v>
      </c>
      <c r="J1484" s="3" t="str">
        <f>HYPERLINK("https://www.boe.es/gazeta/dias/1815/01/19/pdfs/GMD-1815-8.pdf#page=6","Abrir facsímil")</f>
        <v>Abrir facsímil</v>
      </c>
      <c r="K1484" s="3" t="s">
        <v>74</v>
      </c>
    </row>
    <row r="1485" spans="1:11" ht="42" customHeight="1">
      <c r="A1485" s="2" t="s">
        <v>3974</v>
      </c>
      <c r="B1485" s="2" t="s">
        <v>3975</v>
      </c>
      <c r="C1485" s="2" t="s">
        <v>31</v>
      </c>
      <c r="D1485" s="2" t="s">
        <v>32</v>
      </c>
      <c r="E1485" s="5">
        <v>-30947</v>
      </c>
      <c r="F1485" s="3" t="s">
        <v>159</v>
      </c>
      <c r="G1485" s="3" t="s">
        <v>71</v>
      </c>
      <c r="H1485" s="2" t="s">
        <v>72</v>
      </c>
      <c r="I1485" s="2" t="s">
        <v>3977</v>
      </c>
      <c r="J1485" s="3" t="str">
        <f>HYPERLINK("https://www.boe.es/gazeta/dias/1815/04/08/pdfs/GMD-1815-43.pdf#page=7","Abrir facsímil")</f>
        <v>Abrir facsímil</v>
      </c>
      <c r="K1485" s="3" t="s">
        <v>74</v>
      </c>
    </row>
    <row r="1486" spans="1:11" ht="42" customHeight="1">
      <c r="A1486" s="2" t="s">
        <v>3974</v>
      </c>
      <c r="B1486" s="2" t="s">
        <v>3975</v>
      </c>
      <c r="C1486" s="2" t="s">
        <v>31</v>
      </c>
      <c r="D1486" s="2" t="s">
        <v>32</v>
      </c>
      <c r="E1486" s="5">
        <v>-30772</v>
      </c>
      <c r="F1486" s="3" t="s">
        <v>216</v>
      </c>
      <c r="G1486" s="3" t="s">
        <v>3978</v>
      </c>
      <c r="H1486" s="2" t="s">
        <v>72</v>
      </c>
      <c r="I1486" s="2" t="s">
        <v>3979</v>
      </c>
      <c r="J1486" s="3" t="str">
        <f>HYPERLINK("https://www.boe.es/gazeta/dias/1815/09/30/pdfs/GMD-1815-123.pdf#page=3","Abrir facsímil")</f>
        <v>Abrir facsímil</v>
      </c>
      <c r="K1486" s="3" t="s">
        <v>74</v>
      </c>
    </row>
    <row r="1487" spans="1:11" ht="42" customHeight="1">
      <c r="A1487" s="2" t="s">
        <v>3980</v>
      </c>
      <c r="B1487" s="2" t="s">
        <v>3980</v>
      </c>
      <c r="C1487" s="2" t="s">
        <v>31</v>
      </c>
      <c r="D1487" s="2" t="s">
        <v>179</v>
      </c>
      <c r="E1487" s="5">
        <v>-30860</v>
      </c>
      <c r="F1487" s="3" t="s">
        <v>180</v>
      </c>
      <c r="G1487" s="3" t="s">
        <v>2026</v>
      </c>
      <c r="H1487" s="2" t="s">
        <v>72</v>
      </c>
      <c r="I1487" s="2" t="s">
        <v>3981</v>
      </c>
      <c r="J1487" s="3" t="str">
        <f>HYPERLINK("https://www.boe.es/gazeta/dias/1815/07/04/pdfs/GMD-1815-82E.pdf#page=5","Abrir facsímil")</f>
        <v>Abrir facsímil</v>
      </c>
      <c r="K1487" s="3" t="s">
        <v>74</v>
      </c>
    </row>
    <row r="1488" spans="1:11" ht="42" customHeight="1">
      <c r="A1488" s="2" t="s">
        <v>3982</v>
      </c>
      <c r="B1488" s="2" t="s">
        <v>3982</v>
      </c>
      <c r="C1488" s="2" t="s">
        <v>31</v>
      </c>
      <c r="D1488" s="2" t="s">
        <v>32</v>
      </c>
      <c r="E1488" s="5">
        <v>-30835</v>
      </c>
      <c r="F1488" s="3" t="s">
        <v>544</v>
      </c>
      <c r="G1488" s="3" t="s">
        <v>97</v>
      </c>
      <c r="H1488" s="2" t="s">
        <v>72</v>
      </c>
      <c r="I1488" s="2" t="s">
        <v>3983</v>
      </c>
      <c r="J1488" s="3" t="str">
        <f>HYPERLINK("https://www.boe.es/gazeta/dias/1815/07/29/pdfs/GMD-1815-93.pdf#page=3","Abrir facsímil")</f>
        <v>Abrir facsímil</v>
      </c>
      <c r="K1488" s="3" t="s">
        <v>74</v>
      </c>
    </row>
    <row r="1489" spans="1:11" ht="42" customHeight="1">
      <c r="A1489" s="2" t="s">
        <v>3984</v>
      </c>
      <c r="B1489" s="2" t="s">
        <v>3984</v>
      </c>
      <c r="C1489" s="2" t="s">
        <v>31</v>
      </c>
      <c r="D1489" s="2" t="s">
        <v>32</v>
      </c>
      <c r="E1489" s="5">
        <v>-30832</v>
      </c>
      <c r="F1489" s="3" t="s">
        <v>266</v>
      </c>
      <c r="G1489" s="3" t="s">
        <v>57</v>
      </c>
      <c r="H1489" s="2" t="s">
        <v>72</v>
      </c>
      <c r="I1489" s="2" t="s">
        <v>3985</v>
      </c>
      <c r="J1489" s="3" t="str">
        <f>HYPERLINK("https://www.boe.es/gazeta/dias/1815/08/01/pdfs/GMD-1815-94.pdf#page=5","Abrir facsímil")</f>
        <v>Abrir facsímil</v>
      </c>
      <c r="K1489" s="3" t="s">
        <v>74</v>
      </c>
    </row>
    <row r="1490" spans="1:11" ht="42" customHeight="1">
      <c r="A1490" s="2" t="s">
        <v>3984</v>
      </c>
      <c r="B1490" s="2" t="s">
        <v>3984</v>
      </c>
      <c r="C1490" s="2" t="s">
        <v>31</v>
      </c>
      <c r="D1490" s="2" t="s">
        <v>32</v>
      </c>
      <c r="E1490" s="5">
        <v>-30832</v>
      </c>
      <c r="F1490" s="3" t="s">
        <v>266</v>
      </c>
      <c r="G1490" s="3" t="s">
        <v>27</v>
      </c>
      <c r="H1490" s="2" t="s">
        <v>72</v>
      </c>
      <c r="I1490" s="2" t="s">
        <v>3986</v>
      </c>
      <c r="J1490" s="3" t="str">
        <f>HYPERLINK("https://www.boe.es/gazeta/dias/1815/08/01/pdfs/GMD-1815-94.pdf#page=6","Abrir facsímil")</f>
        <v>Abrir facsímil</v>
      </c>
      <c r="K1490" s="3" t="s">
        <v>74</v>
      </c>
    </row>
    <row r="1491" spans="1:11" ht="42" customHeight="1">
      <c r="A1491" s="2" t="s">
        <v>3987</v>
      </c>
      <c r="B1491" s="2" t="s">
        <v>3987</v>
      </c>
      <c r="C1491" s="2" t="s">
        <v>31</v>
      </c>
      <c r="D1491" s="2" t="s">
        <v>32</v>
      </c>
      <c r="E1491" s="5">
        <v>-30751</v>
      </c>
      <c r="F1491" s="3" t="s">
        <v>819</v>
      </c>
      <c r="G1491" s="3" t="s">
        <v>97</v>
      </c>
      <c r="H1491" s="2" t="s">
        <v>72</v>
      </c>
      <c r="I1491" s="2" t="s">
        <v>3988</v>
      </c>
      <c r="J1491" s="3" t="str">
        <f>HYPERLINK("https://www.boe.es/gazeta/dias/1815/10/21/pdfs/GMD-1815-132.pdf#page=3","Abrir facsímil")</f>
        <v>Abrir facsímil</v>
      </c>
      <c r="K1491" s="3" t="s">
        <v>74</v>
      </c>
    </row>
    <row r="1492" spans="1:11" ht="42" customHeight="1">
      <c r="A1492" s="2" t="s">
        <v>3989</v>
      </c>
      <c r="B1492" s="2" t="s">
        <v>3989</v>
      </c>
      <c r="C1492" s="2" t="s">
        <v>31</v>
      </c>
      <c r="D1492" s="2" t="s">
        <v>32</v>
      </c>
      <c r="E1492" s="5">
        <v>-30956</v>
      </c>
      <c r="F1492" s="3" t="s">
        <v>495</v>
      </c>
      <c r="G1492" s="3" t="s">
        <v>3990</v>
      </c>
      <c r="H1492" s="2" t="s">
        <v>72</v>
      </c>
      <c r="I1492" s="2" t="s">
        <v>3991</v>
      </c>
      <c r="J1492" s="3" t="str">
        <f>HYPERLINK("https://www.boe.es/gazeta/dias/1815/03/30/pdfs/GMD-1815-38.pdf#page=4","Abrir facsímil")</f>
        <v>Abrir facsímil</v>
      </c>
      <c r="K1492" s="3" t="s">
        <v>74</v>
      </c>
    </row>
    <row r="1493" spans="1:11" ht="42" customHeight="1">
      <c r="A1493" s="2" t="s">
        <v>3992</v>
      </c>
      <c r="B1493" s="2" t="s">
        <v>3993</v>
      </c>
      <c r="C1493" s="2" t="s">
        <v>31</v>
      </c>
      <c r="D1493" s="2" t="s">
        <v>32</v>
      </c>
      <c r="E1493" s="5">
        <v>-31038</v>
      </c>
      <c r="F1493" s="3" t="s">
        <v>395</v>
      </c>
      <c r="G1493" s="3" t="s">
        <v>396</v>
      </c>
      <c r="H1493" s="2" t="s">
        <v>72</v>
      </c>
      <c r="I1493" s="2" t="s">
        <v>3994</v>
      </c>
      <c r="J1493" s="3" t="str">
        <f>HYPERLINK("https://www.boe.es/gazeta/dias/1815/01/07/pdfs/GMD-1815-3.pdf#page=5","Abrir facsímil")</f>
        <v>Abrir facsímil</v>
      </c>
      <c r="K1493" s="3" t="s">
        <v>74</v>
      </c>
    </row>
    <row r="1494" spans="1:11" ht="42" customHeight="1">
      <c r="A1494" s="2" t="s">
        <v>3995</v>
      </c>
      <c r="B1494" s="2" t="s">
        <v>3996</v>
      </c>
      <c r="C1494" s="2" t="s">
        <v>195</v>
      </c>
      <c r="D1494" s="2" t="s">
        <v>50</v>
      </c>
      <c r="E1494" s="5">
        <v>-30991</v>
      </c>
      <c r="F1494" s="3" t="s">
        <v>318</v>
      </c>
      <c r="G1494" s="3" t="s">
        <v>319</v>
      </c>
      <c r="H1494" s="2" t="s">
        <v>72</v>
      </c>
      <c r="I1494" s="2" t="s">
        <v>3997</v>
      </c>
      <c r="J1494" s="3" t="str">
        <f>HYPERLINK("https://www.boe.es/gazeta/dias/1815/02/23/pdfs/GMD-1815-23.pdf#page=6","Abrir facsímil")</f>
        <v>Abrir facsímil</v>
      </c>
      <c r="K1494" s="3" t="s">
        <v>74</v>
      </c>
    </row>
    <row r="1495" spans="1:11" ht="42" customHeight="1">
      <c r="A1495" s="2" t="s">
        <v>3998</v>
      </c>
      <c r="B1495" s="2" t="s">
        <v>3999</v>
      </c>
      <c r="C1495" s="2" t="s">
        <v>195</v>
      </c>
      <c r="D1495" s="2" t="s">
        <v>50</v>
      </c>
      <c r="E1495" s="5">
        <v>-30872</v>
      </c>
      <c r="F1495" s="3" t="s">
        <v>167</v>
      </c>
      <c r="G1495" s="3" t="s">
        <v>342</v>
      </c>
      <c r="H1495" s="2" t="s">
        <v>72</v>
      </c>
      <c r="I1495" s="2" t="s">
        <v>4000</v>
      </c>
      <c r="J1495" s="3" t="str">
        <f>HYPERLINK("https://www.boe.es/gazeta/dias/1815/06/22/pdfs/GMD-1815-75.pdf#page=8","Abrir facsímil")</f>
        <v>Abrir facsímil</v>
      </c>
      <c r="K1495" s="3" t="s">
        <v>74</v>
      </c>
    </row>
    <row r="1496" spans="1:11" ht="42" customHeight="1">
      <c r="A1496" s="2" t="s">
        <v>4001</v>
      </c>
      <c r="B1496" s="2" t="s">
        <v>4002</v>
      </c>
      <c r="C1496" s="2" t="s">
        <v>31</v>
      </c>
      <c r="D1496" s="2" t="s">
        <v>32</v>
      </c>
      <c r="E1496" s="5">
        <v>-31038</v>
      </c>
      <c r="F1496" s="3" t="s">
        <v>395</v>
      </c>
      <c r="G1496" s="3" t="s">
        <v>396</v>
      </c>
      <c r="H1496" s="2" t="s">
        <v>72</v>
      </c>
      <c r="I1496" s="2" t="s">
        <v>4003</v>
      </c>
      <c r="J1496" s="3" t="str">
        <f>HYPERLINK("https://www.boe.es/gazeta/dias/1815/01/07/pdfs/GMD-1815-3.pdf#page=5","Abrir facsímil")</f>
        <v>Abrir facsímil</v>
      </c>
      <c r="K1496" s="3" t="s">
        <v>74</v>
      </c>
    </row>
    <row r="1497" spans="1:11" ht="42" customHeight="1">
      <c r="A1497" s="2" t="s">
        <v>4004</v>
      </c>
      <c r="B1497" s="2" t="s">
        <v>4005</v>
      </c>
      <c r="C1497" s="2" t="s">
        <v>31</v>
      </c>
      <c r="D1497" s="2" t="s">
        <v>32</v>
      </c>
      <c r="E1497" s="5">
        <v>-30870</v>
      </c>
      <c r="F1497" s="3" t="s">
        <v>122</v>
      </c>
      <c r="G1497" s="3" t="s">
        <v>276</v>
      </c>
      <c r="H1497" s="2" t="s">
        <v>72</v>
      </c>
      <c r="I1497" s="2" t="s">
        <v>4006</v>
      </c>
      <c r="J1497" s="3" t="str">
        <f>HYPERLINK("https://www.boe.es/gazeta/dias/1815/06/24/pdfs/GMD-1815-76.pdf#page=12","Abrir facsímil")</f>
        <v>Abrir facsímil</v>
      </c>
      <c r="K1497" s="3" t="s">
        <v>74</v>
      </c>
    </row>
    <row r="1498" spans="1:11" ht="42" customHeight="1">
      <c r="A1498" s="2" t="s">
        <v>4007</v>
      </c>
      <c r="B1498" s="2" t="s">
        <v>4008</v>
      </c>
      <c r="C1498" s="2" t="s">
        <v>49</v>
      </c>
      <c r="D1498" s="2" t="s">
        <v>50</v>
      </c>
      <c r="E1498" s="5">
        <v>-30898</v>
      </c>
      <c r="F1498" s="3" t="s">
        <v>212</v>
      </c>
      <c r="G1498" s="3" t="s">
        <v>71</v>
      </c>
      <c r="H1498" s="2" t="s">
        <v>72</v>
      </c>
      <c r="I1498" s="2" t="s">
        <v>4009</v>
      </c>
      <c r="J1498" s="3" t="str">
        <f>HYPERLINK("https://www.boe.es/gazeta/dias/1815/05/27/pdfs/GMD-1815-64.pdf#page=7","Abrir facsímil")</f>
        <v>Abrir facsímil</v>
      </c>
      <c r="K1498" s="3" t="s">
        <v>74</v>
      </c>
    </row>
    <row r="1499" spans="1:11" ht="42" customHeight="1">
      <c r="A1499" s="2" t="s">
        <v>4010</v>
      </c>
      <c r="B1499" s="2" t="s">
        <v>4011</v>
      </c>
      <c r="C1499" s="2" t="s">
        <v>49</v>
      </c>
      <c r="D1499" s="2" t="s">
        <v>50</v>
      </c>
      <c r="E1499" s="5">
        <v>-30886</v>
      </c>
      <c r="F1499" s="3" t="s">
        <v>140</v>
      </c>
      <c r="G1499" s="3" t="s">
        <v>224</v>
      </c>
      <c r="H1499" s="2" t="s">
        <v>72</v>
      </c>
      <c r="I1499" s="2" t="s">
        <v>4012</v>
      </c>
      <c r="J1499" s="3" t="str">
        <f>HYPERLINK("https://www.boe.es/gazeta/dias/1815/06/08/pdfs/GMD-1815-69.pdf#page=9","Abrir facsímil")</f>
        <v>Abrir facsímil</v>
      </c>
      <c r="K1499" s="3" t="s">
        <v>74</v>
      </c>
    </row>
    <row r="1500" spans="1:11" ht="42" customHeight="1">
      <c r="A1500" s="2" t="s">
        <v>4013</v>
      </c>
      <c r="B1500" s="2" t="s">
        <v>4014</v>
      </c>
      <c r="C1500" s="2" t="s">
        <v>17</v>
      </c>
      <c r="D1500" s="2" t="s">
        <v>18</v>
      </c>
      <c r="E1500" s="5">
        <v>-30982</v>
      </c>
      <c r="F1500" s="3" t="s">
        <v>220</v>
      </c>
      <c r="G1500" s="3" t="s">
        <v>20</v>
      </c>
      <c r="H1500" s="2" t="s">
        <v>21</v>
      </c>
      <c r="I1500" s="2" t="s">
        <v>4015</v>
      </c>
      <c r="J1500" s="3" t="str">
        <f>HYPERLINK("https://www.boe.es/gazeta/dias/1815/03/04/pdfs/GMD-1815-27.pdf#page=4","Abrir facsímil")</f>
        <v>Abrir facsímil</v>
      </c>
      <c r="K1500" s="3" t="s">
        <v>23</v>
      </c>
    </row>
    <row r="1501" spans="1:11" ht="42" customHeight="1">
      <c r="A1501" s="2" t="s">
        <v>4016</v>
      </c>
      <c r="B1501" s="2" t="s">
        <v>4017</v>
      </c>
      <c r="C1501" s="2" t="s">
        <v>31</v>
      </c>
      <c r="D1501" s="2" t="s">
        <v>32</v>
      </c>
      <c r="E1501" s="5">
        <v>-30839</v>
      </c>
      <c r="F1501" s="3" t="s">
        <v>616</v>
      </c>
      <c r="G1501" s="3" t="s">
        <v>27</v>
      </c>
      <c r="H1501" s="2" t="s">
        <v>21</v>
      </c>
      <c r="I1501" s="2" t="s">
        <v>4018</v>
      </c>
      <c r="J1501" s="3" t="str">
        <f>HYPERLINK("https://www.boe.es/gazeta/dias/1815/07/25/pdfs/GMD-1815-91.pdf#page=6","Abrir facsímil")</f>
        <v>Abrir facsímil</v>
      </c>
      <c r="K1501" s="3" t="s">
        <v>23</v>
      </c>
    </row>
    <row r="1502" spans="1:11" ht="42" customHeight="1">
      <c r="A1502" s="2" t="s">
        <v>4019</v>
      </c>
      <c r="B1502" s="2" t="s">
        <v>4020</v>
      </c>
      <c r="C1502" s="2" t="s">
        <v>195</v>
      </c>
      <c r="D1502" s="2" t="s">
        <v>50</v>
      </c>
      <c r="E1502" s="5">
        <v>-30842</v>
      </c>
      <c r="F1502" s="3" t="s">
        <v>126</v>
      </c>
      <c r="G1502" s="3" t="s">
        <v>71</v>
      </c>
      <c r="H1502" s="2" t="s">
        <v>72</v>
      </c>
      <c r="I1502" s="2" t="s">
        <v>4021</v>
      </c>
      <c r="J1502" s="3" t="str">
        <f>HYPERLINK("https://www.boe.es/gazeta/dias/1815/07/22/pdfs/GMD-1815-90.pdf#page=7","Abrir facsímil")</f>
        <v>Abrir facsímil</v>
      </c>
      <c r="K1502" s="3" t="s">
        <v>74</v>
      </c>
    </row>
    <row r="1503" spans="1:11" ht="42" customHeight="1">
      <c r="A1503" s="2" t="s">
        <v>4019</v>
      </c>
      <c r="B1503" s="2" t="s">
        <v>4020</v>
      </c>
      <c r="C1503" s="2" t="s">
        <v>31</v>
      </c>
      <c r="D1503" s="2" t="s">
        <v>32</v>
      </c>
      <c r="E1503" s="5">
        <v>-30842</v>
      </c>
      <c r="F1503" s="3" t="s">
        <v>126</v>
      </c>
      <c r="G1503" s="3" t="s">
        <v>38</v>
      </c>
      <c r="H1503" s="2" t="s">
        <v>72</v>
      </c>
      <c r="I1503" s="2" t="s">
        <v>4022</v>
      </c>
      <c r="J1503" s="3" t="str">
        <f>HYPERLINK("https://www.boe.es/gazeta/dias/1815/07/22/pdfs/GMD-1815-90.pdf#page=8","Abrir facsímil")</f>
        <v>Abrir facsímil</v>
      </c>
      <c r="K1503" s="3" t="s">
        <v>74</v>
      </c>
    </row>
    <row r="1504" spans="1:11" ht="42" customHeight="1">
      <c r="A1504" s="2" t="s">
        <v>4023</v>
      </c>
      <c r="B1504" s="2" t="s">
        <v>4024</v>
      </c>
      <c r="C1504" s="2" t="s">
        <v>31</v>
      </c>
      <c r="D1504" s="2" t="s">
        <v>32</v>
      </c>
      <c r="E1504" s="5">
        <v>-30699</v>
      </c>
      <c r="F1504" s="3" t="s">
        <v>810</v>
      </c>
      <c r="G1504" s="3" t="s">
        <v>38</v>
      </c>
      <c r="H1504" s="2" t="s">
        <v>72</v>
      </c>
      <c r="I1504" s="2" t="s">
        <v>4025</v>
      </c>
      <c r="J1504" s="3" t="str">
        <f>HYPERLINK("https://www.boe.es/gazeta/dias/1815/12/12/pdfs/GMD-1815-154.pdf#page=8","Abrir facsímil")</f>
        <v>Abrir facsímil</v>
      </c>
      <c r="K1504" s="3" t="s">
        <v>74</v>
      </c>
    </row>
    <row r="1505" spans="1:11" ht="42" customHeight="1">
      <c r="A1505" s="2" t="s">
        <v>4026</v>
      </c>
      <c r="B1505" s="2" t="s">
        <v>4027</v>
      </c>
      <c r="C1505" s="2" t="s">
        <v>195</v>
      </c>
      <c r="D1505" s="2" t="s">
        <v>50</v>
      </c>
      <c r="E1505" s="5">
        <v>-31024</v>
      </c>
      <c r="F1505" s="3" t="s">
        <v>101</v>
      </c>
      <c r="G1505" s="3" t="s">
        <v>71</v>
      </c>
      <c r="H1505" s="2" t="s">
        <v>72</v>
      </c>
      <c r="I1505" s="2" t="s">
        <v>4028</v>
      </c>
      <c r="J1505" s="3" t="str">
        <f>HYPERLINK("https://www.boe.es/gazeta/dias/1815/01/21/pdfs/GMD-1815-9.pdf#page=7","Abrir facsímil")</f>
        <v>Abrir facsímil</v>
      </c>
      <c r="K1505" s="3" t="s">
        <v>74</v>
      </c>
    </row>
    <row r="1506" spans="1:11" ht="42" customHeight="1">
      <c r="A1506" s="2" t="s">
        <v>4029</v>
      </c>
      <c r="B1506" s="2" t="s">
        <v>4030</v>
      </c>
      <c r="C1506" s="2" t="s">
        <v>195</v>
      </c>
      <c r="D1506" s="2" t="s">
        <v>50</v>
      </c>
      <c r="E1506" s="5">
        <v>-31024</v>
      </c>
      <c r="F1506" s="3" t="s">
        <v>101</v>
      </c>
      <c r="G1506" s="3" t="s">
        <v>71</v>
      </c>
      <c r="H1506" s="2" t="s">
        <v>72</v>
      </c>
      <c r="I1506" s="2" t="s">
        <v>4031</v>
      </c>
      <c r="J1506" s="3" t="str">
        <f>HYPERLINK("https://www.boe.es/gazeta/dias/1815/01/21/pdfs/GMD-1815-9.pdf#page=7","Abrir facsímil")</f>
        <v>Abrir facsímil</v>
      </c>
      <c r="K1506" s="3" t="s">
        <v>74</v>
      </c>
    </row>
    <row r="1507" spans="1:11" ht="42" customHeight="1">
      <c r="A1507" s="2" t="s">
        <v>4032</v>
      </c>
      <c r="B1507" s="2" t="s">
        <v>4033</v>
      </c>
      <c r="C1507" s="2" t="s">
        <v>49</v>
      </c>
      <c r="D1507" s="2" t="s">
        <v>50</v>
      </c>
      <c r="E1507" s="5">
        <v>-30942</v>
      </c>
      <c r="F1507" s="3" t="s">
        <v>730</v>
      </c>
      <c r="G1507" s="3" t="s">
        <v>862</v>
      </c>
      <c r="H1507" s="2" t="s">
        <v>72</v>
      </c>
      <c r="I1507" s="2" t="s">
        <v>4034</v>
      </c>
      <c r="J1507" s="3" t="str">
        <f>HYPERLINK("https://www.boe.es/gazeta/dias/1815/04/13/pdfs/GMD-1815-45.pdf#page=6","Abrir facsímil")</f>
        <v>Abrir facsímil</v>
      </c>
      <c r="K1507" s="3" t="s">
        <v>74</v>
      </c>
    </row>
    <row r="1508" spans="1:11" ht="42" customHeight="1">
      <c r="A1508" s="2" t="s">
        <v>4032</v>
      </c>
      <c r="B1508" s="2" t="s">
        <v>4033</v>
      </c>
      <c r="C1508" s="2" t="s">
        <v>49</v>
      </c>
      <c r="D1508" s="2" t="s">
        <v>50</v>
      </c>
      <c r="E1508" s="5">
        <v>-30767</v>
      </c>
      <c r="F1508" s="3" t="s">
        <v>228</v>
      </c>
      <c r="G1508" s="3" t="s">
        <v>88</v>
      </c>
      <c r="H1508" s="2" t="s">
        <v>72</v>
      </c>
      <c r="I1508" s="2" t="s">
        <v>4035</v>
      </c>
      <c r="J1508" s="3" t="str">
        <f>HYPERLINK("https://www.boe.es/gazeta/dias/1815/10/05/pdfs/GMD-1815-125.pdf#page=10","Abrir facsímil")</f>
        <v>Abrir facsímil</v>
      </c>
      <c r="K1508" s="3" t="s">
        <v>74</v>
      </c>
    </row>
    <row r="1509" spans="1:11" ht="42" customHeight="1">
      <c r="A1509" s="2" t="s">
        <v>4036</v>
      </c>
      <c r="B1509" s="2" t="s">
        <v>4036</v>
      </c>
      <c r="C1509" s="2" t="s">
        <v>81</v>
      </c>
      <c r="D1509" s="2" t="s">
        <v>50</v>
      </c>
      <c r="E1509" s="5">
        <v>-30884</v>
      </c>
      <c r="F1509" s="3" t="s">
        <v>136</v>
      </c>
      <c r="G1509" s="3" t="s">
        <v>377</v>
      </c>
      <c r="H1509" s="2" t="s">
        <v>72</v>
      </c>
      <c r="I1509" s="2" t="s">
        <v>4037</v>
      </c>
      <c r="J1509" s="3" t="str">
        <f>HYPERLINK("https://www.boe.es/gazeta/dias/1815/06/10/pdfs/GMD-1815-70.pdf#page=2","Abrir facsímil")</f>
        <v>Abrir facsímil</v>
      </c>
      <c r="K1509" s="3" t="s">
        <v>74</v>
      </c>
    </row>
    <row r="1510" spans="1:11" ht="42" customHeight="1">
      <c r="A1510" s="2" t="s">
        <v>4038</v>
      </c>
      <c r="B1510" s="2" t="s">
        <v>4038</v>
      </c>
      <c r="C1510" s="2" t="s">
        <v>31</v>
      </c>
      <c r="D1510" s="2" t="s">
        <v>32</v>
      </c>
      <c r="E1510" s="5">
        <v>-30984</v>
      </c>
      <c r="F1510" s="3" t="s">
        <v>748</v>
      </c>
      <c r="G1510" s="3" t="s">
        <v>4039</v>
      </c>
      <c r="H1510" s="2" t="s">
        <v>72</v>
      </c>
      <c r="I1510" s="2" t="s">
        <v>4040</v>
      </c>
      <c r="J1510" s="3" t="str">
        <f>HYPERLINK("https://www.boe.es/gazeta/dias/1815/03/02/pdfs/GMD-1815-26.pdf#page=7","Abrir facsímil")</f>
        <v>Abrir facsímil</v>
      </c>
      <c r="K1510" s="3" t="s">
        <v>74</v>
      </c>
    </row>
    <row r="1511" spans="1:11" ht="42" customHeight="1">
      <c r="A1511" s="2" t="s">
        <v>4038</v>
      </c>
      <c r="B1511" s="2" t="s">
        <v>4038</v>
      </c>
      <c r="C1511" s="2" t="s">
        <v>49</v>
      </c>
      <c r="D1511" s="2" t="s">
        <v>50</v>
      </c>
      <c r="E1511" s="5">
        <v>-30951</v>
      </c>
      <c r="F1511" s="3" t="s">
        <v>87</v>
      </c>
      <c r="G1511" s="3" t="s">
        <v>27</v>
      </c>
      <c r="H1511" s="2" t="s">
        <v>72</v>
      </c>
      <c r="I1511" s="2" t="s">
        <v>4041</v>
      </c>
      <c r="J1511" s="3" t="str">
        <f>HYPERLINK("https://www.boe.es/gazeta/dias/1815/04/04/pdfs/GMD-1815-41.pdf#page=6","Abrir facsímil")</f>
        <v>Abrir facsímil</v>
      </c>
      <c r="K1511" s="3" t="s">
        <v>74</v>
      </c>
    </row>
    <row r="1512" spans="1:11" ht="42" customHeight="1">
      <c r="A1512" s="2" t="s">
        <v>4038</v>
      </c>
      <c r="B1512" s="2" t="s">
        <v>4038</v>
      </c>
      <c r="C1512" s="2" t="s">
        <v>31</v>
      </c>
      <c r="D1512" s="2" t="s">
        <v>32</v>
      </c>
      <c r="E1512" s="5">
        <v>-30891</v>
      </c>
      <c r="F1512" s="3" t="s">
        <v>498</v>
      </c>
      <c r="G1512" s="3" t="s">
        <v>27</v>
      </c>
      <c r="H1512" s="2" t="s">
        <v>72</v>
      </c>
      <c r="I1512" s="2" t="s">
        <v>4042</v>
      </c>
      <c r="J1512" s="3" t="str">
        <f>HYPERLINK("https://www.boe.es/gazeta/dias/1815/06/03/pdfs/GMD-1815-67.pdf#page=6","Abrir facsímil")</f>
        <v>Abrir facsímil</v>
      </c>
      <c r="K1512" s="3" t="s">
        <v>74</v>
      </c>
    </row>
    <row r="1513" spans="1:11" ht="42" customHeight="1">
      <c r="A1513" s="2" t="s">
        <v>4043</v>
      </c>
      <c r="B1513" s="2" t="s">
        <v>4043</v>
      </c>
      <c r="C1513" s="2" t="s">
        <v>49</v>
      </c>
      <c r="D1513" s="2" t="s">
        <v>50</v>
      </c>
      <c r="E1513" s="5">
        <v>-30886</v>
      </c>
      <c r="F1513" s="3" t="s">
        <v>140</v>
      </c>
      <c r="G1513" s="3" t="s">
        <v>38</v>
      </c>
      <c r="H1513" s="2" t="s">
        <v>72</v>
      </c>
      <c r="I1513" s="2" t="s">
        <v>4044</v>
      </c>
      <c r="J1513" s="3" t="str">
        <f>HYPERLINK("https://www.boe.es/gazeta/dias/1815/06/08/pdfs/GMD-1815-69.pdf#page=8","Abrir facsímil")</f>
        <v>Abrir facsímil</v>
      </c>
      <c r="K1513" s="3" t="s">
        <v>74</v>
      </c>
    </row>
    <row r="1514" spans="1:11" ht="42" customHeight="1">
      <c r="A1514" s="2" t="s">
        <v>4045</v>
      </c>
      <c r="B1514" s="2" t="s">
        <v>4045</v>
      </c>
      <c r="C1514" s="2" t="s">
        <v>31</v>
      </c>
      <c r="D1514" s="2" t="s">
        <v>32</v>
      </c>
      <c r="E1514" s="5">
        <v>-30979</v>
      </c>
      <c r="F1514" s="3" t="s">
        <v>56</v>
      </c>
      <c r="G1514" s="3" t="s">
        <v>27</v>
      </c>
      <c r="H1514" s="2" t="s">
        <v>72</v>
      </c>
      <c r="I1514" s="2" t="s">
        <v>4046</v>
      </c>
      <c r="J1514" s="3" t="str">
        <f>HYPERLINK("https://www.boe.es/gazeta/dias/1815/03/07/pdfs/GMD-1815-28.pdf#page=6","Abrir facsímil")</f>
        <v>Abrir facsímil</v>
      </c>
      <c r="K1514" s="3" t="s">
        <v>74</v>
      </c>
    </row>
    <row r="1515" spans="1:11" ht="42" customHeight="1">
      <c r="A1515" s="2" t="s">
        <v>4045</v>
      </c>
      <c r="B1515" s="2" t="s">
        <v>4045</v>
      </c>
      <c r="C1515" s="2" t="s">
        <v>49</v>
      </c>
      <c r="D1515" s="2" t="s">
        <v>50</v>
      </c>
      <c r="E1515" s="5">
        <v>-30958</v>
      </c>
      <c r="F1515" s="3" t="s">
        <v>297</v>
      </c>
      <c r="G1515" s="3" t="s">
        <v>71</v>
      </c>
      <c r="H1515" s="2" t="s">
        <v>72</v>
      </c>
      <c r="I1515" s="2" t="s">
        <v>4047</v>
      </c>
      <c r="J1515" s="3" t="str">
        <f>HYPERLINK("https://www.boe.es/gazeta/dias/1815/03/28/pdfs/GMD-1815-37.pdf#page=7","Abrir facsímil")</f>
        <v>Abrir facsímil</v>
      </c>
      <c r="K1515" s="3" t="s">
        <v>74</v>
      </c>
    </row>
    <row r="1516" spans="1:11" ht="42" customHeight="1">
      <c r="A1516" s="2" t="s">
        <v>4045</v>
      </c>
      <c r="B1516" s="2" t="s">
        <v>4045</v>
      </c>
      <c r="C1516" s="2" t="s">
        <v>17</v>
      </c>
      <c r="D1516" s="2" t="s">
        <v>18</v>
      </c>
      <c r="E1516" s="5">
        <v>-30951</v>
      </c>
      <c r="F1516" s="3" t="s">
        <v>87</v>
      </c>
      <c r="G1516" s="3" t="s">
        <v>88</v>
      </c>
      <c r="H1516" s="2" t="s">
        <v>72</v>
      </c>
      <c r="I1516" s="2" t="s">
        <v>4048</v>
      </c>
      <c r="J1516" s="3" t="str">
        <f>HYPERLINK("https://www.boe.es/gazeta/dias/1815/04/04/pdfs/GMD-1815-41.pdf#page=10","Abrir facsímil")</f>
        <v>Abrir facsímil</v>
      </c>
      <c r="K1516" s="3" t="s">
        <v>74</v>
      </c>
    </row>
    <row r="1517" spans="1:11" ht="42" customHeight="1">
      <c r="A1517" s="2" t="s">
        <v>4045</v>
      </c>
      <c r="B1517" s="2" t="s">
        <v>4045</v>
      </c>
      <c r="C1517" s="2" t="s">
        <v>195</v>
      </c>
      <c r="D1517" s="2" t="s">
        <v>50</v>
      </c>
      <c r="E1517" s="5">
        <v>-30781</v>
      </c>
      <c r="F1517" s="3" t="s">
        <v>685</v>
      </c>
      <c r="G1517" s="3" t="s">
        <v>27</v>
      </c>
      <c r="H1517" s="2" t="s">
        <v>72</v>
      </c>
      <c r="I1517" s="2" t="s">
        <v>4049</v>
      </c>
      <c r="J1517" s="3" t="str">
        <f>HYPERLINK("https://www.boe.es/gazeta/dias/1815/09/21/pdfs/GMD-1815-117.pdf#page=6","Abrir facsímil")</f>
        <v>Abrir facsímil</v>
      </c>
      <c r="K1517" s="3" t="s">
        <v>74</v>
      </c>
    </row>
    <row r="1518" spans="1:11" ht="42" customHeight="1">
      <c r="A1518" s="2" t="s">
        <v>4050</v>
      </c>
      <c r="B1518" s="2" t="s">
        <v>4050</v>
      </c>
      <c r="C1518" s="2" t="s">
        <v>61</v>
      </c>
      <c r="D1518" s="2" t="s">
        <v>50</v>
      </c>
      <c r="E1518" s="5">
        <v>-31017</v>
      </c>
      <c r="F1518" s="3" t="s">
        <v>456</v>
      </c>
      <c r="G1518" s="3" t="s">
        <v>2785</v>
      </c>
      <c r="H1518" s="2" t="s">
        <v>72</v>
      </c>
      <c r="I1518" s="2" t="s">
        <v>4051</v>
      </c>
      <c r="J1518" s="3" t="str">
        <f>HYPERLINK("https://www.boe.es/gazeta/dias/1815/01/28/pdfs/GMD-1815-12.pdf#page=8","Abrir facsímil")</f>
        <v>Abrir facsímil</v>
      </c>
      <c r="K1518" s="3" t="s">
        <v>74</v>
      </c>
    </row>
    <row r="1519" spans="1:11" ht="42" customHeight="1">
      <c r="A1519" s="2" t="s">
        <v>4052</v>
      </c>
      <c r="B1519" s="2" t="s">
        <v>4053</v>
      </c>
      <c r="C1519" s="2" t="s">
        <v>195</v>
      </c>
      <c r="D1519" s="2" t="s">
        <v>50</v>
      </c>
      <c r="E1519" s="5">
        <v>-30984</v>
      </c>
      <c r="F1519" s="3" t="s">
        <v>748</v>
      </c>
      <c r="G1519" s="3" t="s">
        <v>4039</v>
      </c>
      <c r="H1519" s="2" t="s">
        <v>72</v>
      </c>
      <c r="I1519" s="2" t="s">
        <v>4054</v>
      </c>
      <c r="J1519" s="3" t="str">
        <f>HYPERLINK("https://www.boe.es/gazeta/dias/1815/03/02/pdfs/GMD-1815-26.pdf#page=7","Abrir facsímil")</f>
        <v>Abrir facsímil</v>
      </c>
      <c r="K1519" s="3" t="s">
        <v>74</v>
      </c>
    </row>
    <row r="1520" spans="1:11" ht="42" customHeight="1">
      <c r="A1520" s="2" t="s">
        <v>4055</v>
      </c>
      <c r="B1520" s="2" t="s">
        <v>4056</v>
      </c>
      <c r="C1520" s="2" t="s">
        <v>31</v>
      </c>
      <c r="D1520" s="2" t="s">
        <v>32</v>
      </c>
      <c r="E1520" s="5">
        <v>-30970</v>
      </c>
      <c r="F1520" s="3" t="s">
        <v>436</v>
      </c>
      <c r="G1520" s="3" t="s">
        <v>71</v>
      </c>
      <c r="H1520" s="2" t="s">
        <v>72</v>
      </c>
      <c r="I1520" s="2" t="s">
        <v>4057</v>
      </c>
      <c r="J1520" s="3" t="str">
        <f>HYPERLINK("https://www.boe.es/gazeta/dias/1815/03/16/pdfs/GMD-1815-32.pdf#page=7","Abrir facsímil")</f>
        <v>Abrir facsímil</v>
      </c>
      <c r="K1520" s="3" t="s">
        <v>74</v>
      </c>
    </row>
    <row r="1521" spans="1:11" ht="42" customHeight="1">
      <c r="A1521" s="2" t="s">
        <v>4058</v>
      </c>
      <c r="B1521" s="2" t="s">
        <v>4058</v>
      </c>
      <c r="C1521" s="2" t="s">
        <v>49</v>
      </c>
      <c r="D1521" s="2" t="s">
        <v>50</v>
      </c>
      <c r="E1521" s="5">
        <v>-30865</v>
      </c>
      <c r="F1521" s="3" t="s">
        <v>163</v>
      </c>
      <c r="G1521" s="3" t="s">
        <v>71</v>
      </c>
      <c r="H1521" s="2" t="s">
        <v>72</v>
      </c>
      <c r="I1521" s="2" t="s">
        <v>4059</v>
      </c>
      <c r="J1521" s="3" t="str">
        <f>HYPERLINK("https://www.boe.es/gazeta/dias/1815/06/29/pdfs/GMD-1815-78.pdf#page=7","Abrir facsímil")</f>
        <v>Abrir facsímil</v>
      </c>
      <c r="K1521" s="3" t="s">
        <v>74</v>
      </c>
    </row>
    <row r="1522" spans="1:11" ht="42" customHeight="1">
      <c r="A1522" s="2" t="s">
        <v>4060</v>
      </c>
      <c r="B1522" s="2" t="s">
        <v>4061</v>
      </c>
      <c r="C1522" s="2" t="s">
        <v>17</v>
      </c>
      <c r="D1522" s="2" t="s">
        <v>18</v>
      </c>
      <c r="E1522" s="5">
        <v>-30844</v>
      </c>
      <c r="F1522" s="3" t="s">
        <v>114</v>
      </c>
      <c r="G1522" s="3" t="s">
        <v>71</v>
      </c>
      <c r="H1522" s="2" t="s">
        <v>72</v>
      </c>
      <c r="I1522" s="2" t="s">
        <v>4062</v>
      </c>
      <c r="J1522" s="3" t="str">
        <f>HYPERLINK("https://www.boe.es/gazeta/dias/1815/07/20/pdfs/GMD-1815-89.pdf#page=7","Abrir facsímil")</f>
        <v>Abrir facsímil</v>
      </c>
      <c r="K1522" s="3" t="s">
        <v>74</v>
      </c>
    </row>
    <row r="1523" spans="1:11" ht="42" customHeight="1">
      <c r="A1523" s="2" t="s">
        <v>4063</v>
      </c>
      <c r="B1523" s="2" t="s">
        <v>4063</v>
      </c>
      <c r="C1523" s="2" t="s">
        <v>31</v>
      </c>
      <c r="D1523" s="2" t="s">
        <v>32</v>
      </c>
      <c r="E1523" s="5">
        <v>-30716</v>
      </c>
      <c r="F1523" s="3" t="s">
        <v>589</v>
      </c>
      <c r="G1523" s="3" t="s">
        <v>377</v>
      </c>
      <c r="H1523" s="2" t="s">
        <v>72</v>
      </c>
      <c r="I1523" s="2" t="s">
        <v>4064</v>
      </c>
      <c r="J1523" s="3" t="str">
        <f>HYPERLINK("https://www.boe.es/gazeta/dias/1815/11/25/pdfs/GMD-1815-147.pdf#page=2","Abrir facsímil")</f>
        <v>Abrir facsímil</v>
      </c>
      <c r="K1523" s="3" t="s">
        <v>74</v>
      </c>
    </row>
    <row r="1524" spans="1:11" ht="42" customHeight="1">
      <c r="A1524" s="2" t="s">
        <v>4065</v>
      </c>
      <c r="B1524" s="2" t="s">
        <v>4065</v>
      </c>
      <c r="C1524" s="2" t="s">
        <v>31</v>
      </c>
      <c r="D1524" s="2" t="s">
        <v>32</v>
      </c>
      <c r="E1524" s="5">
        <v>-30760</v>
      </c>
      <c r="F1524" s="3" t="s">
        <v>349</v>
      </c>
      <c r="G1524" s="3" t="s">
        <v>97</v>
      </c>
      <c r="H1524" s="2" t="s">
        <v>72</v>
      </c>
      <c r="I1524" s="2" t="s">
        <v>4066</v>
      </c>
      <c r="J1524" s="3" t="str">
        <f>HYPERLINK("https://www.boe.es/gazeta/dias/1815/10/12/pdfs/GMD-1815-128.pdf#page=3","Abrir facsímil")</f>
        <v>Abrir facsímil</v>
      </c>
      <c r="K1524" s="3" t="s">
        <v>74</v>
      </c>
    </row>
    <row r="1525" spans="1:11" ht="42" customHeight="1">
      <c r="A1525" s="2" t="s">
        <v>4067</v>
      </c>
      <c r="B1525" s="2" t="s">
        <v>4068</v>
      </c>
      <c r="C1525" s="2" t="s">
        <v>31</v>
      </c>
      <c r="D1525" s="2" t="s">
        <v>32</v>
      </c>
      <c r="E1525" s="5">
        <v>-30839</v>
      </c>
      <c r="F1525" s="3" t="s">
        <v>616</v>
      </c>
      <c r="G1525" s="3" t="s">
        <v>27</v>
      </c>
      <c r="H1525" s="2" t="s">
        <v>72</v>
      </c>
      <c r="I1525" s="2" t="s">
        <v>4069</v>
      </c>
      <c r="J1525" s="3" t="str">
        <f>HYPERLINK("https://www.boe.es/gazeta/dias/1815/07/25/pdfs/GMD-1815-91.pdf#page=6","Abrir facsímil")</f>
        <v>Abrir facsímil</v>
      </c>
      <c r="K1525" s="3" t="s">
        <v>74</v>
      </c>
    </row>
    <row r="1526" spans="1:11" ht="42" customHeight="1">
      <c r="A1526" s="2" t="s">
        <v>4070</v>
      </c>
      <c r="B1526" s="2" t="s">
        <v>4071</v>
      </c>
      <c r="C1526" s="2" t="s">
        <v>17</v>
      </c>
      <c r="D1526" s="2" t="s">
        <v>18</v>
      </c>
      <c r="E1526" s="5">
        <v>-30851</v>
      </c>
      <c r="F1526" s="3" t="s">
        <v>442</v>
      </c>
      <c r="G1526" s="3" t="s">
        <v>38</v>
      </c>
      <c r="H1526" s="2" t="s">
        <v>72</v>
      </c>
      <c r="I1526" s="2" t="s">
        <v>4072</v>
      </c>
      <c r="J1526" s="3" t="str">
        <f>HYPERLINK("https://www.boe.es/gazeta/dias/1815/07/13/pdfs/GMD-1815-86.pdf#page=8","Abrir facsímil")</f>
        <v>Abrir facsímil</v>
      </c>
      <c r="K1526" s="3" t="s">
        <v>74</v>
      </c>
    </row>
    <row r="1527" spans="1:11" ht="42" customHeight="1">
      <c r="A1527" s="2" t="s">
        <v>4073</v>
      </c>
      <c r="B1527" s="2" t="s">
        <v>4074</v>
      </c>
      <c r="C1527" s="2" t="s">
        <v>49</v>
      </c>
      <c r="D1527" s="2" t="s">
        <v>50</v>
      </c>
      <c r="E1527" s="5">
        <v>-30916</v>
      </c>
      <c r="F1527" s="3" t="s">
        <v>147</v>
      </c>
      <c r="G1527" s="3" t="s">
        <v>38</v>
      </c>
      <c r="H1527" s="2" t="s">
        <v>72</v>
      </c>
      <c r="I1527" s="2" t="s">
        <v>4075</v>
      </c>
      <c r="J1527" s="3" t="str">
        <f>HYPERLINK("https://www.boe.es/gazeta/dias/1815/05/09/pdfs/GMD-1815-56.pdf#page=8","Abrir facsímil")</f>
        <v>Abrir facsímil</v>
      </c>
      <c r="K1527" s="3" t="s">
        <v>74</v>
      </c>
    </row>
    <row r="1528" spans="1:11" ht="42" customHeight="1">
      <c r="A1528" s="2" t="s">
        <v>4076</v>
      </c>
      <c r="B1528" s="2" t="s">
        <v>4077</v>
      </c>
      <c r="C1528" s="2" t="s">
        <v>31</v>
      </c>
      <c r="D1528" s="2" t="s">
        <v>32</v>
      </c>
      <c r="E1528" s="5">
        <v>-30874</v>
      </c>
      <c r="F1528" s="3" t="s">
        <v>208</v>
      </c>
      <c r="G1528" s="3" t="s">
        <v>224</v>
      </c>
      <c r="H1528" s="2" t="s">
        <v>72</v>
      </c>
      <c r="I1528" s="2" t="s">
        <v>4078</v>
      </c>
      <c r="J1528" s="3" t="str">
        <f>HYPERLINK("https://www.boe.es/gazeta/dias/1815/06/20/pdfs/GMD-1815-74.pdf#page=9","Abrir facsímil")</f>
        <v>Abrir facsímil</v>
      </c>
      <c r="K1528" s="3" t="s">
        <v>74</v>
      </c>
    </row>
    <row r="1529" spans="1:11" ht="42" customHeight="1">
      <c r="A1529" s="2" t="s">
        <v>4076</v>
      </c>
      <c r="B1529" s="2" t="s">
        <v>4077</v>
      </c>
      <c r="C1529" s="2" t="s">
        <v>31</v>
      </c>
      <c r="D1529" s="2" t="s">
        <v>32</v>
      </c>
      <c r="E1529" s="5">
        <v>-30823</v>
      </c>
      <c r="F1529" s="3" t="s">
        <v>305</v>
      </c>
      <c r="G1529" s="3" t="s">
        <v>52</v>
      </c>
      <c r="H1529" s="2" t="s">
        <v>72</v>
      </c>
      <c r="I1529" s="2" t="s">
        <v>4079</v>
      </c>
      <c r="J1529" s="3" t="str">
        <f>HYPERLINK("https://www.boe.es/gazeta/dias/1815/08/10/pdfs/GMD-1815-98.pdf#page=11","Abrir facsímil")</f>
        <v>Abrir facsímil</v>
      </c>
      <c r="K1529" s="3" t="s">
        <v>74</v>
      </c>
    </row>
    <row r="1530" spans="1:11" ht="42" customHeight="1">
      <c r="A1530" s="2" t="s">
        <v>4080</v>
      </c>
      <c r="B1530" s="2" t="s">
        <v>4081</v>
      </c>
      <c r="C1530" s="2" t="s">
        <v>49</v>
      </c>
      <c r="D1530" s="2" t="s">
        <v>50</v>
      </c>
      <c r="E1530" s="5">
        <v>-30835</v>
      </c>
      <c r="F1530" s="3" t="s">
        <v>544</v>
      </c>
      <c r="G1530" s="3" t="s">
        <v>88</v>
      </c>
      <c r="H1530" s="2" t="s">
        <v>72</v>
      </c>
      <c r="I1530" s="2" t="s">
        <v>4082</v>
      </c>
      <c r="J1530" s="3" t="str">
        <f>HYPERLINK("https://www.boe.es/gazeta/dias/1815/07/29/pdfs/GMD-1815-93.pdf#page=10","Abrir facsímil")</f>
        <v>Abrir facsímil</v>
      </c>
      <c r="K1530" s="3" t="s">
        <v>74</v>
      </c>
    </row>
    <row r="1531" spans="1:11" ht="42" customHeight="1">
      <c r="A1531" s="2" t="s">
        <v>4083</v>
      </c>
      <c r="B1531" s="2" t="s">
        <v>4084</v>
      </c>
      <c r="C1531" s="2" t="s">
        <v>195</v>
      </c>
      <c r="D1531" s="2" t="s">
        <v>50</v>
      </c>
      <c r="E1531" s="5">
        <v>-30753</v>
      </c>
      <c r="F1531" s="3" t="s">
        <v>1635</v>
      </c>
      <c r="G1531" s="3" t="s">
        <v>71</v>
      </c>
      <c r="H1531" s="2" t="s">
        <v>72</v>
      </c>
      <c r="I1531" s="2" t="s">
        <v>4085</v>
      </c>
      <c r="J1531" s="3" t="str">
        <f>HYPERLINK("https://www.boe.es/gazeta/dias/1815/10/19/pdfs/GMD-1815-131.pdf#page=7","Abrir facsímil")</f>
        <v>Abrir facsímil</v>
      </c>
      <c r="K1531" s="3" t="s">
        <v>74</v>
      </c>
    </row>
    <row r="1532" spans="1:11" ht="42" customHeight="1">
      <c r="A1532" s="2" t="s">
        <v>4086</v>
      </c>
      <c r="B1532" s="2" t="s">
        <v>4086</v>
      </c>
      <c r="C1532" s="2" t="s">
        <v>17</v>
      </c>
      <c r="D1532" s="2" t="s">
        <v>18</v>
      </c>
      <c r="E1532" s="5">
        <v>-30986</v>
      </c>
      <c r="F1532" s="3" t="s">
        <v>46</v>
      </c>
      <c r="G1532" s="3" t="s">
        <v>88</v>
      </c>
      <c r="H1532" s="2" t="s">
        <v>72</v>
      </c>
      <c r="I1532" s="2" t="s">
        <v>4087</v>
      </c>
      <c r="J1532" s="3" t="str">
        <f>HYPERLINK("https://www.boe.es/gazeta/dias/1815/02/28/pdfs/GMD-1815-25.pdf#page=10","Abrir facsímil")</f>
        <v>Abrir facsímil</v>
      </c>
      <c r="K1532" s="3" t="s">
        <v>74</v>
      </c>
    </row>
    <row r="1533" spans="1:11" ht="42" customHeight="1">
      <c r="A1533" s="2" t="s">
        <v>4088</v>
      </c>
      <c r="B1533" s="2" t="s">
        <v>4088</v>
      </c>
      <c r="C1533" s="2" t="s">
        <v>49</v>
      </c>
      <c r="D1533" s="2" t="s">
        <v>50</v>
      </c>
      <c r="E1533" s="5">
        <v>-30923</v>
      </c>
      <c r="F1533" s="3" t="s">
        <v>524</v>
      </c>
      <c r="G1533" s="3" t="s">
        <v>57</v>
      </c>
      <c r="H1533" s="2" t="s">
        <v>72</v>
      </c>
      <c r="I1533" s="2" t="s">
        <v>4089</v>
      </c>
      <c r="J1533" s="3" t="str">
        <f>HYPERLINK("https://www.boe.es/gazeta/dias/1815/05/02/pdfs/GMD-1815-53.pdf#page=5","Abrir facsímil")</f>
        <v>Abrir facsímil</v>
      </c>
      <c r="K1533" s="3" t="s">
        <v>74</v>
      </c>
    </row>
    <row r="1534" spans="1:11" ht="42" customHeight="1">
      <c r="A1534" s="2" t="s">
        <v>4090</v>
      </c>
      <c r="B1534" s="2" t="s">
        <v>4090</v>
      </c>
      <c r="C1534" s="2" t="s">
        <v>17</v>
      </c>
      <c r="D1534" s="2" t="s">
        <v>18</v>
      </c>
      <c r="E1534" s="5">
        <v>-30811</v>
      </c>
      <c r="F1534" s="3" t="s">
        <v>293</v>
      </c>
      <c r="G1534" s="3" t="s">
        <v>71</v>
      </c>
      <c r="H1534" s="2" t="s">
        <v>72</v>
      </c>
      <c r="I1534" s="2" t="s">
        <v>4091</v>
      </c>
      <c r="J1534" s="3" t="str">
        <f>HYPERLINK("https://www.boe.es/gazeta/dias/1815/08/22/pdfs/GMD-1815-103.pdf#page=7","Abrir facsímil")</f>
        <v>Abrir facsímil</v>
      </c>
      <c r="K1534" s="3" t="s">
        <v>74</v>
      </c>
    </row>
    <row r="1535" spans="1:11" ht="42" customHeight="1">
      <c r="A1535" s="2" t="s">
        <v>4092</v>
      </c>
      <c r="B1535" s="2" t="s">
        <v>4093</v>
      </c>
      <c r="C1535" s="2" t="s">
        <v>31</v>
      </c>
      <c r="D1535" s="2" t="s">
        <v>32</v>
      </c>
      <c r="E1535" s="5">
        <v>-30872</v>
      </c>
      <c r="F1535" s="3" t="s">
        <v>167</v>
      </c>
      <c r="G1535" s="3" t="s">
        <v>27</v>
      </c>
      <c r="H1535" s="2" t="s">
        <v>72</v>
      </c>
      <c r="I1535" s="2" t="s">
        <v>4094</v>
      </c>
      <c r="J1535" s="3" t="str">
        <f>HYPERLINK("https://www.boe.es/gazeta/dias/1815/06/22/pdfs/GMD-1815-75.pdf#page=6","Abrir facsímil")</f>
        <v>Abrir facsímil</v>
      </c>
      <c r="K1535" s="3" t="s">
        <v>74</v>
      </c>
    </row>
    <row r="1536" spans="1:11" ht="42" customHeight="1">
      <c r="A1536" s="2" t="s">
        <v>4095</v>
      </c>
      <c r="B1536" s="2" t="s">
        <v>4096</v>
      </c>
      <c r="C1536" s="2" t="s">
        <v>17</v>
      </c>
      <c r="D1536" s="2" t="s">
        <v>18</v>
      </c>
      <c r="E1536" s="5">
        <v>-30916</v>
      </c>
      <c r="F1536" s="3" t="s">
        <v>147</v>
      </c>
      <c r="G1536" s="3" t="s">
        <v>3394</v>
      </c>
      <c r="H1536" s="2" t="s">
        <v>72</v>
      </c>
      <c r="I1536" s="2" t="s">
        <v>4097</v>
      </c>
      <c r="J1536" s="3" t="str">
        <f>HYPERLINK("https://www.boe.es/gazeta/dias/1815/05/09/pdfs/GMD-1815-56.pdf#page=12","Abrir facsímil")</f>
        <v>Abrir facsímil</v>
      </c>
      <c r="K1536" s="3" t="s">
        <v>74</v>
      </c>
    </row>
    <row r="1537" spans="1:11" ht="42" customHeight="1">
      <c r="A1537" s="2" t="s">
        <v>4098</v>
      </c>
      <c r="B1537" s="2" t="s">
        <v>4098</v>
      </c>
      <c r="C1537" s="2" t="s">
        <v>17</v>
      </c>
      <c r="D1537" s="2" t="s">
        <v>18</v>
      </c>
      <c r="E1537" s="5">
        <v>-30914</v>
      </c>
      <c r="F1537" s="3" t="s">
        <v>338</v>
      </c>
      <c r="G1537" s="3" t="s">
        <v>802</v>
      </c>
      <c r="H1537" s="2" t="s">
        <v>72</v>
      </c>
      <c r="I1537" s="2" t="s">
        <v>4099</v>
      </c>
      <c r="J1537" s="3" t="str">
        <f>HYPERLINK("https://www.boe.es/gazeta/dias/1815/05/11/pdfs/GMD-1815-57.pdf#page=7","Abrir facsímil")</f>
        <v>Abrir facsímil</v>
      </c>
      <c r="K1537" s="3" t="s">
        <v>74</v>
      </c>
    </row>
    <row r="1538" spans="1:11" ht="42" customHeight="1">
      <c r="A1538" s="2" t="s">
        <v>4100</v>
      </c>
      <c r="B1538" s="2" t="s">
        <v>4100</v>
      </c>
      <c r="C1538" s="2" t="s">
        <v>17</v>
      </c>
      <c r="D1538" s="2" t="s">
        <v>18</v>
      </c>
      <c r="E1538" s="5">
        <v>-30688</v>
      </c>
      <c r="F1538" s="3" t="s">
        <v>62</v>
      </c>
      <c r="G1538" s="3" t="s">
        <v>57</v>
      </c>
      <c r="H1538" s="2" t="s">
        <v>72</v>
      </c>
      <c r="I1538" s="2" t="s">
        <v>4101</v>
      </c>
      <c r="J1538" s="3" t="str">
        <f>HYPERLINK("https://www.boe.es/gazeta/dias/1815/12/23/pdfs/GMD-1815-159.pdf#page=5","Abrir facsímil")</f>
        <v>Abrir facsímil</v>
      </c>
      <c r="K1538" s="3" t="s">
        <v>74</v>
      </c>
    </row>
    <row r="1539" spans="1:11" ht="42" customHeight="1">
      <c r="A1539" s="2" t="s">
        <v>4102</v>
      </c>
      <c r="B1539" s="2" t="s">
        <v>4102</v>
      </c>
      <c r="C1539" s="2" t="s">
        <v>31</v>
      </c>
      <c r="D1539" s="2" t="s">
        <v>32</v>
      </c>
      <c r="E1539" s="5">
        <v>-30849</v>
      </c>
      <c r="F1539" s="3" t="s">
        <v>501</v>
      </c>
      <c r="G1539" s="3" t="s">
        <v>88</v>
      </c>
      <c r="H1539" s="2" t="s">
        <v>72</v>
      </c>
      <c r="I1539" s="2" t="s">
        <v>4103</v>
      </c>
      <c r="J1539" s="3" t="str">
        <f>HYPERLINK("https://www.boe.es/gazeta/dias/1815/07/15/pdfs/GMD-1815-87.pdf#page=10","Abrir facsímil")</f>
        <v>Abrir facsímil</v>
      </c>
      <c r="K1539" s="3" t="s">
        <v>74</v>
      </c>
    </row>
    <row r="1540" spans="1:11" ht="42" customHeight="1">
      <c r="A1540" s="2" t="s">
        <v>4104</v>
      </c>
      <c r="B1540" s="2" t="s">
        <v>4105</v>
      </c>
      <c r="C1540" s="2" t="s">
        <v>49</v>
      </c>
      <c r="D1540" s="2" t="s">
        <v>50</v>
      </c>
      <c r="E1540" s="5">
        <v>-30870</v>
      </c>
      <c r="F1540" s="3" t="s">
        <v>122</v>
      </c>
      <c r="G1540" s="3" t="s">
        <v>88</v>
      </c>
      <c r="H1540" s="2" t="s">
        <v>72</v>
      </c>
      <c r="I1540" s="2" t="s">
        <v>4106</v>
      </c>
      <c r="J1540" s="3" t="str">
        <f>HYPERLINK("https://www.boe.es/gazeta/dias/1815/06/24/pdfs/GMD-1815-76.pdf#page=10","Abrir facsímil")</f>
        <v>Abrir facsímil</v>
      </c>
      <c r="K1540" s="3" t="s">
        <v>74</v>
      </c>
    </row>
    <row r="1541" spans="1:11" ht="42" customHeight="1">
      <c r="A1541" s="2" t="s">
        <v>4107</v>
      </c>
      <c r="B1541" s="2" t="s">
        <v>4108</v>
      </c>
      <c r="C1541" s="2" t="s">
        <v>897</v>
      </c>
      <c r="D1541" s="2" t="s">
        <v>50</v>
      </c>
      <c r="E1541" s="5">
        <v>-30942</v>
      </c>
      <c r="F1541" s="3" t="s">
        <v>730</v>
      </c>
      <c r="G1541" s="3" t="s">
        <v>20</v>
      </c>
      <c r="H1541" s="2" t="s">
        <v>72</v>
      </c>
      <c r="I1541" s="2" t="s">
        <v>4109</v>
      </c>
      <c r="J1541" s="3" t="str">
        <f>HYPERLINK("https://www.boe.es/gazeta/dias/1815/04/13/pdfs/GMD-1815-45.pdf#page=4","Abrir facsímil")</f>
        <v>Abrir facsímil</v>
      </c>
      <c r="K1541" s="3" t="s">
        <v>74</v>
      </c>
    </row>
    <row r="1542" spans="1:11" ht="42" customHeight="1">
      <c r="A1542" s="2" t="s">
        <v>4107</v>
      </c>
      <c r="B1542" s="2" t="s">
        <v>4108</v>
      </c>
      <c r="C1542" s="2" t="s">
        <v>61</v>
      </c>
      <c r="D1542" s="2" t="s">
        <v>50</v>
      </c>
      <c r="E1542" s="5">
        <v>-30737</v>
      </c>
      <c r="F1542" s="3" t="s">
        <v>1932</v>
      </c>
      <c r="G1542" s="3" t="s">
        <v>57</v>
      </c>
      <c r="H1542" s="2" t="s">
        <v>72</v>
      </c>
      <c r="I1542" s="2" t="s">
        <v>4110</v>
      </c>
      <c r="J1542" s="3" t="str">
        <f>HYPERLINK("https://www.boe.es/gazeta/dias/1815/11/04/pdfs/GMD-1815-138.pdf#page=5","Abrir facsímil")</f>
        <v>Abrir facsímil</v>
      </c>
      <c r="K1542" s="3" t="s">
        <v>74</v>
      </c>
    </row>
    <row r="1543" spans="1:11" ht="42" customHeight="1">
      <c r="A1543" s="2" t="s">
        <v>4111</v>
      </c>
      <c r="B1543" s="2" t="s">
        <v>4111</v>
      </c>
      <c r="C1543" s="2" t="s">
        <v>195</v>
      </c>
      <c r="D1543" s="2" t="s">
        <v>50</v>
      </c>
      <c r="E1543" s="5">
        <v>-30683</v>
      </c>
      <c r="F1543" s="3" t="s">
        <v>1693</v>
      </c>
      <c r="G1543" s="3" t="s">
        <v>38</v>
      </c>
      <c r="H1543" s="2" t="s">
        <v>72</v>
      </c>
      <c r="I1543" s="2" t="s">
        <v>4112</v>
      </c>
      <c r="J1543" s="3" t="str">
        <f>HYPERLINK("https://www.boe.es/gazeta/dias/1815/12/28/pdfs/GMD-1815-161.pdf#page=8","Abrir facsímil")</f>
        <v>Abrir facsímil</v>
      </c>
      <c r="K1543" s="3" t="s">
        <v>74</v>
      </c>
    </row>
    <row r="1544" spans="1:11" ht="42" customHeight="1">
      <c r="A1544" s="2" t="s">
        <v>4113</v>
      </c>
      <c r="B1544" s="2" t="s">
        <v>4113</v>
      </c>
      <c r="C1544" s="2" t="s">
        <v>31</v>
      </c>
      <c r="D1544" s="2" t="s">
        <v>32</v>
      </c>
      <c r="E1544" s="5">
        <v>-31038</v>
      </c>
      <c r="F1544" s="3" t="s">
        <v>395</v>
      </c>
      <c r="G1544" s="3" t="s">
        <v>396</v>
      </c>
      <c r="H1544" s="2" t="s">
        <v>72</v>
      </c>
      <c r="I1544" s="2" t="s">
        <v>4114</v>
      </c>
      <c r="J1544" s="3" t="str">
        <f>HYPERLINK("https://www.boe.es/gazeta/dias/1815/01/07/pdfs/GMD-1815-3.pdf#page=5","Abrir facsímil")</f>
        <v>Abrir facsímil</v>
      </c>
      <c r="K1544" s="3" t="s">
        <v>74</v>
      </c>
    </row>
    <row r="1545" spans="1:11" ht="42" customHeight="1">
      <c r="A1545" s="2" t="s">
        <v>4113</v>
      </c>
      <c r="B1545" s="2" t="s">
        <v>4113</v>
      </c>
      <c r="C1545" s="2" t="s">
        <v>195</v>
      </c>
      <c r="D1545" s="2" t="s">
        <v>50</v>
      </c>
      <c r="E1545" s="5">
        <v>-30991</v>
      </c>
      <c r="F1545" s="3" t="s">
        <v>318</v>
      </c>
      <c r="G1545" s="3" t="s">
        <v>4115</v>
      </c>
      <c r="H1545" s="2" t="s">
        <v>72</v>
      </c>
      <c r="I1545" s="2" t="s">
        <v>4116</v>
      </c>
      <c r="J1545" s="3" t="str">
        <f>HYPERLINK("https://www.boe.es/gazeta/dias/1815/02/23/pdfs/GMD-1815-23.pdf#page=7","Abrir facsímil")</f>
        <v>Abrir facsímil</v>
      </c>
      <c r="K1545" s="3" t="s">
        <v>74</v>
      </c>
    </row>
    <row r="1546" spans="1:11" ht="42" customHeight="1">
      <c r="A1546" s="2" t="s">
        <v>4113</v>
      </c>
      <c r="B1546" s="2" t="s">
        <v>4113</v>
      </c>
      <c r="C1546" s="2" t="s">
        <v>17</v>
      </c>
      <c r="D1546" s="2" t="s">
        <v>18</v>
      </c>
      <c r="E1546" s="5">
        <v>-30916</v>
      </c>
      <c r="F1546" s="3" t="s">
        <v>147</v>
      </c>
      <c r="G1546" s="3" t="s">
        <v>52</v>
      </c>
      <c r="H1546" s="2" t="s">
        <v>72</v>
      </c>
      <c r="I1546" s="2" t="s">
        <v>4117</v>
      </c>
      <c r="J1546" s="3" t="str">
        <f>HYPERLINK("https://www.boe.es/gazeta/dias/1815/05/09/pdfs/GMD-1815-56.pdf#page=11","Abrir facsímil")</f>
        <v>Abrir facsímil</v>
      </c>
      <c r="K1546" s="3" t="s">
        <v>74</v>
      </c>
    </row>
    <row r="1547" spans="1:11" ht="42" customHeight="1">
      <c r="A1547" s="2" t="s">
        <v>4113</v>
      </c>
      <c r="B1547" s="2" t="s">
        <v>4113</v>
      </c>
      <c r="C1547" s="2" t="s">
        <v>49</v>
      </c>
      <c r="D1547" s="2" t="s">
        <v>50</v>
      </c>
      <c r="E1547" s="5">
        <v>-30886</v>
      </c>
      <c r="F1547" s="3" t="s">
        <v>140</v>
      </c>
      <c r="G1547" s="3" t="s">
        <v>224</v>
      </c>
      <c r="H1547" s="2" t="s">
        <v>72</v>
      </c>
      <c r="I1547" s="2" t="s">
        <v>4118</v>
      </c>
      <c r="J1547" s="3" t="str">
        <f>HYPERLINK("https://www.boe.es/gazeta/dias/1815/06/08/pdfs/GMD-1815-69.pdf#page=9","Abrir facsímil")</f>
        <v>Abrir facsímil</v>
      </c>
      <c r="K1547" s="3" t="s">
        <v>74</v>
      </c>
    </row>
    <row r="1548" spans="1:11" ht="42" customHeight="1">
      <c r="A1548" s="2" t="s">
        <v>4119</v>
      </c>
      <c r="B1548" s="2" t="s">
        <v>4119</v>
      </c>
      <c r="C1548" s="2" t="s">
        <v>49</v>
      </c>
      <c r="D1548" s="2" t="s">
        <v>50</v>
      </c>
      <c r="E1548" s="5">
        <v>-30886</v>
      </c>
      <c r="F1548" s="3" t="s">
        <v>140</v>
      </c>
      <c r="G1548" s="3" t="s">
        <v>224</v>
      </c>
      <c r="H1548" s="2" t="s">
        <v>72</v>
      </c>
      <c r="I1548" s="2" t="s">
        <v>4120</v>
      </c>
      <c r="J1548" s="3" t="str">
        <f>HYPERLINK("https://www.boe.es/gazeta/dias/1815/06/08/pdfs/GMD-1815-69.pdf#page=9","Abrir facsímil")</f>
        <v>Abrir facsímil</v>
      </c>
      <c r="K1548" s="3" t="s">
        <v>74</v>
      </c>
    </row>
    <row r="1549" spans="1:11" ht="42" customHeight="1">
      <c r="A1549" s="2" t="s">
        <v>4119</v>
      </c>
      <c r="B1549" s="2" t="s">
        <v>4119</v>
      </c>
      <c r="C1549" s="2" t="s">
        <v>31</v>
      </c>
      <c r="D1549" s="2" t="s">
        <v>32</v>
      </c>
      <c r="E1549" s="5">
        <v>-30870</v>
      </c>
      <c r="F1549" s="3" t="s">
        <v>122</v>
      </c>
      <c r="G1549" s="3" t="s">
        <v>52</v>
      </c>
      <c r="H1549" s="2" t="s">
        <v>72</v>
      </c>
      <c r="I1549" s="2" t="s">
        <v>4121</v>
      </c>
      <c r="J1549" s="3" t="str">
        <f>HYPERLINK("https://www.boe.es/gazeta/dias/1815/06/24/pdfs/GMD-1815-76.pdf#page=11","Abrir facsímil")</f>
        <v>Abrir facsímil</v>
      </c>
      <c r="K1549" s="3" t="s">
        <v>74</v>
      </c>
    </row>
    <row r="1550" spans="1:11" ht="42" customHeight="1">
      <c r="A1550" s="2" t="s">
        <v>4119</v>
      </c>
      <c r="B1550" s="2" t="s">
        <v>4119</v>
      </c>
      <c r="C1550" s="2" t="s">
        <v>49</v>
      </c>
      <c r="D1550" s="2" t="s">
        <v>50</v>
      </c>
      <c r="E1550" s="5">
        <v>-30823</v>
      </c>
      <c r="F1550" s="3" t="s">
        <v>305</v>
      </c>
      <c r="G1550" s="3" t="s">
        <v>52</v>
      </c>
      <c r="H1550" s="2" t="s">
        <v>72</v>
      </c>
      <c r="I1550" s="2" t="s">
        <v>4122</v>
      </c>
      <c r="J1550" s="3" t="str">
        <f>HYPERLINK("https://www.boe.es/gazeta/dias/1815/08/10/pdfs/GMD-1815-98.pdf#page=11","Abrir facsímil")</f>
        <v>Abrir facsímil</v>
      </c>
      <c r="K1550" s="3" t="s">
        <v>74</v>
      </c>
    </row>
    <row r="1551" spans="1:11" ht="42" customHeight="1">
      <c r="A1551" s="2" t="s">
        <v>4119</v>
      </c>
      <c r="B1551" s="2" t="s">
        <v>4119</v>
      </c>
      <c r="C1551" s="2" t="s">
        <v>31</v>
      </c>
      <c r="D1551" s="2" t="s">
        <v>32</v>
      </c>
      <c r="E1551" s="5">
        <v>-30774</v>
      </c>
      <c r="F1551" s="3" t="s">
        <v>1143</v>
      </c>
      <c r="G1551" s="3" t="s">
        <v>1144</v>
      </c>
      <c r="H1551" s="2" t="s">
        <v>72</v>
      </c>
      <c r="I1551" s="2" t="s">
        <v>4123</v>
      </c>
      <c r="J1551" s="3" t="str">
        <f>HYPERLINK("https://www.boe.es/gazeta/dias/1815/09/28/pdfs/GMD-1815-121.pdf#page=8","Abrir facsímil")</f>
        <v>Abrir facsímil</v>
      </c>
      <c r="K1551" s="3" t="s">
        <v>74</v>
      </c>
    </row>
    <row r="1552" spans="1:11" ht="42" customHeight="1">
      <c r="A1552" s="2" t="s">
        <v>4124</v>
      </c>
      <c r="B1552" s="2" t="s">
        <v>4125</v>
      </c>
      <c r="C1552" s="2" t="s">
        <v>31</v>
      </c>
      <c r="D1552" s="2" t="s">
        <v>32</v>
      </c>
      <c r="E1552" s="5">
        <v>-30727</v>
      </c>
      <c r="F1552" s="3" t="s">
        <v>262</v>
      </c>
      <c r="G1552" s="3" t="s">
        <v>27</v>
      </c>
      <c r="H1552" s="2" t="s">
        <v>72</v>
      </c>
      <c r="I1552" s="2" t="s">
        <v>4126</v>
      </c>
      <c r="J1552" s="3" t="str">
        <f>HYPERLINK("https://www.boe.es/gazeta/dias/1815/11/14/pdfs/GMD-1815-142.pdf#page=6","Abrir facsímil")</f>
        <v>Abrir facsímil</v>
      </c>
      <c r="K1552" s="3" t="s">
        <v>74</v>
      </c>
    </row>
    <row r="1553" spans="1:11" ht="42" customHeight="1">
      <c r="A1553" s="2" t="s">
        <v>4127</v>
      </c>
      <c r="B1553" s="2" t="s">
        <v>4128</v>
      </c>
      <c r="C1553" s="2" t="s">
        <v>31</v>
      </c>
      <c r="D1553" s="2" t="s">
        <v>32</v>
      </c>
      <c r="E1553" s="5">
        <v>-30839</v>
      </c>
      <c r="F1553" s="3" t="s">
        <v>616</v>
      </c>
      <c r="G1553" s="3" t="s">
        <v>27</v>
      </c>
      <c r="H1553" s="2" t="s">
        <v>72</v>
      </c>
      <c r="I1553" s="2" t="s">
        <v>4129</v>
      </c>
      <c r="J1553" s="3" t="str">
        <f>HYPERLINK("https://www.boe.es/gazeta/dias/1815/07/25/pdfs/GMD-1815-91.pdf#page=6","Abrir facsímil")</f>
        <v>Abrir facsímil</v>
      </c>
      <c r="K1553" s="3" t="s">
        <v>74</v>
      </c>
    </row>
    <row r="1554" spans="1:11" ht="42" customHeight="1">
      <c r="A1554" s="2" t="s">
        <v>4130</v>
      </c>
      <c r="B1554" s="2" t="s">
        <v>4131</v>
      </c>
      <c r="C1554" s="2" t="s">
        <v>31</v>
      </c>
      <c r="D1554" s="2" t="s">
        <v>32</v>
      </c>
      <c r="E1554" s="5">
        <v>-31017</v>
      </c>
      <c r="F1554" s="3" t="s">
        <v>456</v>
      </c>
      <c r="G1554" s="3" t="s">
        <v>2373</v>
      </c>
      <c r="H1554" s="2" t="s">
        <v>72</v>
      </c>
      <c r="I1554" s="2" t="s">
        <v>4132</v>
      </c>
      <c r="J1554" s="3" t="str">
        <f>HYPERLINK("https://www.boe.es/gazeta/dias/1815/01/28/pdfs/GMD-1815-12.pdf#page=7","Abrir facsímil")</f>
        <v>Abrir facsímil</v>
      </c>
      <c r="K1554" s="3" t="s">
        <v>74</v>
      </c>
    </row>
    <row r="1555" spans="1:11" ht="42" customHeight="1">
      <c r="A1555" s="2" t="s">
        <v>4130</v>
      </c>
      <c r="B1555" s="2" t="s">
        <v>4131</v>
      </c>
      <c r="C1555" s="2" t="s">
        <v>195</v>
      </c>
      <c r="D1555" s="2" t="s">
        <v>50</v>
      </c>
      <c r="E1555" s="5">
        <v>-31000</v>
      </c>
      <c r="F1555" s="3" t="s">
        <v>70</v>
      </c>
      <c r="G1555" s="3" t="s">
        <v>71</v>
      </c>
      <c r="H1555" s="2" t="s">
        <v>72</v>
      </c>
      <c r="I1555" s="2" t="s">
        <v>4133</v>
      </c>
      <c r="J1555" s="3" t="str">
        <f>HYPERLINK("https://www.boe.es/gazeta/dias/1815/02/14/pdfs/GMD-1815-19.pdf#page=7","Abrir facsímil")</f>
        <v>Abrir facsímil</v>
      </c>
      <c r="K1555" s="3" t="s">
        <v>74</v>
      </c>
    </row>
    <row r="1556" spans="1:11" ht="42" customHeight="1">
      <c r="A1556" s="2" t="s">
        <v>4130</v>
      </c>
      <c r="B1556" s="2" t="s">
        <v>4131</v>
      </c>
      <c r="C1556" s="2" t="s">
        <v>49</v>
      </c>
      <c r="D1556" s="2" t="s">
        <v>50</v>
      </c>
      <c r="E1556" s="5">
        <v>-30865</v>
      </c>
      <c r="F1556" s="3" t="s">
        <v>163</v>
      </c>
      <c r="G1556" s="3" t="s">
        <v>71</v>
      </c>
      <c r="H1556" s="2" t="s">
        <v>72</v>
      </c>
      <c r="I1556" s="2" t="s">
        <v>4134</v>
      </c>
      <c r="J1556" s="3" t="str">
        <f>HYPERLINK("https://www.boe.es/gazeta/dias/1815/06/29/pdfs/GMD-1815-78.pdf#page=7","Abrir facsímil")</f>
        <v>Abrir facsímil</v>
      </c>
      <c r="K1556" s="3" t="s">
        <v>74</v>
      </c>
    </row>
    <row r="1557" spans="1:11" ht="42" customHeight="1">
      <c r="A1557" s="2" t="s">
        <v>4135</v>
      </c>
      <c r="B1557" s="2" t="s">
        <v>4136</v>
      </c>
      <c r="C1557" s="2" t="s">
        <v>195</v>
      </c>
      <c r="D1557" s="2" t="s">
        <v>50</v>
      </c>
      <c r="E1557" s="5">
        <v>-30723</v>
      </c>
      <c r="F1557" s="3" t="s">
        <v>77</v>
      </c>
      <c r="G1557" s="3" t="s">
        <v>38</v>
      </c>
      <c r="H1557" s="2" t="s">
        <v>72</v>
      </c>
      <c r="I1557" s="2" t="s">
        <v>4137</v>
      </c>
      <c r="J1557" s="3" t="str">
        <f>HYPERLINK("https://www.boe.es/gazeta/dias/1815/11/18/pdfs/GMD-1815-144.pdf#page=8","Abrir facsímil")</f>
        <v>Abrir facsímil</v>
      </c>
      <c r="K1557" s="3" t="s">
        <v>74</v>
      </c>
    </row>
    <row r="1558" spans="1:11" ht="42" customHeight="1">
      <c r="A1558" s="2" t="s">
        <v>4138</v>
      </c>
      <c r="B1558" s="2" t="s">
        <v>4139</v>
      </c>
      <c r="C1558" s="2" t="s">
        <v>49</v>
      </c>
      <c r="D1558" s="2" t="s">
        <v>50</v>
      </c>
      <c r="E1558" s="5">
        <v>-30860</v>
      </c>
      <c r="F1558" s="3" t="s">
        <v>184</v>
      </c>
      <c r="G1558" s="3" t="s">
        <v>472</v>
      </c>
      <c r="H1558" s="2" t="s">
        <v>72</v>
      </c>
      <c r="I1558" s="2" t="s">
        <v>4140</v>
      </c>
      <c r="J1558" s="3" t="str">
        <f>HYPERLINK("https://www.boe.es/gazeta/dias/1815/07/04/pdfs/GMD-1815-81.pdf#page=8","Abrir facsímil")</f>
        <v>Abrir facsímil</v>
      </c>
      <c r="K1558" s="3" t="s">
        <v>74</v>
      </c>
    </row>
    <row r="1559" spans="1:11" ht="42" customHeight="1">
      <c r="A1559" s="2" t="s">
        <v>4141</v>
      </c>
      <c r="B1559" s="2" t="s">
        <v>4141</v>
      </c>
      <c r="C1559" s="2" t="s">
        <v>31</v>
      </c>
      <c r="D1559" s="2" t="s">
        <v>32</v>
      </c>
      <c r="E1559" s="5">
        <v>-30951</v>
      </c>
      <c r="F1559" s="3" t="s">
        <v>87</v>
      </c>
      <c r="G1559" s="3" t="s">
        <v>88</v>
      </c>
      <c r="H1559" s="2" t="s">
        <v>72</v>
      </c>
      <c r="I1559" s="2" t="s">
        <v>4142</v>
      </c>
      <c r="J1559" s="3" t="str">
        <f>HYPERLINK("https://www.boe.es/gazeta/dias/1815/04/04/pdfs/GMD-1815-41.pdf#page=10","Abrir facsímil")</f>
        <v>Abrir facsímil</v>
      </c>
      <c r="K1559" s="3" t="s">
        <v>74</v>
      </c>
    </row>
    <row r="1560" spans="1:11" ht="42" customHeight="1">
      <c r="A1560" s="2" t="s">
        <v>4143</v>
      </c>
      <c r="B1560" s="2" t="s">
        <v>4144</v>
      </c>
      <c r="C1560" s="2" t="s">
        <v>17</v>
      </c>
      <c r="D1560" s="2" t="s">
        <v>18</v>
      </c>
      <c r="E1560" s="5">
        <v>-30968</v>
      </c>
      <c r="F1560" s="3" t="s">
        <v>2695</v>
      </c>
      <c r="G1560" s="3" t="s">
        <v>52</v>
      </c>
      <c r="H1560" s="2" t="s">
        <v>72</v>
      </c>
      <c r="I1560" s="2" t="s">
        <v>4145</v>
      </c>
      <c r="J1560" s="3" t="str">
        <f>HYPERLINK("https://www.boe.es/gazeta/dias/1815/03/18/pdfs/GMD-1815-33.pdf#page=11","Abrir facsímil")</f>
        <v>Abrir facsímil</v>
      </c>
      <c r="K1560" s="3" t="s">
        <v>74</v>
      </c>
    </row>
    <row r="1561" spans="1:11" ht="42" customHeight="1">
      <c r="A1561" s="2" t="s">
        <v>4146</v>
      </c>
      <c r="B1561" s="2" t="s">
        <v>4146</v>
      </c>
      <c r="C1561" s="2" t="s">
        <v>31</v>
      </c>
      <c r="D1561" s="2" t="s">
        <v>32</v>
      </c>
      <c r="E1561" s="5">
        <v>-30849</v>
      </c>
      <c r="F1561" s="3" t="s">
        <v>501</v>
      </c>
      <c r="G1561" s="3" t="s">
        <v>224</v>
      </c>
      <c r="H1561" s="2" t="s">
        <v>72</v>
      </c>
      <c r="I1561" s="2" t="s">
        <v>4147</v>
      </c>
      <c r="J1561" s="3" t="str">
        <f>HYPERLINK("https://www.boe.es/gazeta/dias/1815/07/15/pdfs/GMD-1815-87.pdf#page=9","Abrir facsímil")</f>
        <v>Abrir facsímil</v>
      </c>
      <c r="K1561" s="3" t="s">
        <v>74</v>
      </c>
    </row>
    <row r="1562" spans="1:11" ht="42" customHeight="1">
      <c r="A1562" s="2" t="s">
        <v>4148</v>
      </c>
      <c r="B1562" s="2" t="s">
        <v>4149</v>
      </c>
      <c r="C1562" s="2" t="s">
        <v>17</v>
      </c>
      <c r="D1562" s="2" t="s">
        <v>18</v>
      </c>
      <c r="E1562" s="5">
        <v>-30711</v>
      </c>
      <c r="F1562" s="3" t="s">
        <v>438</v>
      </c>
      <c r="G1562" s="3" t="s">
        <v>71</v>
      </c>
      <c r="H1562" s="2" t="s">
        <v>72</v>
      </c>
      <c r="I1562" s="2" t="s">
        <v>4150</v>
      </c>
      <c r="J1562" s="3" t="str">
        <f>HYPERLINK("https://www.boe.es/gazeta/dias/1815/11/30/pdfs/GMD-1815-149.pdf#page=7","Abrir facsímil")</f>
        <v>Abrir facsímil</v>
      </c>
      <c r="K1562" s="3" t="s">
        <v>74</v>
      </c>
    </row>
    <row r="1563" spans="1:11" ht="42" customHeight="1">
      <c r="A1563" s="2" t="s">
        <v>4151</v>
      </c>
      <c r="B1563" s="2" t="s">
        <v>4151</v>
      </c>
      <c r="C1563" s="2" t="s">
        <v>17</v>
      </c>
      <c r="D1563" s="2" t="s">
        <v>18</v>
      </c>
      <c r="E1563" s="5">
        <v>-30998</v>
      </c>
      <c r="F1563" s="3" t="s">
        <v>539</v>
      </c>
      <c r="G1563" s="3" t="s">
        <v>410</v>
      </c>
      <c r="H1563" s="2" t="s">
        <v>72</v>
      </c>
      <c r="I1563" s="2" t="s">
        <v>4152</v>
      </c>
      <c r="J1563" s="3" t="str">
        <f>HYPERLINK("https://www.boe.es/gazeta/dias/1815/02/16/pdfs/GMD-1815-20.pdf#page=1","Abrir facsímil")</f>
        <v>Abrir facsímil</v>
      </c>
      <c r="K1563" s="3" t="s">
        <v>74</v>
      </c>
    </row>
    <row r="1564" spans="1:11" ht="42" customHeight="1">
      <c r="A1564" s="2" t="s">
        <v>4153</v>
      </c>
      <c r="B1564" s="2" t="s">
        <v>4154</v>
      </c>
      <c r="C1564" s="2" t="s">
        <v>49</v>
      </c>
      <c r="D1564" s="2" t="s">
        <v>50</v>
      </c>
      <c r="E1564" s="5">
        <v>-30863</v>
      </c>
      <c r="F1564" s="3" t="s">
        <v>110</v>
      </c>
      <c r="G1564" s="3" t="s">
        <v>224</v>
      </c>
      <c r="H1564" s="2" t="s">
        <v>72</v>
      </c>
      <c r="I1564" s="2" t="s">
        <v>4155</v>
      </c>
      <c r="J1564" s="3" t="str">
        <f>HYPERLINK("https://www.boe.es/gazeta/dias/1815/07/01/pdfs/GMD-1815-79.pdf#page=9","Abrir facsímil")</f>
        <v>Abrir facsímil</v>
      </c>
      <c r="K1564" s="3" t="s">
        <v>74</v>
      </c>
    </row>
    <row r="1565" spans="1:11" ht="42" customHeight="1">
      <c r="A1565" s="2" t="s">
        <v>4156</v>
      </c>
      <c r="B1565" s="2" t="s">
        <v>4156</v>
      </c>
      <c r="C1565" s="2" t="s">
        <v>31</v>
      </c>
      <c r="D1565" s="2" t="s">
        <v>179</v>
      </c>
      <c r="E1565" s="5">
        <v>-30860</v>
      </c>
      <c r="F1565" s="3" t="s">
        <v>180</v>
      </c>
      <c r="G1565" s="3" t="s">
        <v>20</v>
      </c>
      <c r="H1565" s="2" t="s">
        <v>72</v>
      </c>
      <c r="I1565" s="2" t="s">
        <v>4157</v>
      </c>
      <c r="J1565" s="3" t="str">
        <f>HYPERLINK("https://www.boe.es/gazeta/dias/1815/07/04/pdfs/GMD-1815-82E.pdf#page=4","Abrir facsímil")</f>
        <v>Abrir facsímil</v>
      </c>
      <c r="K1565" s="3" t="s">
        <v>74</v>
      </c>
    </row>
    <row r="1566" spans="1:11" ht="42" customHeight="1">
      <c r="A1566" s="2" t="s">
        <v>4158</v>
      </c>
      <c r="B1566" s="2" t="s">
        <v>4159</v>
      </c>
      <c r="C1566" s="2" t="s">
        <v>17</v>
      </c>
      <c r="D1566" s="2" t="s">
        <v>18</v>
      </c>
      <c r="E1566" s="5">
        <v>-30762</v>
      </c>
      <c r="F1566" s="3" t="s">
        <v>19</v>
      </c>
      <c r="G1566" s="3" t="s">
        <v>71</v>
      </c>
      <c r="H1566" s="2" t="s">
        <v>72</v>
      </c>
      <c r="I1566" s="2" t="s">
        <v>4160</v>
      </c>
      <c r="J1566" s="3" t="str">
        <f>HYPERLINK("https://www.boe.es/gazeta/dias/1815/10/10/pdfs/GMD-1815-127.pdf#page=7","Abrir facsímil")</f>
        <v>Abrir facsímil</v>
      </c>
      <c r="K1566" s="3" t="s">
        <v>74</v>
      </c>
    </row>
    <row r="1567" spans="1:11" ht="42" customHeight="1">
      <c r="A1567" s="2" t="s">
        <v>4161</v>
      </c>
      <c r="B1567" s="2" t="s">
        <v>4162</v>
      </c>
      <c r="C1567" s="2" t="s">
        <v>195</v>
      </c>
      <c r="D1567" s="2" t="s">
        <v>50</v>
      </c>
      <c r="E1567" s="5">
        <v>-30851</v>
      </c>
      <c r="F1567" s="3" t="s">
        <v>442</v>
      </c>
      <c r="G1567" s="3" t="s">
        <v>20</v>
      </c>
      <c r="H1567" s="2" t="s">
        <v>72</v>
      </c>
      <c r="I1567" s="2" t="s">
        <v>4163</v>
      </c>
      <c r="J1567" s="3" t="str">
        <f>HYPERLINK("https://www.boe.es/gazeta/dias/1815/07/13/pdfs/GMD-1815-86.pdf#page=4","Abrir facsímil")</f>
        <v>Abrir facsímil</v>
      </c>
      <c r="K1567" s="3" t="s">
        <v>74</v>
      </c>
    </row>
    <row r="1568" spans="1:11" ht="42" customHeight="1">
      <c r="A1568" s="2" t="s">
        <v>4164</v>
      </c>
      <c r="B1568" s="2" t="s">
        <v>4165</v>
      </c>
      <c r="C1568" s="2" t="s">
        <v>49</v>
      </c>
      <c r="D1568" s="2" t="s">
        <v>50</v>
      </c>
      <c r="E1568" s="5">
        <v>-31038</v>
      </c>
      <c r="F1568" s="3" t="s">
        <v>395</v>
      </c>
      <c r="G1568" s="3" t="s">
        <v>396</v>
      </c>
      <c r="H1568" s="2" t="s">
        <v>72</v>
      </c>
      <c r="I1568" s="2" t="s">
        <v>4166</v>
      </c>
      <c r="J1568" s="3" t="str">
        <f>HYPERLINK("https://www.boe.es/gazeta/dias/1815/01/07/pdfs/GMD-1815-3.pdf#page=5","Abrir facsímil")</f>
        <v>Abrir facsímil</v>
      </c>
      <c r="K1568" s="3" t="s">
        <v>74</v>
      </c>
    </row>
    <row r="1569" spans="1:11" ht="42" customHeight="1">
      <c r="A1569" s="2" t="s">
        <v>4167</v>
      </c>
      <c r="B1569" s="2" t="s">
        <v>4167</v>
      </c>
      <c r="C1569" s="2" t="s">
        <v>31</v>
      </c>
      <c r="D1569" s="2" t="s">
        <v>32</v>
      </c>
      <c r="E1569" s="5">
        <v>-30851</v>
      </c>
      <c r="F1569" s="3" t="s">
        <v>442</v>
      </c>
      <c r="G1569" s="3" t="s">
        <v>97</v>
      </c>
      <c r="H1569" s="2" t="s">
        <v>72</v>
      </c>
      <c r="I1569" s="2" t="s">
        <v>4168</v>
      </c>
      <c r="J1569" s="3" t="str">
        <f>HYPERLINK("https://www.boe.es/gazeta/dias/1815/07/13/pdfs/GMD-1815-86.pdf#page=3","Abrir facsímil")</f>
        <v>Abrir facsímil</v>
      </c>
      <c r="K1569" s="3" t="s">
        <v>74</v>
      </c>
    </row>
    <row r="1570" spans="1:11" ht="42" customHeight="1">
      <c r="A1570" s="2" t="s">
        <v>4169</v>
      </c>
      <c r="B1570" s="2" t="s">
        <v>4170</v>
      </c>
      <c r="C1570" s="2" t="s">
        <v>31</v>
      </c>
      <c r="D1570" s="2" t="s">
        <v>32</v>
      </c>
      <c r="E1570" s="5">
        <v>-30821</v>
      </c>
      <c r="F1570" s="3" t="s">
        <v>915</v>
      </c>
      <c r="G1570" s="3" t="s">
        <v>27</v>
      </c>
      <c r="H1570" s="2" t="s">
        <v>72</v>
      </c>
      <c r="I1570" s="2" t="s">
        <v>4171</v>
      </c>
      <c r="J1570" s="3" t="str">
        <f>HYPERLINK("https://www.boe.es/gazeta/dias/1815/08/12/pdfs/GMD-1815-99.pdf#page=6","Abrir facsímil")</f>
        <v>Abrir facsímil</v>
      </c>
      <c r="K1570" s="3" t="s">
        <v>74</v>
      </c>
    </row>
    <row r="1571" spans="1:11" ht="42" customHeight="1">
      <c r="A1571" s="2" t="s">
        <v>4172</v>
      </c>
      <c r="B1571" s="2" t="s">
        <v>4173</v>
      </c>
      <c r="C1571" s="2" t="s">
        <v>31</v>
      </c>
      <c r="D1571" s="2" t="s">
        <v>32</v>
      </c>
      <c r="E1571" s="5">
        <v>-30886</v>
      </c>
      <c r="F1571" s="3" t="s">
        <v>140</v>
      </c>
      <c r="G1571" s="3" t="s">
        <v>57</v>
      </c>
      <c r="H1571" s="2" t="s">
        <v>72</v>
      </c>
      <c r="I1571" s="2" t="s">
        <v>4174</v>
      </c>
      <c r="J1571" s="3" t="str">
        <f>HYPERLINK("https://www.boe.es/gazeta/dias/1815/06/08/pdfs/GMD-1815-69.pdf#page=5","Abrir facsímil")</f>
        <v>Abrir facsímil</v>
      </c>
      <c r="K1571" s="3" t="s">
        <v>74</v>
      </c>
    </row>
    <row r="1572" spans="1:11" ht="42" customHeight="1">
      <c r="A1572" s="2" t="s">
        <v>4175</v>
      </c>
      <c r="B1572" s="2" t="s">
        <v>4176</v>
      </c>
      <c r="C1572" s="2" t="s">
        <v>31</v>
      </c>
      <c r="D1572" s="2" t="s">
        <v>32</v>
      </c>
      <c r="E1572" s="5">
        <v>-30860</v>
      </c>
      <c r="F1572" s="3" t="s">
        <v>184</v>
      </c>
      <c r="G1572" s="3" t="s">
        <v>20</v>
      </c>
      <c r="H1572" s="2" t="s">
        <v>72</v>
      </c>
      <c r="I1572" s="2" t="s">
        <v>4177</v>
      </c>
      <c r="J1572" s="3" t="str">
        <f>HYPERLINK("https://www.boe.es/gazeta/dias/1815/07/04/pdfs/GMD-1815-81.pdf#page=4","Abrir facsímil")</f>
        <v>Abrir facsímil</v>
      </c>
      <c r="K1572" s="3" t="s">
        <v>74</v>
      </c>
    </row>
    <row r="1573" spans="1:11" ht="42" customHeight="1">
      <c r="A1573" s="2" t="s">
        <v>4178</v>
      </c>
      <c r="B1573" s="2" t="s">
        <v>4179</v>
      </c>
      <c r="C1573" s="2" t="s">
        <v>81</v>
      </c>
      <c r="D1573" s="2" t="s">
        <v>50</v>
      </c>
      <c r="E1573" s="5">
        <v>-30900</v>
      </c>
      <c r="F1573" s="3" t="s">
        <v>921</v>
      </c>
      <c r="G1573" s="3" t="s">
        <v>52</v>
      </c>
      <c r="H1573" s="2" t="s">
        <v>72</v>
      </c>
      <c r="I1573" s="2" t="s">
        <v>4180</v>
      </c>
      <c r="J1573" s="3" t="str">
        <f>HYPERLINK("https://www.boe.es/gazeta/dias/1815/05/25/pdfs/GMD-1815-63.pdf#page=11","Abrir facsímil")</f>
        <v>Abrir facsímil</v>
      </c>
      <c r="K1573" s="3" t="s">
        <v>74</v>
      </c>
    </row>
    <row r="1574" spans="1:11" ht="42" customHeight="1">
      <c r="A1574" s="2" t="s">
        <v>4178</v>
      </c>
      <c r="B1574" s="2" t="s">
        <v>4179</v>
      </c>
      <c r="C1574" s="2" t="s">
        <v>17</v>
      </c>
      <c r="D1574" s="2" t="s">
        <v>18</v>
      </c>
      <c r="E1574" s="5">
        <v>-30900</v>
      </c>
      <c r="F1574" s="3" t="s">
        <v>921</v>
      </c>
      <c r="G1574" s="3" t="s">
        <v>276</v>
      </c>
      <c r="H1574" s="2" t="s">
        <v>72</v>
      </c>
      <c r="I1574" s="2" t="s">
        <v>4181</v>
      </c>
      <c r="J1574" s="3" t="str">
        <f>HYPERLINK("https://www.boe.es/gazeta/dias/1815/05/25/pdfs/GMD-1815-63.pdf#page=12","Abrir facsímil")</f>
        <v>Abrir facsímil</v>
      </c>
      <c r="K1574" s="3" t="s">
        <v>74</v>
      </c>
    </row>
    <row r="1575" spans="1:11" ht="42" customHeight="1">
      <c r="A1575" s="2" t="s">
        <v>4182</v>
      </c>
      <c r="B1575" s="2" t="s">
        <v>4183</v>
      </c>
      <c r="C1575" s="2" t="s">
        <v>17</v>
      </c>
      <c r="D1575" s="2" t="s">
        <v>18</v>
      </c>
      <c r="E1575" s="5">
        <v>-30900</v>
      </c>
      <c r="F1575" s="3" t="s">
        <v>921</v>
      </c>
      <c r="G1575" s="3" t="s">
        <v>276</v>
      </c>
      <c r="H1575" s="2" t="s">
        <v>72</v>
      </c>
      <c r="I1575" s="2" t="s">
        <v>4184</v>
      </c>
      <c r="J1575" s="3" t="str">
        <f>HYPERLINK("https://www.boe.es/gazeta/dias/1815/05/25/pdfs/GMD-1815-63.pdf#page=12","Abrir facsímil")</f>
        <v>Abrir facsímil</v>
      </c>
      <c r="K1575" s="3" t="s">
        <v>74</v>
      </c>
    </row>
    <row r="1576" spans="1:11" ht="42" customHeight="1">
      <c r="A1576" s="2" t="s">
        <v>4185</v>
      </c>
      <c r="B1576" s="2" t="s">
        <v>4186</v>
      </c>
      <c r="C1576" s="2" t="s">
        <v>17</v>
      </c>
      <c r="D1576" s="2" t="s">
        <v>18</v>
      </c>
      <c r="E1576" s="5">
        <v>-30900</v>
      </c>
      <c r="F1576" s="3" t="s">
        <v>921</v>
      </c>
      <c r="G1576" s="3" t="s">
        <v>276</v>
      </c>
      <c r="H1576" s="2" t="s">
        <v>72</v>
      </c>
      <c r="I1576" s="2" t="s">
        <v>4187</v>
      </c>
      <c r="J1576" s="3" t="str">
        <f>HYPERLINK("https://www.boe.es/gazeta/dias/1815/05/25/pdfs/GMD-1815-63.pdf#page=12","Abrir facsímil")</f>
        <v>Abrir facsímil</v>
      </c>
      <c r="K1576" s="3" t="s">
        <v>74</v>
      </c>
    </row>
    <row r="1577" spans="1:11" ht="42" customHeight="1">
      <c r="A1577" s="2" t="s">
        <v>4188</v>
      </c>
      <c r="B1577" s="2" t="s">
        <v>4189</v>
      </c>
      <c r="C1577" s="2" t="s">
        <v>49</v>
      </c>
      <c r="D1577" s="2" t="s">
        <v>50</v>
      </c>
      <c r="E1577" s="5">
        <v>-31038</v>
      </c>
      <c r="F1577" s="3" t="s">
        <v>395</v>
      </c>
      <c r="G1577" s="3" t="s">
        <v>396</v>
      </c>
      <c r="H1577" s="2" t="s">
        <v>72</v>
      </c>
      <c r="I1577" s="2" t="s">
        <v>4190</v>
      </c>
      <c r="J1577" s="3" t="str">
        <f>HYPERLINK("https://www.boe.es/gazeta/dias/1815/01/07/pdfs/GMD-1815-3.pdf#page=5","Abrir facsímil")</f>
        <v>Abrir facsímil</v>
      </c>
      <c r="K1577" s="3" t="s">
        <v>74</v>
      </c>
    </row>
    <row r="1578" spans="1:11" ht="42" customHeight="1">
      <c r="A1578" s="2" t="s">
        <v>4191</v>
      </c>
      <c r="B1578" s="2" t="s">
        <v>4191</v>
      </c>
      <c r="C1578" s="2" t="s">
        <v>17</v>
      </c>
      <c r="D1578" s="2" t="s">
        <v>18</v>
      </c>
      <c r="E1578" s="5">
        <v>-30870</v>
      </c>
      <c r="F1578" s="3" t="s">
        <v>122</v>
      </c>
      <c r="G1578" s="3" t="s">
        <v>38</v>
      </c>
      <c r="H1578" s="2" t="s">
        <v>72</v>
      </c>
      <c r="I1578" s="2" t="s">
        <v>4192</v>
      </c>
      <c r="J1578" s="3" t="str">
        <f>HYPERLINK("https://www.boe.es/gazeta/dias/1815/06/24/pdfs/GMD-1815-76.pdf#page=8","Abrir facsímil")</f>
        <v>Abrir facsímil</v>
      </c>
      <c r="K1578" s="3" t="s">
        <v>74</v>
      </c>
    </row>
    <row r="1579" spans="1:11" ht="42" customHeight="1">
      <c r="A1579" s="2" t="s">
        <v>4191</v>
      </c>
      <c r="B1579" s="2" t="s">
        <v>4191</v>
      </c>
      <c r="C1579" s="2" t="s">
        <v>131</v>
      </c>
      <c r="D1579" s="2" t="s">
        <v>50</v>
      </c>
      <c r="E1579" s="5">
        <v>-30751</v>
      </c>
      <c r="F1579" s="3" t="s">
        <v>819</v>
      </c>
      <c r="G1579" s="3" t="s">
        <v>38</v>
      </c>
      <c r="H1579" s="2" t="s">
        <v>72</v>
      </c>
      <c r="I1579" s="2" t="s">
        <v>4193</v>
      </c>
      <c r="J1579" s="3" t="str">
        <f>HYPERLINK("https://www.boe.es/gazeta/dias/1815/10/21/pdfs/GMD-1815-132.pdf#page=8","Abrir facsímil")</f>
        <v>Abrir facsímil</v>
      </c>
      <c r="K1579" s="3" t="s">
        <v>74</v>
      </c>
    </row>
    <row r="1580" spans="1:11" ht="42" customHeight="1">
      <c r="A1580" s="2" t="s">
        <v>4194</v>
      </c>
      <c r="B1580" s="2" t="s">
        <v>4194</v>
      </c>
      <c r="C1580" s="2" t="s">
        <v>31</v>
      </c>
      <c r="D1580" s="2" t="s">
        <v>32</v>
      </c>
      <c r="E1580" s="5">
        <v>-30811</v>
      </c>
      <c r="F1580" s="3" t="s">
        <v>293</v>
      </c>
      <c r="G1580" s="3" t="s">
        <v>97</v>
      </c>
      <c r="H1580" s="2" t="s">
        <v>72</v>
      </c>
      <c r="I1580" s="2" t="s">
        <v>4195</v>
      </c>
      <c r="J1580" s="3" t="str">
        <f>HYPERLINK("https://www.boe.es/gazeta/dias/1815/08/22/pdfs/GMD-1815-103.pdf#page=3","Abrir facsímil")</f>
        <v>Abrir facsímil</v>
      </c>
      <c r="K1580" s="3" t="s">
        <v>74</v>
      </c>
    </row>
    <row r="1581" spans="1:11" ht="42" customHeight="1">
      <c r="A1581" s="2" t="s">
        <v>4194</v>
      </c>
      <c r="B1581" s="2" t="s">
        <v>4194</v>
      </c>
      <c r="C1581" s="2" t="s">
        <v>31</v>
      </c>
      <c r="D1581" s="2" t="s">
        <v>32</v>
      </c>
      <c r="E1581" s="5">
        <v>-30723</v>
      </c>
      <c r="F1581" s="3" t="s">
        <v>77</v>
      </c>
      <c r="G1581" s="3" t="s">
        <v>57</v>
      </c>
      <c r="H1581" s="2" t="s">
        <v>72</v>
      </c>
      <c r="I1581" s="2" t="s">
        <v>4196</v>
      </c>
      <c r="J1581" s="3" t="str">
        <f>HYPERLINK("https://www.boe.es/gazeta/dias/1815/11/18/pdfs/GMD-1815-144.pdf#page=5","Abrir facsímil")</f>
        <v>Abrir facsímil</v>
      </c>
      <c r="K1581" s="3" t="s">
        <v>74</v>
      </c>
    </row>
    <row r="1582" spans="1:11" ht="42" customHeight="1">
      <c r="A1582" s="2" t="s">
        <v>4197</v>
      </c>
      <c r="B1582" s="2" t="s">
        <v>4197</v>
      </c>
      <c r="C1582" s="2" t="s">
        <v>31</v>
      </c>
      <c r="D1582" s="2" t="s">
        <v>32</v>
      </c>
      <c r="E1582" s="5">
        <v>-30699</v>
      </c>
      <c r="F1582" s="3" t="s">
        <v>810</v>
      </c>
      <c r="G1582" s="3" t="s">
        <v>20</v>
      </c>
      <c r="H1582" s="2" t="s">
        <v>72</v>
      </c>
      <c r="I1582" s="2" t="s">
        <v>4198</v>
      </c>
      <c r="J1582" s="3" t="str">
        <f>HYPERLINK("https://www.boe.es/gazeta/dias/1815/12/12/pdfs/GMD-1815-154.pdf#page=4","Abrir facsímil")</f>
        <v>Abrir facsímil</v>
      </c>
      <c r="K1582" s="3" t="s">
        <v>74</v>
      </c>
    </row>
    <row r="1583" spans="1:11" ht="42" customHeight="1">
      <c r="A1583" s="2" t="s">
        <v>4199</v>
      </c>
      <c r="B1583" s="2" t="s">
        <v>4199</v>
      </c>
      <c r="C1583" s="2" t="s">
        <v>31</v>
      </c>
      <c r="D1583" s="2" t="s">
        <v>32</v>
      </c>
      <c r="E1583" s="5">
        <v>-30940</v>
      </c>
      <c r="F1583" s="3" t="s">
        <v>610</v>
      </c>
      <c r="G1583" s="3" t="s">
        <v>377</v>
      </c>
      <c r="H1583" s="2" t="s">
        <v>72</v>
      </c>
      <c r="I1583" s="2" t="s">
        <v>4200</v>
      </c>
      <c r="J1583" s="3" t="str">
        <f>HYPERLINK("https://www.boe.es/gazeta/dias/1815/04/15/pdfs/GMD-1815-46.pdf#page=2","Abrir facsímil")</f>
        <v>Abrir facsímil</v>
      </c>
      <c r="K1583" s="3" t="s">
        <v>74</v>
      </c>
    </row>
    <row r="1584" spans="1:11" ht="42" customHeight="1">
      <c r="A1584" s="2" t="s">
        <v>4201</v>
      </c>
      <c r="B1584" s="2" t="s">
        <v>4202</v>
      </c>
      <c r="C1584" s="2" t="s">
        <v>17</v>
      </c>
      <c r="D1584" s="2" t="s">
        <v>18</v>
      </c>
      <c r="E1584" s="5">
        <v>-30863</v>
      </c>
      <c r="F1584" s="3" t="s">
        <v>110</v>
      </c>
      <c r="G1584" s="3" t="s">
        <v>71</v>
      </c>
      <c r="H1584" s="2" t="s">
        <v>72</v>
      </c>
      <c r="I1584" s="2" t="s">
        <v>4203</v>
      </c>
      <c r="J1584" s="3" t="str">
        <f>HYPERLINK("https://www.boe.es/gazeta/dias/1815/07/01/pdfs/GMD-1815-79.pdf#page=7","Abrir facsímil")</f>
        <v>Abrir facsímil</v>
      </c>
      <c r="K1584" s="3" t="s">
        <v>74</v>
      </c>
    </row>
    <row r="1585" spans="1:11" ht="42" customHeight="1">
      <c r="A1585" s="2" t="s">
        <v>4204</v>
      </c>
      <c r="B1585" s="2" t="s">
        <v>4205</v>
      </c>
      <c r="C1585" s="2" t="s">
        <v>17</v>
      </c>
      <c r="D1585" s="2" t="s">
        <v>18</v>
      </c>
      <c r="E1585" s="5">
        <v>-31021</v>
      </c>
      <c r="F1585" s="3" t="s">
        <v>481</v>
      </c>
      <c r="G1585" s="3" t="s">
        <v>97</v>
      </c>
      <c r="H1585" s="2" t="s">
        <v>72</v>
      </c>
      <c r="I1585" s="2" t="s">
        <v>4206</v>
      </c>
      <c r="J1585" s="3" t="str">
        <f>HYPERLINK("https://www.boe.es/gazeta/dias/1815/01/24/pdfs/GMD-1815-10.pdf#page=3","Abrir facsímil")</f>
        <v>Abrir facsímil</v>
      </c>
      <c r="K1585" s="3" t="s">
        <v>74</v>
      </c>
    </row>
    <row r="1586" spans="1:11" ht="42" customHeight="1">
      <c r="A1586" s="2" t="s">
        <v>4207</v>
      </c>
      <c r="B1586" s="2" t="s">
        <v>4207</v>
      </c>
      <c r="C1586" s="2" t="s">
        <v>31</v>
      </c>
      <c r="D1586" s="2" t="s">
        <v>32</v>
      </c>
      <c r="E1586" s="5">
        <v>-30760</v>
      </c>
      <c r="F1586" s="3" t="s">
        <v>349</v>
      </c>
      <c r="G1586" s="3" t="s">
        <v>20</v>
      </c>
      <c r="H1586" s="2" t="s">
        <v>72</v>
      </c>
      <c r="I1586" s="2" t="s">
        <v>4208</v>
      </c>
      <c r="J1586" s="3" t="str">
        <f>HYPERLINK("https://www.boe.es/gazeta/dias/1815/10/12/pdfs/GMD-1815-128.pdf#page=4","Abrir facsímil")</f>
        <v>Abrir facsímil</v>
      </c>
      <c r="K1586" s="3" t="s">
        <v>74</v>
      </c>
    </row>
    <row r="1587" spans="1:11" ht="42" customHeight="1">
      <c r="A1587" s="2" t="s">
        <v>4209</v>
      </c>
      <c r="B1587" s="2" t="s">
        <v>4209</v>
      </c>
      <c r="C1587" s="2" t="s">
        <v>31</v>
      </c>
      <c r="D1587" s="2" t="s">
        <v>32</v>
      </c>
      <c r="E1587" s="5">
        <v>-30804</v>
      </c>
      <c r="F1587" s="3" t="s">
        <v>891</v>
      </c>
      <c r="G1587" s="3" t="s">
        <v>20</v>
      </c>
      <c r="H1587" s="2" t="s">
        <v>72</v>
      </c>
      <c r="I1587" s="2" t="s">
        <v>4210</v>
      </c>
      <c r="J1587" s="3" t="str">
        <f>HYPERLINK("https://www.boe.es/gazeta/dias/1815/08/29/pdfs/GMD-1815-106.pdf#page=4","Abrir facsímil")</f>
        <v>Abrir facsímil</v>
      </c>
      <c r="K1587" s="3" t="s">
        <v>74</v>
      </c>
    </row>
    <row r="1588" spans="1:11" ht="42" customHeight="1">
      <c r="A1588" s="2" t="s">
        <v>4211</v>
      </c>
      <c r="B1588" s="2" t="s">
        <v>4212</v>
      </c>
      <c r="C1588" s="2" t="s">
        <v>131</v>
      </c>
      <c r="D1588" s="2" t="s">
        <v>50</v>
      </c>
      <c r="E1588" s="5">
        <v>-30872</v>
      </c>
      <c r="F1588" s="3" t="s">
        <v>167</v>
      </c>
      <c r="G1588" s="3" t="s">
        <v>276</v>
      </c>
      <c r="H1588" s="2" t="s">
        <v>72</v>
      </c>
      <c r="I1588" s="2" t="s">
        <v>4213</v>
      </c>
      <c r="J1588" s="3" t="str">
        <f>HYPERLINK("https://www.boe.es/gazeta/dias/1815/06/22/pdfs/GMD-1815-75.pdf#page=12","Abrir facsímil")</f>
        <v>Abrir facsímil</v>
      </c>
      <c r="K1588" s="3" t="s">
        <v>74</v>
      </c>
    </row>
    <row r="1589" spans="1:11" ht="42" customHeight="1">
      <c r="A1589" s="2" t="s">
        <v>4211</v>
      </c>
      <c r="B1589" s="2" t="s">
        <v>4212</v>
      </c>
      <c r="C1589" s="2" t="s">
        <v>61</v>
      </c>
      <c r="D1589" s="2" t="s">
        <v>50</v>
      </c>
      <c r="E1589" s="5">
        <v>-30760</v>
      </c>
      <c r="F1589" s="3" t="s">
        <v>349</v>
      </c>
      <c r="G1589" s="3" t="s">
        <v>38</v>
      </c>
      <c r="H1589" s="2" t="s">
        <v>72</v>
      </c>
      <c r="I1589" s="2" t="s">
        <v>4214</v>
      </c>
      <c r="J1589" s="3" t="str">
        <f>HYPERLINK("https://www.boe.es/gazeta/dias/1815/10/12/pdfs/GMD-1815-128.pdf#page=8","Abrir facsímil")</f>
        <v>Abrir facsímil</v>
      </c>
      <c r="K1589" s="3" t="s">
        <v>74</v>
      </c>
    </row>
    <row r="1590" spans="1:11" ht="42" customHeight="1">
      <c r="A1590" s="2" t="s">
        <v>4215</v>
      </c>
      <c r="B1590" s="2" t="s">
        <v>4216</v>
      </c>
      <c r="C1590" s="2" t="s">
        <v>31</v>
      </c>
      <c r="D1590" s="2" t="s">
        <v>32</v>
      </c>
      <c r="E1590" s="5">
        <v>-30732</v>
      </c>
      <c r="F1590" s="3" t="s">
        <v>554</v>
      </c>
      <c r="G1590" s="3" t="s">
        <v>27</v>
      </c>
      <c r="H1590" s="2" t="s">
        <v>21</v>
      </c>
      <c r="I1590" s="2" t="s">
        <v>4217</v>
      </c>
      <c r="J1590" s="3" t="str">
        <f>HYPERLINK("https://www.boe.es/gazeta/dias/1815/11/09/pdfs/GMD-1815-140.pdf#page=6","Abrir facsímil")</f>
        <v>Abrir facsímil</v>
      </c>
      <c r="K1590" s="3" t="s">
        <v>23</v>
      </c>
    </row>
    <row r="1591" spans="1:11" ht="42" customHeight="1">
      <c r="A1591" s="2" t="s">
        <v>4218</v>
      </c>
      <c r="B1591" s="2" t="s">
        <v>4219</v>
      </c>
      <c r="C1591" s="2" t="s">
        <v>897</v>
      </c>
      <c r="D1591" s="2" t="s">
        <v>50</v>
      </c>
      <c r="E1591" s="5">
        <v>-30730</v>
      </c>
      <c r="F1591" s="3" t="s">
        <v>953</v>
      </c>
      <c r="G1591" s="3" t="s">
        <v>38</v>
      </c>
      <c r="H1591" s="2" t="s">
        <v>72</v>
      </c>
      <c r="I1591" s="2" t="s">
        <v>4220</v>
      </c>
      <c r="J1591" s="3" t="str">
        <f>HYPERLINK("https://www.boe.es/gazeta/dias/1815/11/11/pdfs/GMD-1815-141.pdf#page=8","Abrir facsímil")</f>
        <v>Abrir facsímil</v>
      </c>
      <c r="K1591" s="3" t="s">
        <v>74</v>
      </c>
    </row>
    <row r="1592" spans="1:11" ht="42" customHeight="1">
      <c r="A1592" s="2" t="s">
        <v>4221</v>
      </c>
      <c r="B1592" s="2" t="s">
        <v>4221</v>
      </c>
      <c r="C1592" s="2" t="s">
        <v>31</v>
      </c>
      <c r="D1592" s="2" t="s">
        <v>32</v>
      </c>
      <c r="E1592" s="5">
        <v>-30935</v>
      </c>
      <c r="F1592" s="3" t="s">
        <v>519</v>
      </c>
      <c r="G1592" s="3" t="s">
        <v>97</v>
      </c>
      <c r="H1592" s="2" t="s">
        <v>72</v>
      </c>
      <c r="I1592" s="2" t="s">
        <v>4222</v>
      </c>
      <c r="J1592" s="3" t="str">
        <f>HYPERLINK("https://www.boe.es/gazeta/dias/1815/04/20/pdfs/GMD-1815-48.pdf#page=3","Abrir facsímil")</f>
        <v>Abrir facsímil</v>
      </c>
      <c r="K1592" s="3" t="s">
        <v>74</v>
      </c>
    </row>
    <row r="1593" spans="1:11" ht="42" customHeight="1">
      <c r="A1593" s="2" t="s">
        <v>4223</v>
      </c>
      <c r="B1593" s="2" t="s">
        <v>4224</v>
      </c>
      <c r="C1593" s="2" t="s">
        <v>17</v>
      </c>
      <c r="D1593" s="2" t="s">
        <v>18</v>
      </c>
      <c r="E1593" s="5">
        <v>-30818</v>
      </c>
      <c r="F1593" s="3" t="s">
        <v>334</v>
      </c>
      <c r="G1593" s="3" t="s">
        <v>224</v>
      </c>
      <c r="H1593" s="2" t="s">
        <v>72</v>
      </c>
      <c r="I1593" s="2" t="s">
        <v>4225</v>
      </c>
      <c r="J1593" s="3" t="str">
        <f>HYPERLINK("https://www.boe.es/gazeta/dias/1815/08/15/pdfs/GMD-1815-100.pdf#page=9","Abrir facsímil")</f>
        <v>Abrir facsímil</v>
      </c>
      <c r="K1593" s="3" t="s">
        <v>74</v>
      </c>
    </row>
    <row r="1594" spans="1:11" ht="42" customHeight="1">
      <c r="A1594" s="2" t="s">
        <v>4226</v>
      </c>
      <c r="B1594" s="2" t="s">
        <v>4226</v>
      </c>
      <c r="C1594" s="2" t="s">
        <v>31</v>
      </c>
      <c r="D1594" s="2" t="s">
        <v>179</v>
      </c>
      <c r="E1594" s="5">
        <v>-30863</v>
      </c>
      <c r="F1594" s="3" t="s">
        <v>2024</v>
      </c>
      <c r="G1594" s="3" t="s">
        <v>20</v>
      </c>
      <c r="H1594" s="2" t="s">
        <v>72</v>
      </c>
      <c r="I1594" s="2" t="s">
        <v>4227</v>
      </c>
      <c r="J1594" s="3" t="str">
        <f>HYPERLINK("https://www.boe.es/gazeta/dias/1815/07/01/pdfs/GMD-1815-80E.pdf#page=4","Abrir facsímil")</f>
        <v>Abrir facsímil</v>
      </c>
      <c r="K1594" s="3" t="s">
        <v>74</v>
      </c>
    </row>
    <row r="1595" spans="1:11" ht="42" customHeight="1">
      <c r="A1595" s="2" t="s">
        <v>4228</v>
      </c>
      <c r="B1595" s="2" t="s">
        <v>4228</v>
      </c>
      <c r="C1595" s="2" t="s">
        <v>31</v>
      </c>
      <c r="D1595" s="2" t="s">
        <v>32</v>
      </c>
      <c r="E1595" s="5">
        <v>-30744</v>
      </c>
      <c r="F1595" s="3" t="s">
        <v>391</v>
      </c>
      <c r="G1595" s="3" t="s">
        <v>377</v>
      </c>
      <c r="H1595" s="2" t="s">
        <v>72</v>
      </c>
      <c r="I1595" s="2" t="s">
        <v>4229</v>
      </c>
      <c r="J1595" s="3" t="str">
        <f>HYPERLINK("https://www.boe.es/gazeta/dias/1815/10/28/pdfs/GMD-1815-135.pdf#page=2","Abrir facsímil")</f>
        <v>Abrir facsímil</v>
      </c>
      <c r="K1595" s="3" t="s">
        <v>74</v>
      </c>
    </row>
    <row r="1596" spans="1:11" ht="42" customHeight="1">
      <c r="A1596" s="2" t="s">
        <v>4230</v>
      </c>
      <c r="B1596" s="2" t="s">
        <v>4230</v>
      </c>
      <c r="C1596" s="2" t="s">
        <v>31</v>
      </c>
      <c r="D1596" s="2" t="s">
        <v>32</v>
      </c>
      <c r="E1596" s="5">
        <v>-30956</v>
      </c>
      <c r="F1596" s="3" t="s">
        <v>495</v>
      </c>
      <c r="G1596" s="3" t="s">
        <v>57</v>
      </c>
      <c r="H1596" s="2" t="s">
        <v>72</v>
      </c>
      <c r="I1596" s="2" t="s">
        <v>4231</v>
      </c>
      <c r="J1596" s="3" t="str">
        <f>HYPERLINK("https://www.boe.es/gazeta/dias/1815/03/30/pdfs/GMD-1815-38.pdf#page=5","Abrir facsímil")</f>
        <v>Abrir facsímil</v>
      </c>
      <c r="K1596" s="3" t="s">
        <v>74</v>
      </c>
    </row>
    <row r="1597" spans="1:11" ht="42" customHeight="1">
      <c r="A1597" s="2" t="s">
        <v>4230</v>
      </c>
      <c r="B1597" s="2" t="s">
        <v>4230</v>
      </c>
      <c r="C1597" s="2" t="s">
        <v>31</v>
      </c>
      <c r="D1597" s="2" t="s">
        <v>32</v>
      </c>
      <c r="E1597" s="5">
        <v>-30933</v>
      </c>
      <c r="F1597" s="3" t="s">
        <v>725</v>
      </c>
      <c r="G1597" s="3" t="s">
        <v>3007</v>
      </c>
      <c r="H1597" s="2" t="s">
        <v>72</v>
      </c>
      <c r="I1597" s="2" t="s">
        <v>4232</v>
      </c>
      <c r="J1597" s="3" t="str">
        <f>HYPERLINK("https://www.boe.es/gazeta/dias/1815/04/22/pdfs/GMD-1815-49.pdf#page=8","Abrir facsímil")</f>
        <v>Abrir facsímil</v>
      </c>
      <c r="K1597" s="3" t="s">
        <v>74</v>
      </c>
    </row>
    <row r="1598" spans="1:11" ht="42" customHeight="1">
      <c r="A1598" s="2" t="s">
        <v>4230</v>
      </c>
      <c r="B1598" s="2" t="s">
        <v>4230</v>
      </c>
      <c r="C1598" s="2" t="s">
        <v>31</v>
      </c>
      <c r="D1598" s="2" t="s">
        <v>32</v>
      </c>
      <c r="E1598" s="5">
        <v>-30884</v>
      </c>
      <c r="F1598" s="3" t="s">
        <v>136</v>
      </c>
      <c r="G1598" s="3" t="s">
        <v>71</v>
      </c>
      <c r="H1598" s="2" t="s">
        <v>72</v>
      </c>
      <c r="I1598" s="2" t="s">
        <v>4233</v>
      </c>
      <c r="J1598" s="3" t="str">
        <f>HYPERLINK("https://www.boe.es/gazeta/dias/1815/06/10/pdfs/GMD-1815-70.pdf#page=7","Abrir facsímil")</f>
        <v>Abrir facsímil</v>
      </c>
      <c r="K1598" s="3" t="s">
        <v>74</v>
      </c>
    </row>
    <row r="1599" spans="1:11" ht="42" customHeight="1">
      <c r="A1599" s="2" t="s">
        <v>4230</v>
      </c>
      <c r="B1599" s="2" t="s">
        <v>4230</v>
      </c>
      <c r="C1599" s="2" t="s">
        <v>31</v>
      </c>
      <c r="D1599" s="2" t="s">
        <v>32</v>
      </c>
      <c r="E1599" s="5">
        <v>-30751</v>
      </c>
      <c r="F1599" s="3" t="s">
        <v>819</v>
      </c>
      <c r="G1599" s="3" t="s">
        <v>97</v>
      </c>
      <c r="H1599" s="2" t="s">
        <v>72</v>
      </c>
      <c r="I1599" s="2" t="s">
        <v>4234</v>
      </c>
      <c r="J1599" s="3" t="str">
        <f>HYPERLINK("https://www.boe.es/gazeta/dias/1815/10/21/pdfs/GMD-1815-132.pdf#page=3","Abrir facsímil")</f>
        <v>Abrir facsímil</v>
      </c>
      <c r="K1599" s="3" t="s">
        <v>74</v>
      </c>
    </row>
    <row r="1600" spans="1:11" ht="42" customHeight="1">
      <c r="A1600" s="2" t="s">
        <v>4235</v>
      </c>
      <c r="B1600" s="2" t="s">
        <v>4236</v>
      </c>
      <c r="C1600" s="2" t="s">
        <v>31</v>
      </c>
      <c r="D1600" s="2" t="s">
        <v>32</v>
      </c>
      <c r="E1600" s="5">
        <v>-30830</v>
      </c>
      <c r="F1600" s="3" t="s">
        <v>33</v>
      </c>
      <c r="G1600" s="3" t="s">
        <v>71</v>
      </c>
      <c r="H1600" s="2" t="s">
        <v>72</v>
      </c>
      <c r="I1600" s="2" t="s">
        <v>4237</v>
      </c>
      <c r="J1600" s="3" t="str">
        <f>HYPERLINK("https://www.boe.es/gazeta/dias/1815/08/03/pdfs/GMD-1815-95.pdf#page=7","Abrir facsímil")</f>
        <v>Abrir facsímil</v>
      </c>
      <c r="K1600" s="3" t="s">
        <v>74</v>
      </c>
    </row>
    <row r="1601" spans="1:11" ht="42" customHeight="1">
      <c r="A1601" s="2" t="s">
        <v>4238</v>
      </c>
      <c r="B1601" s="2" t="s">
        <v>4238</v>
      </c>
      <c r="C1601" s="2" t="s">
        <v>49</v>
      </c>
      <c r="D1601" s="2" t="s">
        <v>50</v>
      </c>
      <c r="E1601" s="5">
        <v>-30818</v>
      </c>
      <c r="F1601" s="3" t="s">
        <v>334</v>
      </c>
      <c r="G1601" s="3" t="s">
        <v>20</v>
      </c>
      <c r="H1601" s="2" t="s">
        <v>72</v>
      </c>
      <c r="I1601" s="2" t="s">
        <v>4239</v>
      </c>
      <c r="J1601" s="3" t="str">
        <f>HYPERLINK("https://www.boe.es/gazeta/dias/1815/08/15/pdfs/GMD-1815-100.pdf#page=4","Abrir facsímil")</f>
        <v>Abrir facsímil</v>
      </c>
      <c r="K1601" s="3" t="s">
        <v>74</v>
      </c>
    </row>
    <row r="1602" spans="1:11" ht="42" customHeight="1">
      <c r="A1602" s="2" t="s">
        <v>4240</v>
      </c>
      <c r="B1602" s="2" t="s">
        <v>4240</v>
      </c>
      <c r="C1602" s="2" t="s">
        <v>17</v>
      </c>
      <c r="D1602" s="2" t="s">
        <v>18</v>
      </c>
      <c r="E1602" s="5">
        <v>-31024</v>
      </c>
      <c r="F1602" s="3" t="s">
        <v>101</v>
      </c>
      <c r="G1602" s="3" t="s">
        <v>57</v>
      </c>
      <c r="H1602" s="2" t="s">
        <v>72</v>
      </c>
      <c r="I1602" s="2" t="s">
        <v>4241</v>
      </c>
      <c r="J1602" s="3" t="str">
        <f>HYPERLINK("https://www.boe.es/gazeta/dias/1815/01/21/pdfs/GMD-1815-9.pdf#page=5","Abrir facsímil")</f>
        <v>Abrir facsímil</v>
      </c>
      <c r="K1602" s="3" t="s">
        <v>74</v>
      </c>
    </row>
    <row r="1603" spans="1:11" ht="42" customHeight="1">
      <c r="A1603" s="2" t="s">
        <v>4240</v>
      </c>
      <c r="B1603" s="2" t="s">
        <v>4240</v>
      </c>
      <c r="C1603" s="2" t="s">
        <v>31</v>
      </c>
      <c r="D1603" s="2" t="s">
        <v>32</v>
      </c>
      <c r="E1603" s="5">
        <v>-30846</v>
      </c>
      <c r="F1603" s="3" t="s">
        <v>858</v>
      </c>
      <c r="G1603" s="3" t="s">
        <v>97</v>
      </c>
      <c r="H1603" s="2" t="s">
        <v>72</v>
      </c>
      <c r="I1603" s="2" t="s">
        <v>4242</v>
      </c>
      <c r="J1603" s="3" t="str">
        <f>HYPERLINK("https://www.boe.es/gazeta/dias/1815/07/18/pdfs/GMD-1815-88.pdf#page=3","Abrir facsímil")</f>
        <v>Abrir facsímil</v>
      </c>
      <c r="K1603" s="3" t="s">
        <v>74</v>
      </c>
    </row>
    <row r="1604" spans="1:11" ht="42" customHeight="1">
      <c r="A1604" s="2" t="s">
        <v>4240</v>
      </c>
      <c r="B1604" s="2" t="s">
        <v>4240</v>
      </c>
      <c r="C1604" s="2" t="s">
        <v>17</v>
      </c>
      <c r="D1604" s="2" t="s">
        <v>18</v>
      </c>
      <c r="E1604" s="5">
        <v>-30711</v>
      </c>
      <c r="F1604" s="3" t="s">
        <v>438</v>
      </c>
      <c r="G1604" s="3" t="s">
        <v>57</v>
      </c>
      <c r="H1604" s="2" t="s">
        <v>72</v>
      </c>
      <c r="I1604" s="2" t="s">
        <v>4243</v>
      </c>
      <c r="J1604" s="3" t="str">
        <f>HYPERLINK("https://www.boe.es/gazeta/dias/1815/11/30/pdfs/GMD-1815-149.pdf#page=5","Abrir facsímil")</f>
        <v>Abrir facsímil</v>
      </c>
      <c r="K1604" s="3" t="s">
        <v>74</v>
      </c>
    </row>
    <row r="1605" spans="1:11" ht="42" customHeight="1">
      <c r="A1605" s="2" t="s">
        <v>4240</v>
      </c>
      <c r="B1605" s="2" t="s">
        <v>4240</v>
      </c>
      <c r="C1605" s="2" t="s">
        <v>131</v>
      </c>
      <c r="D1605" s="2" t="s">
        <v>50</v>
      </c>
      <c r="E1605" s="5">
        <v>-30690</v>
      </c>
      <c r="F1605" s="3" t="s">
        <v>1449</v>
      </c>
      <c r="G1605" s="3" t="s">
        <v>97</v>
      </c>
      <c r="H1605" s="2" t="s">
        <v>72</v>
      </c>
      <c r="I1605" s="2" t="s">
        <v>4244</v>
      </c>
      <c r="J1605" s="3" t="str">
        <f>HYPERLINK("https://www.boe.es/gazeta/dias/1815/12/21/pdfs/GMD-1815-158.pdf#page=3","Abrir facsímil")</f>
        <v>Abrir facsímil</v>
      </c>
      <c r="K1605" s="3" t="s">
        <v>74</v>
      </c>
    </row>
    <row r="1606" spans="1:11" ht="42" customHeight="1">
      <c r="A1606" s="2" t="s">
        <v>4245</v>
      </c>
      <c r="B1606" s="2" t="s">
        <v>4246</v>
      </c>
      <c r="C1606" s="2" t="s">
        <v>17</v>
      </c>
      <c r="D1606" s="2" t="s">
        <v>18</v>
      </c>
      <c r="E1606" s="5">
        <v>-30872</v>
      </c>
      <c r="F1606" s="3" t="s">
        <v>167</v>
      </c>
      <c r="G1606" s="3" t="s">
        <v>342</v>
      </c>
      <c r="H1606" s="2" t="s">
        <v>72</v>
      </c>
      <c r="I1606" s="2" t="s">
        <v>4247</v>
      </c>
      <c r="J1606" s="3" t="str">
        <f>HYPERLINK("https://www.boe.es/gazeta/dias/1815/06/22/pdfs/GMD-1815-75.pdf#page=8","Abrir facsímil")</f>
        <v>Abrir facsímil</v>
      </c>
      <c r="K1606" s="3" t="s">
        <v>74</v>
      </c>
    </row>
    <row r="1607" spans="1:11" ht="42" customHeight="1">
      <c r="A1607" s="2" t="s">
        <v>4248</v>
      </c>
      <c r="B1607" s="2" t="s">
        <v>4249</v>
      </c>
      <c r="C1607" s="2" t="s">
        <v>49</v>
      </c>
      <c r="D1607" s="2" t="s">
        <v>50</v>
      </c>
      <c r="E1607" s="5">
        <v>-30767</v>
      </c>
      <c r="F1607" s="3" t="s">
        <v>228</v>
      </c>
      <c r="G1607" s="3" t="s">
        <v>88</v>
      </c>
      <c r="H1607" s="2" t="s">
        <v>72</v>
      </c>
      <c r="I1607" s="2" t="s">
        <v>4250</v>
      </c>
      <c r="J1607" s="3" t="str">
        <f>HYPERLINK("https://www.boe.es/gazeta/dias/1815/10/05/pdfs/GMD-1815-125.pdf#page=10","Abrir facsímil")</f>
        <v>Abrir facsímil</v>
      </c>
      <c r="K1607" s="3" t="s">
        <v>74</v>
      </c>
    </row>
    <row r="1608" spans="1:11" ht="42" customHeight="1">
      <c r="A1608" s="2" t="s">
        <v>4251</v>
      </c>
      <c r="B1608" s="2" t="s">
        <v>4252</v>
      </c>
      <c r="C1608" s="2" t="s">
        <v>195</v>
      </c>
      <c r="D1608" s="2" t="s">
        <v>50</v>
      </c>
      <c r="E1608" s="5">
        <v>-30900</v>
      </c>
      <c r="F1608" s="3" t="s">
        <v>921</v>
      </c>
      <c r="G1608" s="3" t="s">
        <v>88</v>
      </c>
      <c r="H1608" s="2" t="s">
        <v>72</v>
      </c>
      <c r="I1608" s="2" t="s">
        <v>4253</v>
      </c>
      <c r="J1608" s="3" t="str">
        <f>HYPERLINK("https://www.boe.es/gazeta/dias/1815/05/25/pdfs/GMD-1815-63.pdf#page=10","Abrir facsímil")</f>
        <v>Abrir facsímil</v>
      </c>
      <c r="K1608" s="3" t="s">
        <v>74</v>
      </c>
    </row>
    <row r="1609" spans="1:11" ht="42" customHeight="1">
      <c r="A1609" s="2" t="s">
        <v>4254</v>
      </c>
      <c r="B1609" s="2" t="s">
        <v>4255</v>
      </c>
      <c r="C1609" s="2" t="s">
        <v>31</v>
      </c>
      <c r="D1609" s="2" t="s">
        <v>32</v>
      </c>
      <c r="E1609" s="5">
        <v>-30982</v>
      </c>
      <c r="F1609" s="3" t="s">
        <v>220</v>
      </c>
      <c r="G1609" s="3" t="s">
        <v>57</v>
      </c>
      <c r="H1609" s="2" t="s">
        <v>72</v>
      </c>
      <c r="I1609" s="2" t="s">
        <v>4256</v>
      </c>
      <c r="J1609" s="3" t="str">
        <f>HYPERLINK("https://www.boe.es/gazeta/dias/1815/03/04/pdfs/GMD-1815-27.pdf#page=5","Abrir facsímil")</f>
        <v>Abrir facsímil</v>
      </c>
      <c r="K1609" s="3" t="s">
        <v>74</v>
      </c>
    </row>
    <row r="1610" spans="1:11" ht="42" customHeight="1">
      <c r="A1610" s="2" t="s">
        <v>4257</v>
      </c>
      <c r="B1610" s="2" t="s">
        <v>4258</v>
      </c>
      <c r="C1610" s="2" t="s">
        <v>195</v>
      </c>
      <c r="D1610" s="2" t="s">
        <v>50</v>
      </c>
      <c r="E1610" s="5">
        <v>-30921</v>
      </c>
      <c r="F1610" s="3" t="s">
        <v>191</v>
      </c>
      <c r="G1610" s="3" t="s">
        <v>38</v>
      </c>
      <c r="H1610" s="2" t="s">
        <v>72</v>
      </c>
      <c r="I1610" s="2" t="s">
        <v>4259</v>
      </c>
      <c r="J1610" s="3" t="str">
        <f>HYPERLINK("https://www.boe.es/gazeta/dias/1815/05/04/pdfs/GMD-1815-54.pdf#page=8","Abrir facsímil")</f>
        <v>Abrir facsímil</v>
      </c>
      <c r="K1610" s="3" t="s">
        <v>74</v>
      </c>
    </row>
    <row r="1611" spans="1:11" ht="42" customHeight="1">
      <c r="A1611" s="2" t="s">
        <v>4260</v>
      </c>
      <c r="B1611" s="2" t="s">
        <v>4260</v>
      </c>
      <c r="C1611" s="2" t="s">
        <v>49</v>
      </c>
      <c r="D1611" s="2" t="s">
        <v>50</v>
      </c>
      <c r="E1611" s="5">
        <v>-30977</v>
      </c>
      <c r="F1611" s="3" t="s">
        <v>37</v>
      </c>
      <c r="G1611" s="3" t="s">
        <v>410</v>
      </c>
      <c r="H1611" s="2" t="s">
        <v>72</v>
      </c>
      <c r="I1611" s="2" t="s">
        <v>4261</v>
      </c>
      <c r="J1611" s="3" t="str">
        <f>HYPERLINK("https://www.boe.es/gazeta/dias/1815/03/09/pdfs/GMD-1815-29.pdf#page=1","Abrir facsímil")</f>
        <v>Abrir facsímil</v>
      </c>
      <c r="K1611" s="3" t="s">
        <v>74</v>
      </c>
    </row>
    <row r="1612" spans="1:11" ht="42" customHeight="1">
      <c r="A1612" s="2" t="s">
        <v>4262</v>
      </c>
      <c r="B1612" s="2" t="s">
        <v>4262</v>
      </c>
      <c r="C1612" s="2" t="s">
        <v>897</v>
      </c>
      <c r="D1612" s="2" t="s">
        <v>50</v>
      </c>
      <c r="E1612" s="5">
        <v>-30886</v>
      </c>
      <c r="F1612" s="3" t="s">
        <v>140</v>
      </c>
      <c r="G1612" s="3" t="s">
        <v>377</v>
      </c>
      <c r="H1612" s="2" t="s">
        <v>72</v>
      </c>
      <c r="I1612" s="2" t="s">
        <v>4263</v>
      </c>
      <c r="J1612" s="3" t="str">
        <f>HYPERLINK("https://www.boe.es/gazeta/dias/1815/06/08/pdfs/GMD-1815-69.pdf#page=2","Abrir facsímil")</f>
        <v>Abrir facsímil</v>
      </c>
      <c r="K1612" s="3" t="s">
        <v>74</v>
      </c>
    </row>
    <row r="1613" spans="1:11" ht="42" customHeight="1">
      <c r="A1613" s="2" t="s">
        <v>4264</v>
      </c>
      <c r="B1613" s="2" t="s">
        <v>4264</v>
      </c>
      <c r="C1613" s="2" t="s">
        <v>31</v>
      </c>
      <c r="D1613" s="2" t="s">
        <v>32</v>
      </c>
      <c r="E1613" s="5">
        <v>-30765</v>
      </c>
      <c r="F1613" s="3" t="s">
        <v>2150</v>
      </c>
      <c r="G1613" s="3" t="s">
        <v>377</v>
      </c>
      <c r="H1613" s="2" t="s">
        <v>72</v>
      </c>
      <c r="I1613" s="2" t="s">
        <v>4265</v>
      </c>
      <c r="J1613" s="3" t="str">
        <f>HYPERLINK("https://www.boe.es/gazeta/dias/1815/10/07/pdfs/GMD-1815-126.pdf#page=2","Abrir facsímil")</f>
        <v>Abrir facsímil</v>
      </c>
      <c r="K1613" s="3" t="s">
        <v>74</v>
      </c>
    </row>
    <row r="1614" spans="1:11" ht="42" customHeight="1">
      <c r="A1614" s="2" t="s">
        <v>4266</v>
      </c>
      <c r="B1614" s="2" t="s">
        <v>4267</v>
      </c>
      <c r="C1614" s="2" t="s">
        <v>31</v>
      </c>
      <c r="D1614" s="2" t="s">
        <v>32</v>
      </c>
      <c r="E1614" s="5">
        <v>-30842</v>
      </c>
      <c r="F1614" s="3" t="s">
        <v>126</v>
      </c>
      <c r="G1614" s="3" t="s">
        <v>20</v>
      </c>
      <c r="H1614" s="2" t="s">
        <v>72</v>
      </c>
      <c r="I1614" s="2" t="s">
        <v>4268</v>
      </c>
      <c r="J1614" s="3" t="str">
        <f>HYPERLINK("https://www.boe.es/gazeta/dias/1815/07/22/pdfs/GMD-1815-90.pdf#page=4","Abrir facsímil")</f>
        <v>Abrir facsímil</v>
      </c>
      <c r="K1614" s="3" t="s">
        <v>74</v>
      </c>
    </row>
    <row r="1615" spans="1:11" ht="42" customHeight="1">
      <c r="A1615" s="2" t="s">
        <v>4269</v>
      </c>
      <c r="B1615" s="2" t="s">
        <v>4269</v>
      </c>
      <c r="C1615" s="2" t="s">
        <v>31</v>
      </c>
      <c r="D1615" s="2" t="s">
        <v>179</v>
      </c>
      <c r="E1615" s="5">
        <v>-30860</v>
      </c>
      <c r="F1615" s="3" t="s">
        <v>180</v>
      </c>
      <c r="G1615" s="3" t="s">
        <v>71</v>
      </c>
      <c r="H1615" s="2" t="s">
        <v>72</v>
      </c>
      <c r="I1615" s="2" t="s">
        <v>4270</v>
      </c>
      <c r="J1615" s="3" t="str">
        <f>HYPERLINK("https://www.boe.es/gazeta/dias/1815/07/04/pdfs/GMD-1815-82E.pdf#page=7","Abrir facsímil")</f>
        <v>Abrir facsímil</v>
      </c>
      <c r="K1615" s="3" t="s">
        <v>74</v>
      </c>
    </row>
    <row r="1616" spans="1:11" ht="42" customHeight="1">
      <c r="A1616" s="2" t="s">
        <v>4271</v>
      </c>
      <c r="B1616" s="2" t="s">
        <v>4271</v>
      </c>
      <c r="C1616" s="2" t="s">
        <v>31</v>
      </c>
      <c r="D1616" s="2" t="s">
        <v>32</v>
      </c>
      <c r="E1616" s="5">
        <v>-30839</v>
      </c>
      <c r="F1616" s="3" t="s">
        <v>616</v>
      </c>
      <c r="G1616" s="3" t="s">
        <v>97</v>
      </c>
      <c r="H1616" s="2" t="s">
        <v>72</v>
      </c>
      <c r="I1616" s="2" t="s">
        <v>4272</v>
      </c>
      <c r="J1616" s="3" t="str">
        <f>HYPERLINK("https://www.boe.es/gazeta/dias/1815/07/25/pdfs/GMD-1815-91.pdf#page=3","Abrir facsímil")</f>
        <v>Abrir facsímil</v>
      </c>
      <c r="K1616" s="3" t="s">
        <v>74</v>
      </c>
    </row>
    <row r="1617" spans="1:11" ht="42" customHeight="1">
      <c r="A1617" s="2" t="s">
        <v>4273</v>
      </c>
      <c r="B1617" s="2" t="s">
        <v>4274</v>
      </c>
      <c r="C1617" s="2" t="s">
        <v>31</v>
      </c>
      <c r="D1617" s="2" t="s">
        <v>32</v>
      </c>
      <c r="E1617" s="5">
        <v>-30968</v>
      </c>
      <c r="F1617" s="3" t="s">
        <v>2695</v>
      </c>
      <c r="G1617" s="3" t="s">
        <v>71</v>
      </c>
      <c r="H1617" s="2" t="s">
        <v>72</v>
      </c>
      <c r="I1617" s="2" t="s">
        <v>4275</v>
      </c>
      <c r="J1617" s="3" t="str">
        <f>HYPERLINK("https://www.boe.es/gazeta/dias/1815/03/18/pdfs/GMD-1815-33.pdf#page=7","Abrir facsímil")</f>
        <v>Abrir facsímil</v>
      </c>
      <c r="K1617" s="3" t="s">
        <v>74</v>
      </c>
    </row>
    <row r="1618" spans="1:11" ht="42" customHeight="1">
      <c r="A1618" s="2" t="s">
        <v>4276</v>
      </c>
      <c r="B1618" s="2" t="s">
        <v>4277</v>
      </c>
      <c r="C1618" s="2" t="s">
        <v>49</v>
      </c>
      <c r="D1618" s="2" t="s">
        <v>50</v>
      </c>
      <c r="E1618" s="5">
        <v>-30835</v>
      </c>
      <c r="F1618" s="3" t="s">
        <v>544</v>
      </c>
      <c r="G1618" s="3" t="s">
        <v>88</v>
      </c>
      <c r="H1618" s="2" t="s">
        <v>72</v>
      </c>
      <c r="I1618" s="2" t="s">
        <v>4278</v>
      </c>
      <c r="J1618" s="3" t="str">
        <f>HYPERLINK("https://www.boe.es/gazeta/dias/1815/07/29/pdfs/GMD-1815-93.pdf#page=10","Abrir facsímil")</f>
        <v>Abrir facsímil</v>
      </c>
      <c r="K1618" s="3" t="s">
        <v>74</v>
      </c>
    </row>
    <row r="1619" spans="1:11" ht="42" customHeight="1">
      <c r="A1619" s="2" t="s">
        <v>4279</v>
      </c>
      <c r="B1619" s="2" t="s">
        <v>4280</v>
      </c>
      <c r="C1619" s="2" t="s">
        <v>49</v>
      </c>
      <c r="D1619" s="2" t="s">
        <v>50</v>
      </c>
      <c r="E1619" s="5">
        <v>-30818</v>
      </c>
      <c r="F1619" s="3" t="s">
        <v>334</v>
      </c>
      <c r="G1619" s="3" t="s">
        <v>224</v>
      </c>
      <c r="H1619" s="2" t="s">
        <v>72</v>
      </c>
      <c r="I1619" s="2" t="s">
        <v>4281</v>
      </c>
      <c r="J1619" s="3" t="str">
        <f>HYPERLINK("https://www.boe.es/gazeta/dias/1815/08/15/pdfs/GMD-1815-100.pdf#page=9","Abrir facsímil")</f>
        <v>Abrir facsímil</v>
      </c>
      <c r="K1619" s="3" t="s">
        <v>74</v>
      </c>
    </row>
    <row r="1620" spans="1:11" ht="42" customHeight="1">
      <c r="A1620" s="2" t="s">
        <v>4282</v>
      </c>
      <c r="B1620" s="2" t="s">
        <v>4283</v>
      </c>
      <c r="C1620" s="2" t="s">
        <v>31</v>
      </c>
      <c r="D1620" s="2" t="s">
        <v>32</v>
      </c>
      <c r="E1620" s="5">
        <v>-30907</v>
      </c>
      <c r="F1620" s="3" t="s">
        <v>301</v>
      </c>
      <c r="G1620" s="3" t="s">
        <v>71</v>
      </c>
      <c r="H1620" s="2" t="s">
        <v>21</v>
      </c>
      <c r="I1620" s="2" t="s">
        <v>4284</v>
      </c>
      <c r="J1620" s="3" t="str">
        <f>HYPERLINK("https://www.boe.es/gazeta/dias/1815/05/18/pdfs/GMD-1815-60.pdf#page=7","Abrir facsímil")</f>
        <v>Abrir facsímil</v>
      </c>
      <c r="K1620" s="3" t="s">
        <v>23</v>
      </c>
    </row>
    <row r="1621" spans="1:11" ht="42" customHeight="1">
      <c r="A1621" s="2" t="s">
        <v>4285</v>
      </c>
      <c r="B1621" s="2" t="s">
        <v>4286</v>
      </c>
      <c r="C1621" s="2" t="s">
        <v>17</v>
      </c>
      <c r="D1621" s="2" t="s">
        <v>18</v>
      </c>
      <c r="E1621" s="5">
        <v>-30968</v>
      </c>
      <c r="F1621" s="3" t="s">
        <v>2695</v>
      </c>
      <c r="G1621" s="3" t="s">
        <v>71</v>
      </c>
      <c r="H1621" s="2" t="s">
        <v>72</v>
      </c>
      <c r="I1621" s="2" t="s">
        <v>4287</v>
      </c>
      <c r="J1621" s="3" t="str">
        <f>HYPERLINK("https://www.boe.es/gazeta/dias/1815/03/18/pdfs/GMD-1815-33.pdf#page=7","Abrir facsímil")</f>
        <v>Abrir facsímil</v>
      </c>
      <c r="K1621" s="3" t="s">
        <v>74</v>
      </c>
    </row>
    <row r="1622" spans="1:11" ht="42" customHeight="1">
      <c r="A1622" s="2" t="s">
        <v>4285</v>
      </c>
      <c r="B1622" s="2" t="s">
        <v>4286</v>
      </c>
      <c r="C1622" s="2" t="s">
        <v>31</v>
      </c>
      <c r="D1622" s="2" t="s">
        <v>32</v>
      </c>
      <c r="E1622" s="5">
        <v>-30884</v>
      </c>
      <c r="F1622" s="3" t="s">
        <v>136</v>
      </c>
      <c r="G1622" s="3" t="s">
        <v>71</v>
      </c>
      <c r="H1622" s="2" t="s">
        <v>72</v>
      </c>
      <c r="I1622" s="2" t="s">
        <v>4288</v>
      </c>
      <c r="J1622" s="3" t="str">
        <f>HYPERLINK("https://www.boe.es/gazeta/dias/1815/06/10/pdfs/GMD-1815-70.pdf#page=7","Abrir facsímil")</f>
        <v>Abrir facsímil</v>
      </c>
      <c r="K1622" s="3" t="s">
        <v>74</v>
      </c>
    </row>
    <row r="1623" spans="1:11" ht="42" customHeight="1">
      <c r="A1623" s="2" t="s">
        <v>4285</v>
      </c>
      <c r="B1623" s="2" t="s">
        <v>4286</v>
      </c>
      <c r="C1623" s="2" t="s">
        <v>17</v>
      </c>
      <c r="D1623" s="2" t="s">
        <v>18</v>
      </c>
      <c r="E1623" s="5">
        <v>-30760</v>
      </c>
      <c r="F1623" s="3" t="s">
        <v>349</v>
      </c>
      <c r="G1623" s="3" t="s">
        <v>27</v>
      </c>
      <c r="H1623" s="2" t="s">
        <v>72</v>
      </c>
      <c r="I1623" s="2" t="s">
        <v>4289</v>
      </c>
      <c r="J1623" s="3" t="str">
        <f>HYPERLINK("https://www.boe.es/gazeta/dias/1815/10/12/pdfs/GMD-1815-128.pdf#page=6","Abrir facsímil")</f>
        <v>Abrir facsímil</v>
      </c>
      <c r="K1623" s="3" t="s">
        <v>74</v>
      </c>
    </row>
    <row r="1624" spans="1:11" ht="42" customHeight="1">
      <c r="A1624" s="2" t="s">
        <v>4290</v>
      </c>
      <c r="B1624" s="2" t="s">
        <v>4291</v>
      </c>
      <c r="C1624" s="2" t="s">
        <v>31</v>
      </c>
      <c r="D1624" s="2" t="s">
        <v>32</v>
      </c>
      <c r="E1624" s="5">
        <v>-31038</v>
      </c>
      <c r="F1624" s="3" t="s">
        <v>395</v>
      </c>
      <c r="G1624" s="3" t="s">
        <v>396</v>
      </c>
      <c r="H1624" s="2" t="s">
        <v>72</v>
      </c>
      <c r="I1624" s="2" t="s">
        <v>4292</v>
      </c>
      <c r="J1624" s="3" t="str">
        <f>HYPERLINK("https://www.boe.es/gazeta/dias/1815/01/07/pdfs/GMD-1815-3.pdf#page=5","Abrir facsímil")</f>
        <v>Abrir facsímil</v>
      </c>
      <c r="K1624" s="3" t="s">
        <v>74</v>
      </c>
    </row>
    <row r="1625" spans="1:11" ht="42" customHeight="1">
      <c r="A1625" s="2" t="s">
        <v>4293</v>
      </c>
      <c r="B1625" s="2" t="s">
        <v>4293</v>
      </c>
      <c r="C1625" s="2" t="s">
        <v>31</v>
      </c>
      <c r="D1625" s="2" t="s">
        <v>32</v>
      </c>
      <c r="E1625" s="5">
        <v>-30867</v>
      </c>
      <c r="F1625" s="3" t="s">
        <v>3179</v>
      </c>
      <c r="G1625" s="3" t="s">
        <v>97</v>
      </c>
      <c r="H1625" s="2" t="s">
        <v>72</v>
      </c>
      <c r="I1625" s="2" t="s">
        <v>4294</v>
      </c>
      <c r="J1625" s="3" t="str">
        <f>HYPERLINK("https://www.boe.es/gazeta/dias/1815/06/27/pdfs/GMD-1815-77.pdf#page=3","Abrir facsímil")</f>
        <v>Abrir facsímil</v>
      </c>
      <c r="K1625" s="3" t="s">
        <v>74</v>
      </c>
    </row>
    <row r="1626" spans="1:11" ht="42" customHeight="1">
      <c r="A1626" s="2" t="s">
        <v>4295</v>
      </c>
      <c r="B1626" s="2" t="s">
        <v>4296</v>
      </c>
      <c r="C1626" s="2" t="s">
        <v>31</v>
      </c>
      <c r="D1626" s="2" t="s">
        <v>32</v>
      </c>
      <c r="E1626" s="5">
        <v>-30979</v>
      </c>
      <c r="F1626" s="3" t="s">
        <v>56</v>
      </c>
      <c r="G1626" s="3" t="s">
        <v>57</v>
      </c>
      <c r="H1626" s="2" t="s">
        <v>72</v>
      </c>
      <c r="I1626" s="2" t="s">
        <v>4297</v>
      </c>
      <c r="J1626" s="3" t="str">
        <f>HYPERLINK("https://www.boe.es/gazeta/dias/1815/03/07/pdfs/GMD-1815-28.pdf#page=5","Abrir facsímil")</f>
        <v>Abrir facsímil</v>
      </c>
      <c r="K1626" s="3" t="s">
        <v>74</v>
      </c>
    </row>
    <row r="1627" spans="1:11" ht="42" customHeight="1">
      <c r="A1627" s="2" t="s">
        <v>4298</v>
      </c>
      <c r="B1627" s="2" t="s">
        <v>4298</v>
      </c>
      <c r="C1627" s="2" t="s">
        <v>31</v>
      </c>
      <c r="D1627" s="2" t="s">
        <v>32</v>
      </c>
      <c r="E1627" s="5">
        <v>-30788</v>
      </c>
      <c r="F1627" s="3" t="s">
        <v>96</v>
      </c>
      <c r="G1627" s="3" t="s">
        <v>97</v>
      </c>
      <c r="H1627" s="2" t="s">
        <v>72</v>
      </c>
      <c r="I1627" s="2" t="s">
        <v>4299</v>
      </c>
      <c r="J1627" s="3" t="str">
        <f>HYPERLINK("https://www.boe.es/gazeta/dias/1815/09/14/pdfs/GMD-1815-114.pdf#page=3","Abrir facsímil")</f>
        <v>Abrir facsímil</v>
      </c>
      <c r="K1627" s="3" t="s">
        <v>74</v>
      </c>
    </row>
    <row r="1628" spans="1:11" ht="42" customHeight="1">
      <c r="A1628" s="2" t="s">
        <v>4300</v>
      </c>
      <c r="B1628" s="2" t="s">
        <v>4300</v>
      </c>
      <c r="C1628" s="2" t="s">
        <v>31</v>
      </c>
      <c r="D1628" s="2" t="s">
        <v>32</v>
      </c>
      <c r="E1628" s="5">
        <v>-31038</v>
      </c>
      <c r="F1628" s="3" t="s">
        <v>395</v>
      </c>
      <c r="G1628" s="3" t="s">
        <v>410</v>
      </c>
      <c r="H1628" s="2" t="s">
        <v>72</v>
      </c>
      <c r="I1628" s="2" t="s">
        <v>4301</v>
      </c>
      <c r="J1628" s="3" t="str">
        <f>HYPERLINK("https://www.boe.es/gazeta/dias/1815/01/07/pdfs/GMD-1815-3.pdf#page=1","Abrir facsímil")</f>
        <v>Abrir facsímil</v>
      </c>
      <c r="K1628" s="3" t="s">
        <v>74</v>
      </c>
    </row>
    <row r="1629" spans="1:11" ht="42" customHeight="1">
      <c r="A1629" s="2" t="s">
        <v>4302</v>
      </c>
      <c r="B1629" s="2" t="s">
        <v>4302</v>
      </c>
      <c r="C1629" s="2" t="s">
        <v>17</v>
      </c>
      <c r="D1629" s="2" t="s">
        <v>18</v>
      </c>
      <c r="E1629" s="5">
        <v>-31005</v>
      </c>
      <c r="F1629" s="3" t="s">
        <v>576</v>
      </c>
      <c r="G1629" s="3" t="s">
        <v>410</v>
      </c>
      <c r="H1629" s="2" t="s">
        <v>72</v>
      </c>
      <c r="I1629" s="2" t="s">
        <v>4303</v>
      </c>
      <c r="J1629" s="3" t="str">
        <f>HYPERLINK("https://www.boe.es/gazeta/dias/1815/02/09/pdfs/GMD-1815-17.pdf#page=1","Abrir facsímil")</f>
        <v>Abrir facsímil</v>
      </c>
      <c r="K1629" s="3" t="s">
        <v>74</v>
      </c>
    </row>
    <row r="1630" spans="1:11" ht="42" customHeight="1">
      <c r="A1630" s="2" t="s">
        <v>4304</v>
      </c>
      <c r="B1630" s="2" t="s">
        <v>4305</v>
      </c>
      <c r="C1630" s="2" t="s">
        <v>31</v>
      </c>
      <c r="D1630" s="2" t="s">
        <v>32</v>
      </c>
      <c r="E1630" s="5">
        <v>-30942</v>
      </c>
      <c r="F1630" s="3" t="s">
        <v>730</v>
      </c>
      <c r="G1630" s="3" t="s">
        <v>862</v>
      </c>
      <c r="H1630" s="2" t="s">
        <v>72</v>
      </c>
      <c r="I1630" s="2" t="s">
        <v>4306</v>
      </c>
      <c r="J1630" s="3" t="str">
        <f>HYPERLINK("https://www.boe.es/gazeta/dias/1815/04/13/pdfs/GMD-1815-45.pdf#page=6","Abrir facsímil")</f>
        <v>Abrir facsímil</v>
      </c>
      <c r="K1630" s="3" t="s">
        <v>74</v>
      </c>
    </row>
    <row r="1631" spans="1:11" ht="42" customHeight="1">
      <c r="A1631" s="2" t="s">
        <v>4307</v>
      </c>
      <c r="B1631" s="2" t="s">
        <v>4308</v>
      </c>
      <c r="C1631" s="2" t="s">
        <v>31</v>
      </c>
      <c r="D1631" s="2" t="s">
        <v>32</v>
      </c>
      <c r="E1631" s="5">
        <v>-30951</v>
      </c>
      <c r="F1631" s="3" t="s">
        <v>87</v>
      </c>
      <c r="G1631" s="3" t="s">
        <v>71</v>
      </c>
      <c r="H1631" s="2" t="s">
        <v>72</v>
      </c>
      <c r="I1631" s="2" t="s">
        <v>4309</v>
      </c>
      <c r="J1631" s="3" t="str">
        <f>HYPERLINK("https://www.boe.es/gazeta/dias/1815/04/04/pdfs/GMD-1815-41.pdf#page=7","Abrir facsímil")</f>
        <v>Abrir facsímil</v>
      </c>
      <c r="K1631" s="3" t="s">
        <v>74</v>
      </c>
    </row>
    <row r="1632" spans="1:11" ht="42" customHeight="1">
      <c r="A1632" s="2" t="s">
        <v>4310</v>
      </c>
      <c r="B1632" s="2" t="s">
        <v>4311</v>
      </c>
      <c r="C1632" s="2" t="s">
        <v>31</v>
      </c>
      <c r="D1632" s="2" t="s">
        <v>32</v>
      </c>
      <c r="E1632" s="5">
        <v>-30741</v>
      </c>
      <c r="F1632" s="3" t="s">
        <v>1000</v>
      </c>
      <c r="G1632" s="3" t="s">
        <v>71</v>
      </c>
      <c r="H1632" s="2" t="s">
        <v>72</v>
      </c>
      <c r="I1632" s="2" t="s">
        <v>4312</v>
      </c>
      <c r="J1632" s="3" t="str">
        <f>HYPERLINK("https://www.boe.es/gazeta/dias/1815/10/31/pdfs/GMD-1815-136.pdf#page=7","Abrir facsímil")</f>
        <v>Abrir facsímil</v>
      </c>
      <c r="K1632" s="3" t="s">
        <v>74</v>
      </c>
    </row>
    <row r="1633" spans="1:11" ht="42" customHeight="1">
      <c r="A1633" s="2" t="s">
        <v>4313</v>
      </c>
      <c r="B1633" s="2" t="s">
        <v>4314</v>
      </c>
      <c r="C1633" s="2" t="s">
        <v>49</v>
      </c>
      <c r="D1633" s="2" t="s">
        <v>50</v>
      </c>
      <c r="E1633" s="5">
        <v>-31040</v>
      </c>
      <c r="F1633" s="3" t="s">
        <v>326</v>
      </c>
      <c r="G1633" s="3" t="s">
        <v>27</v>
      </c>
      <c r="H1633" s="2" t="s">
        <v>72</v>
      </c>
      <c r="I1633" s="2" t="s">
        <v>4315</v>
      </c>
      <c r="J1633" s="3" t="str">
        <f>HYPERLINK("https://www.boe.es/gazeta/dias/1815/01/05/pdfs/GMD-1815-2.pdf#page=6","Abrir facsímil")</f>
        <v>Abrir facsímil</v>
      </c>
      <c r="K1633" s="3" t="s">
        <v>74</v>
      </c>
    </row>
    <row r="1634" spans="1:11" ht="42" customHeight="1">
      <c r="A1634" s="2" t="s">
        <v>4316</v>
      </c>
      <c r="B1634" s="2" t="s">
        <v>4317</v>
      </c>
      <c r="C1634" s="2" t="s">
        <v>31</v>
      </c>
      <c r="D1634" s="2" t="s">
        <v>32</v>
      </c>
      <c r="E1634" s="5">
        <v>-30928</v>
      </c>
      <c r="F1634" s="3" t="s">
        <v>330</v>
      </c>
      <c r="G1634" s="3" t="s">
        <v>71</v>
      </c>
      <c r="H1634" s="2" t="s">
        <v>72</v>
      </c>
      <c r="I1634" s="2" t="s">
        <v>4318</v>
      </c>
      <c r="J1634" s="3" t="str">
        <f>HYPERLINK("https://www.boe.es/gazeta/dias/1815/04/27/pdfs/GMD-1815-51.pdf#page=7","Abrir facsímil")</f>
        <v>Abrir facsímil</v>
      </c>
      <c r="K1634" s="3" t="s">
        <v>74</v>
      </c>
    </row>
    <row r="1635" spans="1:11" ht="42" customHeight="1">
      <c r="A1635" s="2" t="s">
        <v>4319</v>
      </c>
      <c r="B1635" s="2" t="s">
        <v>4320</v>
      </c>
      <c r="C1635" s="2" t="s">
        <v>49</v>
      </c>
      <c r="D1635" s="2" t="s">
        <v>50</v>
      </c>
      <c r="E1635" s="5">
        <v>-30865</v>
      </c>
      <c r="F1635" s="3" t="s">
        <v>163</v>
      </c>
      <c r="G1635" s="3" t="s">
        <v>71</v>
      </c>
      <c r="H1635" s="2" t="s">
        <v>72</v>
      </c>
      <c r="I1635" s="2" t="s">
        <v>4321</v>
      </c>
      <c r="J1635" s="3" t="str">
        <f>HYPERLINK("https://www.boe.es/gazeta/dias/1815/06/29/pdfs/GMD-1815-78.pdf#page=7","Abrir facsímil")</f>
        <v>Abrir facsímil</v>
      </c>
      <c r="K1635" s="3" t="s">
        <v>74</v>
      </c>
    </row>
    <row r="1636" spans="1:11" ht="42" customHeight="1">
      <c r="A1636" s="2" t="s">
        <v>4322</v>
      </c>
      <c r="B1636" s="2" t="s">
        <v>4323</v>
      </c>
      <c r="C1636" s="2" t="s">
        <v>195</v>
      </c>
      <c r="D1636" s="2" t="s">
        <v>50</v>
      </c>
      <c r="E1636" s="5">
        <v>-30727</v>
      </c>
      <c r="F1636" s="3" t="s">
        <v>262</v>
      </c>
      <c r="G1636" s="3" t="s">
        <v>38</v>
      </c>
      <c r="H1636" s="2" t="s">
        <v>72</v>
      </c>
      <c r="I1636" s="2" t="s">
        <v>4324</v>
      </c>
      <c r="J1636" s="3" t="str">
        <f>HYPERLINK("https://www.boe.es/gazeta/dias/1815/11/14/pdfs/GMD-1815-142.pdf#page=8","Abrir facsímil")</f>
        <v>Abrir facsímil</v>
      </c>
      <c r="K1636" s="3" t="s">
        <v>74</v>
      </c>
    </row>
    <row r="1637" spans="1:11" ht="42" customHeight="1">
      <c r="A1637" s="2" t="s">
        <v>4325</v>
      </c>
      <c r="B1637" s="2" t="s">
        <v>4326</v>
      </c>
      <c r="C1637" s="2" t="s">
        <v>81</v>
      </c>
      <c r="D1637" s="2" t="s">
        <v>50</v>
      </c>
      <c r="E1637" s="5">
        <v>-30914</v>
      </c>
      <c r="F1637" s="3" t="s">
        <v>338</v>
      </c>
      <c r="G1637" s="3" t="s">
        <v>38</v>
      </c>
      <c r="H1637" s="2" t="s">
        <v>21</v>
      </c>
      <c r="I1637" s="2" t="s">
        <v>4327</v>
      </c>
      <c r="J1637" s="3" t="str">
        <f>HYPERLINK("https://www.boe.es/gazeta/dias/1815/05/11/pdfs/GMD-1815-57.pdf#page=8","Abrir facsímil")</f>
        <v>Abrir facsímil</v>
      </c>
      <c r="K1637" s="3" t="s">
        <v>23</v>
      </c>
    </row>
    <row r="1638" spans="1:11" ht="42" customHeight="1">
      <c r="A1638" s="2" t="s">
        <v>4328</v>
      </c>
      <c r="B1638" s="2" t="s">
        <v>4329</v>
      </c>
      <c r="C1638" s="2" t="s">
        <v>17</v>
      </c>
      <c r="D1638" s="2" t="s">
        <v>18</v>
      </c>
      <c r="E1638" s="5">
        <v>-30800</v>
      </c>
      <c r="F1638" s="3" t="s">
        <v>26</v>
      </c>
      <c r="G1638" s="3" t="s">
        <v>27</v>
      </c>
      <c r="H1638" s="2" t="s">
        <v>72</v>
      </c>
      <c r="I1638" s="2" t="s">
        <v>4330</v>
      </c>
      <c r="J1638" s="3" t="str">
        <f>HYPERLINK("https://www.boe.es/gazeta/dias/1815/09/02/pdfs/GMD-1815-109.pdf#page=6","Abrir facsímil")</f>
        <v>Abrir facsímil</v>
      </c>
      <c r="K1638" s="3" t="s">
        <v>74</v>
      </c>
    </row>
    <row r="1639" spans="1:11" ht="42" customHeight="1">
      <c r="A1639" s="2" t="s">
        <v>4331</v>
      </c>
      <c r="B1639" s="2" t="s">
        <v>4332</v>
      </c>
      <c r="C1639" s="2" t="s">
        <v>49</v>
      </c>
      <c r="D1639" s="2" t="s">
        <v>50</v>
      </c>
      <c r="E1639" s="5">
        <v>-30886</v>
      </c>
      <c r="F1639" s="3" t="s">
        <v>140</v>
      </c>
      <c r="G1639" s="3" t="s">
        <v>52</v>
      </c>
      <c r="H1639" s="2" t="s">
        <v>72</v>
      </c>
      <c r="I1639" s="2" t="s">
        <v>4333</v>
      </c>
      <c r="J1639" s="3" t="str">
        <f>HYPERLINK("https://www.boe.es/gazeta/dias/1815/06/08/pdfs/GMD-1815-69.pdf#page=11","Abrir facsímil")</f>
        <v>Abrir facsímil</v>
      </c>
      <c r="K1639" s="3" t="s">
        <v>74</v>
      </c>
    </row>
    <row r="1640" spans="1:11" ht="42" customHeight="1">
      <c r="A1640" s="2" t="s">
        <v>4334</v>
      </c>
      <c r="B1640" s="2" t="s">
        <v>4335</v>
      </c>
      <c r="C1640" s="2" t="s">
        <v>61</v>
      </c>
      <c r="D1640" s="2" t="s">
        <v>50</v>
      </c>
      <c r="E1640" s="5">
        <v>-31014</v>
      </c>
      <c r="F1640" s="3" t="s">
        <v>3193</v>
      </c>
      <c r="G1640" s="3" t="s">
        <v>38</v>
      </c>
      <c r="H1640" s="2" t="s">
        <v>72</v>
      </c>
      <c r="I1640" s="2" t="s">
        <v>4336</v>
      </c>
      <c r="J1640" s="3" t="str">
        <f>HYPERLINK("https://www.boe.es/gazeta/dias/1815/01/31/pdfs/GMD-1815-13.pdf#page=8","Abrir facsímil")</f>
        <v>Abrir facsímil</v>
      </c>
      <c r="K1640" s="3" t="s">
        <v>74</v>
      </c>
    </row>
    <row r="1641" spans="1:11" ht="42" customHeight="1">
      <c r="A1641" s="2" t="s">
        <v>4337</v>
      </c>
      <c r="B1641" s="2" t="s">
        <v>4338</v>
      </c>
      <c r="C1641" s="2" t="s">
        <v>49</v>
      </c>
      <c r="D1641" s="2" t="s">
        <v>50</v>
      </c>
      <c r="E1641" s="5">
        <v>-30886</v>
      </c>
      <c r="F1641" s="3" t="s">
        <v>140</v>
      </c>
      <c r="G1641" s="3" t="s">
        <v>38</v>
      </c>
      <c r="H1641" s="2" t="s">
        <v>72</v>
      </c>
      <c r="I1641" s="2" t="s">
        <v>4339</v>
      </c>
      <c r="J1641" s="3" t="str">
        <f>HYPERLINK("https://www.boe.es/gazeta/dias/1815/06/08/pdfs/GMD-1815-69.pdf#page=8","Abrir facsímil")</f>
        <v>Abrir facsímil</v>
      </c>
      <c r="K1641" s="3" t="s">
        <v>74</v>
      </c>
    </row>
    <row r="1642" spans="1:11" ht="42" customHeight="1">
      <c r="A1642" s="2" t="s">
        <v>4340</v>
      </c>
      <c r="B1642" s="2" t="s">
        <v>4341</v>
      </c>
      <c r="C1642" s="2" t="s">
        <v>31</v>
      </c>
      <c r="D1642" s="2" t="s">
        <v>32</v>
      </c>
      <c r="E1642" s="5">
        <v>-30923</v>
      </c>
      <c r="F1642" s="3" t="s">
        <v>524</v>
      </c>
      <c r="G1642" s="3" t="s">
        <v>1289</v>
      </c>
      <c r="H1642" s="2" t="s">
        <v>72</v>
      </c>
      <c r="I1642" s="2" t="s">
        <v>4342</v>
      </c>
      <c r="J1642" s="3" t="str">
        <f>HYPERLINK("https://www.boe.es/gazeta/dias/1815/05/02/pdfs/GMD-1815-53.pdf#page=11","Abrir facsímil")</f>
        <v>Abrir facsímil</v>
      </c>
      <c r="K1642" s="3" t="s">
        <v>74</v>
      </c>
    </row>
    <row r="1643" spans="1:11" ht="42" customHeight="1">
      <c r="A1643" s="2" t="s">
        <v>4343</v>
      </c>
      <c r="B1643" s="2" t="s">
        <v>4344</v>
      </c>
      <c r="C1643" s="2" t="s">
        <v>31</v>
      </c>
      <c r="D1643" s="2" t="s">
        <v>32</v>
      </c>
      <c r="E1643" s="5">
        <v>-30723</v>
      </c>
      <c r="F1643" s="3" t="s">
        <v>77</v>
      </c>
      <c r="G1643" s="3" t="s">
        <v>57</v>
      </c>
      <c r="H1643" s="2" t="s">
        <v>72</v>
      </c>
      <c r="I1643" s="2" t="s">
        <v>4345</v>
      </c>
      <c r="J1643" s="3" t="str">
        <f>HYPERLINK("https://www.boe.es/gazeta/dias/1815/11/18/pdfs/GMD-1815-144.pdf#page=5","Abrir facsímil")</f>
        <v>Abrir facsímil</v>
      </c>
      <c r="K1643" s="3" t="s">
        <v>74</v>
      </c>
    </row>
    <row r="1644" spans="1:11" ht="42" customHeight="1">
      <c r="A1644" s="2" t="s">
        <v>4346</v>
      </c>
      <c r="B1644" s="2" t="s">
        <v>4347</v>
      </c>
      <c r="C1644" s="2" t="s">
        <v>17</v>
      </c>
      <c r="D1644" s="2" t="s">
        <v>18</v>
      </c>
      <c r="E1644" s="5">
        <v>-30970</v>
      </c>
      <c r="F1644" s="3" t="s">
        <v>436</v>
      </c>
      <c r="G1644" s="3" t="s">
        <v>71</v>
      </c>
      <c r="H1644" s="2" t="s">
        <v>72</v>
      </c>
      <c r="I1644" s="2" t="s">
        <v>4348</v>
      </c>
      <c r="J1644" s="3" t="str">
        <f>HYPERLINK("https://www.boe.es/gazeta/dias/1815/03/16/pdfs/GMD-1815-32.pdf#page=7","Abrir facsímil")</f>
        <v>Abrir facsímil</v>
      </c>
      <c r="K1644" s="3" t="s">
        <v>74</v>
      </c>
    </row>
    <row r="1645" spans="1:11" ht="42" customHeight="1">
      <c r="A1645" s="2" t="s">
        <v>4349</v>
      </c>
      <c r="B1645" s="2" t="s">
        <v>4350</v>
      </c>
      <c r="C1645" s="2" t="s">
        <v>81</v>
      </c>
      <c r="D1645" s="2" t="s">
        <v>50</v>
      </c>
      <c r="E1645" s="5">
        <v>-30937</v>
      </c>
      <c r="F1645" s="3" t="s">
        <v>322</v>
      </c>
      <c r="G1645" s="3" t="s">
        <v>3521</v>
      </c>
      <c r="H1645" s="2" t="s">
        <v>72</v>
      </c>
      <c r="I1645" s="2" t="s">
        <v>4351</v>
      </c>
      <c r="J1645" s="3" t="str">
        <f>HYPERLINK("https://www.boe.es/gazeta/dias/1815/04/18/pdfs/GMD-1815-47.pdf#page=8","Abrir facsímil")</f>
        <v>Abrir facsímil</v>
      </c>
      <c r="K1645" s="3" t="s">
        <v>74</v>
      </c>
    </row>
    <row r="1646" spans="1:11" ht="42" customHeight="1">
      <c r="A1646" s="2" t="s">
        <v>4352</v>
      </c>
      <c r="B1646" s="2" t="s">
        <v>4353</v>
      </c>
      <c r="C1646" s="2" t="s">
        <v>31</v>
      </c>
      <c r="D1646" s="2" t="s">
        <v>32</v>
      </c>
      <c r="E1646" s="5">
        <v>-30891</v>
      </c>
      <c r="F1646" s="3" t="s">
        <v>498</v>
      </c>
      <c r="G1646" s="3" t="s">
        <v>71</v>
      </c>
      <c r="H1646" s="2" t="s">
        <v>72</v>
      </c>
      <c r="I1646" s="2" t="s">
        <v>4354</v>
      </c>
      <c r="J1646" s="3" t="str">
        <f>HYPERLINK("https://www.boe.es/gazeta/dias/1815/06/03/pdfs/GMD-1815-67.pdf#page=7","Abrir facsímil")</f>
        <v>Abrir facsímil</v>
      </c>
      <c r="K1646" s="3" t="s">
        <v>74</v>
      </c>
    </row>
    <row r="1647" spans="1:11" ht="42" customHeight="1">
      <c r="A1647" s="2" t="s">
        <v>4355</v>
      </c>
      <c r="B1647" s="2" t="s">
        <v>4356</v>
      </c>
      <c r="C1647" s="2" t="s">
        <v>49</v>
      </c>
      <c r="D1647" s="2" t="s">
        <v>50</v>
      </c>
      <c r="E1647" s="5">
        <v>-30835</v>
      </c>
      <c r="F1647" s="3" t="s">
        <v>544</v>
      </c>
      <c r="G1647" s="3" t="s">
        <v>88</v>
      </c>
      <c r="H1647" s="2" t="s">
        <v>72</v>
      </c>
      <c r="I1647" s="2" t="s">
        <v>4357</v>
      </c>
      <c r="J1647" s="3" t="str">
        <f>HYPERLINK("https://www.boe.es/gazeta/dias/1815/07/29/pdfs/GMD-1815-93.pdf#page=10","Abrir facsímil")</f>
        <v>Abrir facsímil</v>
      </c>
      <c r="K1647" s="3" t="s">
        <v>74</v>
      </c>
    </row>
    <row r="1648" spans="1:11" ht="42" customHeight="1">
      <c r="A1648" s="2" t="s">
        <v>4355</v>
      </c>
      <c r="B1648" s="2" t="s">
        <v>4356</v>
      </c>
      <c r="C1648" s="2" t="s">
        <v>49</v>
      </c>
      <c r="D1648" s="2" t="s">
        <v>50</v>
      </c>
      <c r="E1648" s="5">
        <v>-30832</v>
      </c>
      <c r="F1648" s="3" t="s">
        <v>266</v>
      </c>
      <c r="G1648" s="3" t="s">
        <v>88</v>
      </c>
      <c r="H1648" s="2" t="s">
        <v>72</v>
      </c>
      <c r="I1648" s="2" t="s">
        <v>4358</v>
      </c>
      <c r="J1648" s="3" t="str">
        <f>HYPERLINK("https://www.boe.es/gazeta/dias/1815/08/01/pdfs/GMD-1815-94.pdf#page=10","Abrir facsímil")</f>
        <v>Abrir facsímil</v>
      </c>
      <c r="K1648" s="3" t="s">
        <v>74</v>
      </c>
    </row>
    <row r="1649" spans="1:11" ht="42" customHeight="1">
      <c r="A1649" s="2" t="s">
        <v>4355</v>
      </c>
      <c r="B1649" s="2" t="s">
        <v>4356</v>
      </c>
      <c r="C1649" s="2" t="s">
        <v>49</v>
      </c>
      <c r="D1649" s="2" t="s">
        <v>50</v>
      </c>
      <c r="E1649" s="5">
        <v>-30830</v>
      </c>
      <c r="F1649" s="3" t="s">
        <v>33</v>
      </c>
      <c r="G1649" s="3" t="s">
        <v>52</v>
      </c>
      <c r="H1649" s="2" t="s">
        <v>72</v>
      </c>
      <c r="I1649" s="2" t="s">
        <v>4359</v>
      </c>
      <c r="J1649" s="3" t="str">
        <f>HYPERLINK("https://www.boe.es/gazeta/dias/1815/08/03/pdfs/GMD-1815-95.pdf#page=11","Abrir facsímil")</f>
        <v>Abrir facsímil</v>
      </c>
      <c r="K1649" s="3" t="s">
        <v>74</v>
      </c>
    </row>
    <row r="1650" spans="1:11" ht="42" customHeight="1">
      <c r="A1650" s="2" t="s">
        <v>4360</v>
      </c>
      <c r="B1650" s="2" t="s">
        <v>4361</v>
      </c>
      <c r="C1650" s="2" t="s">
        <v>195</v>
      </c>
      <c r="D1650" s="2" t="s">
        <v>50</v>
      </c>
      <c r="E1650" s="5">
        <v>-30923</v>
      </c>
      <c r="F1650" s="3" t="s">
        <v>524</v>
      </c>
      <c r="G1650" s="3" t="s">
        <v>88</v>
      </c>
      <c r="H1650" s="2" t="s">
        <v>72</v>
      </c>
      <c r="I1650" s="2" t="s">
        <v>4362</v>
      </c>
      <c r="J1650" s="3" t="str">
        <f>HYPERLINK("https://www.boe.es/gazeta/dias/1815/05/02/pdfs/GMD-1815-53.pdf#page=10","Abrir facsímil")</f>
        <v>Abrir facsímil</v>
      </c>
      <c r="K1650" s="3" t="s">
        <v>74</v>
      </c>
    </row>
    <row r="1651" spans="1:11" ht="42" customHeight="1">
      <c r="A1651" s="2" t="s">
        <v>4363</v>
      </c>
      <c r="B1651" s="2" t="s">
        <v>4363</v>
      </c>
      <c r="C1651" s="2" t="s">
        <v>49</v>
      </c>
      <c r="D1651" s="2" t="s">
        <v>50</v>
      </c>
      <c r="E1651" s="5">
        <v>-30968</v>
      </c>
      <c r="F1651" s="3" t="s">
        <v>2695</v>
      </c>
      <c r="G1651" s="3" t="s">
        <v>377</v>
      </c>
      <c r="H1651" s="2" t="s">
        <v>72</v>
      </c>
      <c r="I1651" s="2" t="s">
        <v>4364</v>
      </c>
      <c r="J1651" s="3" t="str">
        <f>HYPERLINK("https://www.boe.es/gazeta/dias/1815/03/18/pdfs/GMD-1815-33.pdf#page=2","Abrir facsímil")</f>
        <v>Abrir facsímil</v>
      </c>
      <c r="K1651" s="3" t="s">
        <v>74</v>
      </c>
    </row>
    <row r="1652" spans="1:11" ht="42" customHeight="1">
      <c r="A1652" s="2" t="s">
        <v>4363</v>
      </c>
      <c r="B1652" s="2" t="s">
        <v>4363</v>
      </c>
      <c r="C1652" s="2" t="s">
        <v>131</v>
      </c>
      <c r="D1652" s="2" t="s">
        <v>50</v>
      </c>
      <c r="E1652" s="5">
        <v>-30965</v>
      </c>
      <c r="F1652" s="3" t="s">
        <v>1679</v>
      </c>
      <c r="G1652" s="3" t="s">
        <v>410</v>
      </c>
      <c r="H1652" s="2" t="s">
        <v>72</v>
      </c>
      <c r="I1652" s="2" t="s">
        <v>4365</v>
      </c>
      <c r="J1652" s="3" t="str">
        <f>HYPERLINK("https://www.boe.es/gazeta/dias/1815/03/21/pdfs/GMD-1815-34.pdf#page=1","Abrir facsímil")</f>
        <v>Abrir facsímil</v>
      </c>
      <c r="K1652" s="3" t="s">
        <v>74</v>
      </c>
    </row>
    <row r="1653" spans="1:11" ht="42" customHeight="1">
      <c r="A1653" s="2" t="s">
        <v>4366</v>
      </c>
      <c r="B1653" s="2" t="s">
        <v>4366</v>
      </c>
      <c r="C1653" s="2" t="s">
        <v>31</v>
      </c>
      <c r="D1653" s="2" t="s">
        <v>32</v>
      </c>
      <c r="E1653" s="5">
        <v>-30849</v>
      </c>
      <c r="F1653" s="3" t="s">
        <v>501</v>
      </c>
      <c r="G1653" s="3" t="s">
        <v>88</v>
      </c>
      <c r="H1653" s="2" t="s">
        <v>72</v>
      </c>
      <c r="I1653" s="2" t="s">
        <v>4367</v>
      </c>
      <c r="J1653" s="3" t="str">
        <f>HYPERLINK("https://www.boe.es/gazeta/dias/1815/07/15/pdfs/GMD-1815-87.pdf#page=10","Abrir facsímil")</f>
        <v>Abrir facsímil</v>
      </c>
      <c r="K1653" s="3" t="s">
        <v>74</v>
      </c>
    </row>
    <row r="1654" spans="1:11" ht="42" customHeight="1">
      <c r="A1654" s="2" t="s">
        <v>4368</v>
      </c>
      <c r="B1654" s="2" t="s">
        <v>4369</v>
      </c>
      <c r="C1654" s="2" t="s">
        <v>31</v>
      </c>
      <c r="D1654" s="2" t="s">
        <v>32</v>
      </c>
      <c r="E1654" s="5">
        <v>-30891</v>
      </c>
      <c r="F1654" s="3" t="s">
        <v>498</v>
      </c>
      <c r="G1654" s="3" t="s">
        <v>57</v>
      </c>
      <c r="H1654" s="2" t="s">
        <v>72</v>
      </c>
      <c r="I1654" s="2" t="s">
        <v>4370</v>
      </c>
      <c r="J1654" s="3" t="str">
        <f>HYPERLINK("https://www.boe.es/gazeta/dias/1815/06/03/pdfs/GMD-1815-67.pdf#page=5","Abrir facsímil")</f>
        <v>Abrir facsímil</v>
      </c>
      <c r="K1654" s="3" t="s">
        <v>74</v>
      </c>
    </row>
    <row r="1655" spans="1:11" ht="42" customHeight="1">
      <c r="A1655" s="2" t="s">
        <v>4371</v>
      </c>
      <c r="B1655" s="2" t="s">
        <v>4372</v>
      </c>
      <c r="C1655" s="2" t="s">
        <v>49</v>
      </c>
      <c r="D1655" s="2" t="s">
        <v>50</v>
      </c>
      <c r="E1655" s="5">
        <v>-30767</v>
      </c>
      <c r="F1655" s="3" t="s">
        <v>228</v>
      </c>
      <c r="G1655" s="3" t="s">
        <v>88</v>
      </c>
      <c r="H1655" s="2" t="s">
        <v>72</v>
      </c>
      <c r="I1655" s="2" t="s">
        <v>4373</v>
      </c>
      <c r="J1655" s="3" t="str">
        <f>HYPERLINK("https://www.boe.es/gazeta/dias/1815/10/05/pdfs/GMD-1815-125.pdf#page=10","Abrir facsímil")</f>
        <v>Abrir facsímil</v>
      </c>
      <c r="K1655" s="3" t="s">
        <v>74</v>
      </c>
    </row>
    <row r="1656" spans="1:11" ht="42" customHeight="1">
      <c r="A1656" s="2" t="s">
        <v>4374</v>
      </c>
      <c r="B1656" s="2" t="s">
        <v>4375</v>
      </c>
      <c r="C1656" s="2" t="s">
        <v>131</v>
      </c>
      <c r="D1656" s="2" t="s">
        <v>50</v>
      </c>
      <c r="E1656" s="5">
        <v>-30744</v>
      </c>
      <c r="F1656" s="3" t="s">
        <v>391</v>
      </c>
      <c r="G1656" s="3" t="s">
        <v>38</v>
      </c>
      <c r="H1656" s="2" t="s">
        <v>72</v>
      </c>
      <c r="I1656" s="2" t="s">
        <v>4376</v>
      </c>
      <c r="J1656" s="3" t="str">
        <f>HYPERLINK("https://www.boe.es/gazeta/dias/1815/10/28/pdfs/GMD-1815-135.pdf#page=8","Abrir facsímil")</f>
        <v>Abrir facsímil</v>
      </c>
      <c r="K1656" s="3" t="s">
        <v>74</v>
      </c>
    </row>
    <row r="1657" spans="1:11" ht="42" customHeight="1">
      <c r="A1657" s="2" t="s">
        <v>4377</v>
      </c>
      <c r="B1657" s="2" t="s">
        <v>4378</v>
      </c>
      <c r="C1657" s="2" t="s">
        <v>195</v>
      </c>
      <c r="D1657" s="2" t="s">
        <v>50</v>
      </c>
      <c r="E1657" s="5">
        <v>-30949</v>
      </c>
      <c r="F1657" s="3" t="s">
        <v>420</v>
      </c>
      <c r="G1657" s="3" t="s">
        <v>71</v>
      </c>
      <c r="H1657" s="2" t="s">
        <v>72</v>
      </c>
      <c r="I1657" s="2" t="s">
        <v>4379</v>
      </c>
      <c r="J1657" s="3" t="str">
        <f>HYPERLINK("https://www.boe.es/gazeta/dias/1815/04/06/pdfs/GMD-1815-42.pdf#page=7","Abrir facsímil")</f>
        <v>Abrir facsímil</v>
      </c>
      <c r="K1657" s="3" t="s">
        <v>74</v>
      </c>
    </row>
    <row r="1658" spans="1:11" ht="42" customHeight="1">
      <c r="A1658" s="2" t="s">
        <v>4380</v>
      </c>
      <c r="B1658" s="2" t="s">
        <v>4381</v>
      </c>
      <c r="C1658" s="2" t="s">
        <v>49</v>
      </c>
      <c r="D1658" s="2" t="s">
        <v>50</v>
      </c>
      <c r="E1658" s="5">
        <v>-30865</v>
      </c>
      <c r="F1658" s="3" t="s">
        <v>163</v>
      </c>
      <c r="G1658" s="3" t="s">
        <v>71</v>
      </c>
      <c r="H1658" s="2" t="s">
        <v>72</v>
      </c>
      <c r="I1658" s="2" t="s">
        <v>4382</v>
      </c>
      <c r="J1658" s="3" t="str">
        <f>HYPERLINK("https://www.boe.es/gazeta/dias/1815/06/29/pdfs/GMD-1815-78.pdf#page=7","Abrir facsímil")</f>
        <v>Abrir facsímil</v>
      </c>
      <c r="K1658" s="3" t="s">
        <v>74</v>
      </c>
    </row>
    <row r="1659" spans="1:11" ht="42" customHeight="1">
      <c r="A1659" s="2" t="s">
        <v>4383</v>
      </c>
      <c r="B1659" s="2" t="s">
        <v>4384</v>
      </c>
      <c r="C1659" s="2" t="s">
        <v>49</v>
      </c>
      <c r="D1659" s="2" t="s">
        <v>50</v>
      </c>
      <c r="E1659" s="5">
        <v>-30865</v>
      </c>
      <c r="F1659" s="3" t="s">
        <v>163</v>
      </c>
      <c r="G1659" s="3" t="s">
        <v>71</v>
      </c>
      <c r="H1659" s="2" t="s">
        <v>72</v>
      </c>
      <c r="I1659" s="2" t="s">
        <v>4385</v>
      </c>
      <c r="J1659" s="3" t="str">
        <f>HYPERLINK("https://www.boe.es/gazeta/dias/1815/06/29/pdfs/GMD-1815-78.pdf#page=7","Abrir facsímil")</f>
        <v>Abrir facsímil</v>
      </c>
      <c r="K1659" s="3" t="s">
        <v>74</v>
      </c>
    </row>
    <row r="1660" spans="1:11" ht="42" customHeight="1">
      <c r="A1660" s="2" t="s">
        <v>4386</v>
      </c>
      <c r="B1660" s="2" t="s">
        <v>4386</v>
      </c>
      <c r="C1660" s="2" t="s">
        <v>31</v>
      </c>
      <c r="D1660" s="2" t="s">
        <v>32</v>
      </c>
      <c r="E1660" s="5">
        <v>-30825</v>
      </c>
      <c r="F1660" s="3" t="s">
        <v>669</v>
      </c>
      <c r="G1660" s="3" t="s">
        <v>410</v>
      </c>
      <c r="H1660" s="2" t="s">
        <v>72</v>
      </c>
      <c r="I1660" s="2" t="s">
        <v>4387</v>
      </c>
      <c r="J1660" s="3" t="str">
        <f>HYPERLINK("https://www.boe.es/gazeta/dias/1815/08/08/pdfs/GMD-1815-97.pdf#page=1","Abrir facsímil")</f>
        <v>Abrir facsímil</v>
      </c>
      <c r="K1660" s="3" t="s">
        <v>74</v>
      </c>
    </row>
    <row r="1661" spans="1:11" ht="42" customHeight="1">
      <c r="A1661" s="2" t="s">
        <v>4388</v>
      </c>
      <c r="B1661" s="2" t="s">
        <v>4389</v>
      </c>
      <c r="C1661" s="2" t="s">
        <v>61</v>
      </c>
      <c r="D1661" s="2" t="s">
        <v>50</v>
      </c>
      <c r="E1661" s="5">
        <v>-30720</v>
      </c>
      <c r="F1661" s="3" t="s">
        <v>373</v>
      </c>
      <c r="G1661" s="3" t="s">
        <v>276</v>
      </c>
      <c r="H1661" s="2" t="s">
        <v>72</v>
      </c>
      <c r="I1661" s="2" t="s">
        <v>4390</v>
      </c>
      <c r="J1661" s="3" t="str">
        <f>HYPERLINK("https://www.boe.es/gazeta/dias/1815/11/21/pdfs/GMD-1815-145.pdf#page=12","Abrir facsímil")</f>
        <v>Abrir facsímil</v>
      </c>
      <c r="K1661" s="3" t="s">
        <v>74</v>
      </c>
    </row>
    <row r="1662" spans="1:11" ht="42" customHeight="1">
      <c r="A1662" s="2" t="s">
        <v>4388</v>
      </c>
      <c r="B1662" s="2" t="s">
        <v>4389</v>
      </c>
      <c r="C1662" s="2" t="s">
        <v>61</v>
      </c>
      <c r="D1662" s="2" t="s">
        <v>50</v>
      </c>
      <c r="E1662" s="5">
        <v>-30716</v>
      </c>
      <c r="F1662" s="3" t="s">
        <v>589</v>
      </c>
      <c r="G1662" s="3" t="s">
        <v>590</v>
      </c>
      <c r="H1662" s="2" t="s">
        <v>72</v>
      </c>
      <c r="I1662" s="2" t="s">
        <v>4391</v>
      </c>
      <c r="J1662" s="3" t="str">
        <f>HYPERLINK("https://www.boe.es/gazeta/dias/1815/11/25/pdfs/GMD-1815-147.pdf#page=8","Abrir facsímil")</f>
        <v>Abrir facsímil</v>
      </c>
      <c r="K1662" s="3" t="s">
        <v>74</v>
      </c>
    </row>
    <row r="1663" spans="1:11" ht="42" customHeight="1">
      <c r="A1663" s="2" t="s">
        <v>4392</v>
      </c>
      <c r="B1663" s="2" t="s">
        <v>4393</v>
      </c>
      <c r="C1663" s="2" t="s">
        <v>31</v>
      </c>
      <c r="D1663" s="2" t="s">
        <v>32</v>
      </c>
      <c r="E1663" s="5">
        <v>-30767</v>
      </c>
      <c r="F1663" s="3" t="s">
        <v>228</v>
      </c>
      <c r="G1663" s="3" t="s">
        <v>990</v>
      </c>
      <c r="H1663" s="2" t="s">
        <v>72</v>
      </c>
      <c r="I1663" s="2" t="s">
        <v>4394</v>
      </c>
      <c r="J1663" s="3" t="str">
        <f>HYPERLINK("https://www.boe.es/gazeta/dias/1815/10/05/pdfs/GMD-1815-125.pdf#page=12","Abrir facsímil")</f>
        <v>Abrir facsímil</v>
      </c>
      <c r="K1663" s="3" t="s">
        <v>74</v>
      </c>
    </row>
    <row r="1664" spans="1:11" ht="42" customHeight="1">
      <c r="A1664" s="2" t="s">
        <v>4395</v>
      </c>
      <c r="B1664" s="2" t="s">
        <v>4396</v>
      </c>
      <c r="C1664" s="2" t="s">
        <v>17</v>
      </c>
      <c r="D1664" s="2" t="s">
        <v>18</v>
      </c>
      <c r="E1664" s="5">
        <v>-30942</v>
      </c>
      <c r="F1664" s="3" t="s">
        <v>730</v>
      </c>
      <c r="G1664" s="3" t="s">
        <v>862</v>
      </c>
      <c r="H1664" s="2" t="s">
        <v>72</v>
      </c>
      <c r="I1664" s="2" t="s">
        <v>4397</v>
      </c>
      <c r="J1664" s="3" t="str">
        <f>HYPERLINK("https://www.boe.es/gazeta/dias/1815/04/13/pdfs/GMD-1815-45.pdf#page=6","Abrir facsímil")</f>
        <v>Abrir facsímil</v>
      </c>
      <c r="K1664" s="3" t="s">
        <v>74</v>
      </c>
    </row>
    <row r="1665" spans="1:11" ht="42" customHeight="1">
      <c r="A1665" s="2" t="s">
        <v>4398</v>
      </c>
      <c r="B1665" s="2" t="s">
        <v>4399</v>
      </c>
      <c r="C1665" s="2" t="s">
        <v>49</v>
      </c>
      <c r="D1665" s="2" t="s">
        <v>50</v>
      </c>
      <c r="E1665" s="5">
        <v>-30849</v>
      </c>
      <c r="F1665" s="3" t="s">
        <v>501</v>
      </c>
      <c r="G1665" s="3" t="s">
        <v>52</v>
      </c>
      <c r="H1665" s="2" t="s">
        <v>72</v>
      </c>
      <c r="I1665" s="2" t="s">
        <v>4400</v>
      </c>
      <c r="J1665" s="3" t="str">
        <f>HYPERLINK("https://www.boe.es/gazeta/dias/1815/07/15/pdfs/GMD-1815-87.pdf#page=11","Abrir facsímil")</f>
        <v>Abrir facsímil</v>
      </c>
      <c r="K1665" s="3" t="s">
        <v>74</v>
      </c>
    </row>
    <row r="1666" spans="1:11" ht="42" customHeight="1">
      <c r="A1666" s="2" t="s">
        <v>4401</v>
      </c>
      <c r="B1666" s="2" t="s">
        <v>4402</v>
      </c>
      <c r="C1666" s="2" t="s">
        <v>195</v>
      </c>
      <c r="D1666" s="2" t="s">
        <v>50</v>
      </c>
      <c r="E1666" s="5">
        <v>-30991</v>
      </c>
      <c r="F1666" s="3" t="s">
        <v>318</v>
      </c>
      <c r="G1666" s="3" t="s">
        <v>319</v>
      </c>
      <c r="H1666" s="2" t="s">
        <v>72</v>
      </c>
      <c r="I1666" s="2" t="s">
        <v>4403</v>
      </c>
      <c r="J1666" s="3" t="str">
        <f>HYPERLINK("https://www.boe.es/gazeta/dias/1815/02/23/pdfs/GMD-1815-23.pdf#page=6","Abrir facsímil")</f>
        <v>Abrir facsímil</v>
      </c>
      <c r="K1666" s="3" t="s">
        <v>74</v>
      </c>
    </row>
    <row r="1667" spans="1:11" ht="42" customHeight="1">
      <c r="A1667" s="2" t="s">
        <v>4404</v>
      </c>
      <c r="B1667" s="2" t="s">
        <v>4404</v>
      </c>
      <c r="C1667" s="2" t="s">
        <v>31</v>
      </c>
      <c r="D1667" s="2" t="s">
        <v>32</v>
      </c>
      <c r="E1667" s="5">
        <v>-30975</v>
      </c>
      <c r="F1667" s="3" t="s">
        <v>1194</v>
      </c>
      <c r="G1667" s="3" t="s">
        <v>71</v>
      </c>
      <c r="H1667" s="2" t="s">
        <v>72</v>
      </c>
      <c r="I1667" s="2" t="s">
        <v>4405</v>
      </c>
      <c r="J1667" s="3" t="str">
        <f>HYPERLINK("https://www.boe.es/gazeta/dias/1815/03/11/pdfs/GMD-1815-30.pdf#page=7","Abrir facsímil")</f>
        <v>Abrir facsímil</v>
      </c>
      <c r="K1667" s="3" t="s">
        <v>74</v>
      </c>
    </row>
    <row r="1668" spans="1:11" ht="42" customHeight="1">
      <c r="A1668" s="2" t="s">
        <v>4406</v>
      </c>
      <c r="B1668" s="2" t="s">
        <v>4407</v>
      </c>
      <c r="C1668" s="2" t="s">
        <v>17</v>
      </c>
      <c r="D1668" s="2" t="s">
        <v>18</v>
      </c>
      <c r="E1668" s="5">
        <v>-30891</v>
      </c>
      <c r="F1668" s="3" t="s">
        <v>498</v>
      </c>
      <c r="G1668" s="3" t="s">
        <v>71</v>
      </c>
      <c r="H1668" s="2" t="s">
        <v>72</v>
      </c>
      <c r="I1668" s="2" t="s">
        <v>4408</v>
      </c>
      <c r="J1668" s="3" t="str">
        <f>HYPERLINK("https://www.boe.es/gazeta/dias/1815/06/03/pdfs/GMD-1815-67.pdf#page=7","Abrir facsímil")</f>
        <v>Abrir facsímil</v>
      </c>
      <c r="K1668" s="3" t="s">
        <v>74</v>
      </c>
    </row>
    <row r="1669" spans="1:11" ht="42" customHeight="1">
      <c r="A1669" s="2" t="s">
        <v>4409</v>
      </c>
      <c r="B1669" s="2" t="s">
        <v>4410</v>
      </c>
      <c r="C1669" s="2" t="s">
        <v>31</v>
      </c>
      <c r="D1669" s="2" t="s">
        <v>32</v>
      </c>
      <c r="E1669" s="5">
        <v>-30823</v>
      </c>
      <c r="F1669" s="3" t="s">
        <v>305</v>
      </c>
      <c r="G1669" s="3" t="s">
        <v>97</v>
      </c>
      <c r="H1669" s="2" t="s">
        <v>72</v>
      </c>
      <c r="I1669" s="2" t="s">
        <v>4411</v>
      </c>
      <c r="J1669" s="3" t="str">
        <f>HYPERLINK("https://www.boe.es/gazeta/dias/1815/08/10/pdfs/GMD-1815-98.pdf#page=3","Abrir facsímil")</f>
        <v>Abrir facsímil</v>
      </c>
      <c r="K1669" s="3" t="s">
        <v>74</v>
      </c>
    </row>
    <row r="1670" spans="1:11" ht="42" customHeight="1">
      <c r="A1670" s="2" t="s">
        <v>4412</v>
      </c>
      <c r="B1670" s="2" t="s">
        <v>4413</v>
      </c>
      <c r="C1670" s="2" t="s">
        <v>17</v>
      </c>
      <c r="D1670" s="2" t="s">
        <v>18</v>
      </c>
      <c r="E1670" s="5">
        <v>-30767</v>
      </c>
      <c r="F1670" s="3" t="s">
        <v>228</v>
      </c>
      <c r="G1670" s="3" t="s">
        <v>52</v>
      </c>
      <c r="H1670" s="2" t="s">
        <v>72</v>
      </c>
      <c r="I1670" s="2" t="s">
        <v>4414</v>
      </c>
      <c r="J1670" s="3" t="str">
        <f>HYPERLINK("https://www.boe.es/gazeta/dias/1815/10/05/pdfs/GMD-1815-125.pdf#page=11","Abrir facsímil")</f>
        <v>Abrir facsímil</v>
      </c>
      <c r="K1670" s="3" t="s">
        <v>74</v>
      </c>
    </row>
    <row r="1671" spans="1:11" ht="42" customHeight="1">
      <c r="A1671" s="2" t="s">
        <v>4415</v>
      </c>
      <c r="B1671" s="2" t="s">
        <v>4415</v>
      </c>
      <c r="C1671" s="2" t="s">
        <v>31</v>
      </c>
      <c r="D1671" s="2" t="s">
        <v>32</v>
      </c>
      <c r="E1671" s="5">
        <v>-30774</v>
      </c>
      <c r="F1671" s="3" t="s">
        <v>1143</v>
      </c>
      <c r="G1671" s="3" t="s">
        <v>4416</v>
      </c>
      <c r="H1671" s="2" t="s">
        <v>72</v>
      </c>
      <c r="I1671" s="2" t="s">
        <v>4417</v>
      </c>
      <c r="J1671" s="3" t="str">
        <f>HYPERLINK("https://www.boe.es/gazeta/dias/1815/09/28/pdfs/GMD-1815-121.pdf#page=3","Abrir facsímil")</f>
        <v>Abrir facsímil</v>
      </c>
      <c r="K1671" s="3" t="s">
        <v>74</v>
      </c>
    </row>
    <row r="1672" spans="1:11" ht="42" customHeight="1">
      <c r="A1672" s="2" t="s">
        <v>4418</v>
      </c>
      <c r="B1672" s="2" t="s">
        <v>4418</v>
      </c>
      <c r="C1672" s="2" t="s">
        <v>31</v>
      </c>
      <c r="D1672" s="2" t="s">
        <v>32</v>
      </c>
      <c r="E1672" s="5">
        <v>-30842</v>
      </c>
      <c r="F1672" s="3" t="s">
        <v>126</v>
      </c>
      <c r="G1672" s="3" t="s">
        <v>97</v>
      </c>
      <c r="H1672" s="2" t="s">
        <v>72</v>
      </c>
      <c r="I1672" s="2" t="s">
        <v>4419</v>
      </c>
      <c r="J1672" s="3" t="str">
        <f>HYPERLINK("https://www.boe.es/gazeta/dias/1815/07/22/pdfs/GMD-1815-90.pdf#page=3","Abrir facsímil")</f>
        <v>Abrir facsímil</v>
      </c>
      <c r="K1672" s="3" t="s">
        <v>74</v>
      </c>
    </row>
    <row r="1673" spans="1:11" ht="42" customHeight="1">
      <c r="A1673" s="2" t="s">
        <v>4420</v>
      </c>
      <c r="B1673" s="2" t="s">
        <v>4421</v>
      </c>
      <c r="C1673" s="2" t="s">
        <v>61</v>
      </c>
      <c r="D1673" s="2" t="s">
        <v>50</v>
      </c>
      <c r="E1673" s="5">
        <v>-30877</v>
      </c>
      <c r="F1673" s="3" t="s">
        <v>548</v>
      </c>
      <c r="G1673" s="3" t="s">
        <v>276</v>
      </c>
      <c r="H1673" s="2" t="s">
        <v>72</v>
      </c>
      <c r="I1673" s="2" t="s">
        <v>4422</v>
      </c>
      <c r="J1673" s="3" t="str">
        <f>HYPERLINK("https://www.boe.es/gazeta/dias/1815/06/17/pdfs/GMD-1815-73.pdf#page=12","Abrir facsímil")</f>
        <v>Abrir facsímil</v>
      </c>
      <c r="K1673" s="3" t="s">
        <v>74</v>
      </c>
    </row>
    <row r="1674" spans="1:11" ht="42" customHeight="1">
      <c r="A1674" s="2" t="s">
        <v>4423</v>
      </c>
      <c r="B1674" s="2" t="s">
        <v>4423</v>
      </c>
      <c r="C1674" s="2" t="s">
        <v>195</v>
      </c>
      <c r="D1674" s="2" t="s">
        <v>50</v>
      </c>
      <c r="E1674" s="5">
        <v>-30886</v>
      </c>
      <c r="F1674" s="3" t="s">
        <v>140</v>
      </c>
      <c r="G1674" s="3" t="s">
        <v>27</v>
      </c>
      <c r="H1674" s="2" t="s">
        <v>72</v>
      </c>
      <c r="I1674" s="2" t="s">
        <v>4424</v>
      </c>
      <c r="J1674" s="3" t="str">
        <f>HYPERLINK("https://www.boe.es/gazeta/dias/1815/06/08/pdfs/GMD-1815-69.pdf#page=6","Abrir facsímil")</f>
        <v>Abrir facsímil</v>
      </c>
      <c r="K1674" s="3" t="s">
        <v>74</v>
      </c>
    </row>
    <row r="1675" spans="1:11" ht="42" customHeight="1">
      <c r="A1675" s="2" t="s">
        <v>4425</v>
      </c>
      <c r="B1675" s="2" t="s">
        <v>4426</v>
      </c>
      <c r="C1675" s="2" t="s">
        <v>31</v>
      </c>
      <c r="D1675" s="2" t="s">
        <v>32</v>
      </c>
      <c r="E1675" s="5">
        <v>-30723</v>
      </c>
      <c r="F1675" s="3" t="s">
        <v>77</v>
      </c>
      <c r="G1675" s="3" t="s">
        <v>71</v>
      </c>
      <c r="H1675" s="2" t="s">
        <v>72</v>
      </c>
      <c r="I1675" s="2" t="s">
        <v>4427</v>
      </c>
      <c r="J1675" s="3" t="str">
        <f>HYPERLINK("https://www.boe.es/gazeta/dias/1815/11/18/pdfs/GMD-1815-144.pdf#page=7","Abrir facsímil")</f>
        <v>Abrir facsímil</v>
      </c>
      <c r="K1675" s="3" t="s">
        <v>74</v>
      </c>
    </row>
    <row r="1676" spans="1:11" ht="42" customHeight="1">
      <c r="A1676" s="2" t="s">
        <v>4428</v>
      </c>
      <c r="B1676" s="2" t="s">
        <v>4429</v>
      </c>
      <c r="C1676" s="2" t="s">
        <v>31</v>
      </c>
      <c r="D1676" s="2" t="s">
        <v>32</v>
      </c>
      <c r="E1676" s="5">
        <v>-30699</v>
      </c>
      <c r="F1676" s="3" t="s">
        <v>810</v>
      </c>
      <c r="G1676" s="3" t="s">
        <v>38</v>
      </c>
      <c r="H1676" s="2" t="s">
        <v>72</v>
      </c>
      <c r="I1676" s="2" t="s">
        <v>4430</v>
      </c>
      <c r="J1676" s="3" t="str">
        <f>HYPERLINK("https://www.boe.es/gazeta/dias/1815/12/12/pdfs/GMD-1815-154.pdf#page=8","Abrir facsímil")</f>
        <v>Abrir facsímil</v>
      </c>
      <c r="K1676" s="3" t="s">
        <v>74</v>
      </c>
    </row>
    <row r="1677" spans="1:11" ht="42" customHeight="1">
      <c r="A1677" s="2" t="s">
        <v>4431</v>
      </c>
      <c r="B1677" s="2" t="s">
        <v>4432</v>
      </c>
      <c r="C1677" s="2" t="s">
        <v>31</v>
      </c>
      <c r="D1677" s="2" t="s">
        <v>32</v>
      </c>
      <c r="E1677" s="5">
        <v>-30816</v>
      </c>
      <c r="F1677" s="3" t="s">
        <v>1253</v>
      </c>
      <c r="G1677" s="3" t="s">
        <v>52</v>
      </c>
      <c r="H1677" s="2" t="s">
        <v>72</v>
      </c>
      <c r="I1677" s="2" t="s">
        <v>4433</v>
      </c>
      <c r="J1677" s="3" t="str">
        <f>HYPERLINK("https://www.boe.es/gazeta/dias/1815/08/17/pdfs/GMD-1815-101.pdf#page=11","Abrir facsímil")</f>
        <v>Abrir facsímil</v>
      </c>
      <c r="K1677" s="3" t="s">
        <v>74</v>
      </c>
    </row>
    <row r="1678" spans="1:11" ht="42" customHeight="1">
      <c r="A1678" s="2" t="s">
        <v>4434</v>
      </c>
      <c r="B1678" s="2" t="s">
        <v>4435</v>
      </c>
      <c r="C1678" s="2" t="s">
        <v>61</v>
      </c>
      <c r="D1678" s="2" t="s">
        <v>50</v>
      </c>
      <c r="E1678" s="5">
        <v>-30816</v>
      </c>
      <c r="F1678" s="3" t="s">
        <v>1253</v>
      </c>
      <c r="G1678" s="3" t="s">
        <v>276</v>
      </c>
      <c r="H1678" s="2" t="s">
        <v>72</v>
      </c>
      <c r="I1678" s="2" t="s">
        <v>4436</v>
      </c>
      <c r="J1678" s="3" t="str">
        <f>HYPERLINK("https://www.boe.es/gazeta/dias/1815/08/17/pdfs/GMD-1815-101.pdf#page=12","Abrir facsímil")</f>
        <v>Abrir facsímil</v>
      </c>
      <c r="K1678" s="3" t="s">
        <v>74</v>
      </c>
    </row>
    <row r="1679" spans="1:11" ht="42" customHeight="1">
      <c r="A1679" s="2" t="s">
        <v>4437</v>
      </c>
      <c r="B1679" s="2" t="s">
        <v>4437</v>
      </c>
      <c r="C1679" s="2" t="s">
        <v>31</v>
      </c>
      <c r="D1679" s="2" t="s">
        <v>32</v>
      </c>
      <c r="E1679" s="5">
        <v>-30858</v>
      </c>
      <c r="F1679" s="3" t="s">
        <v>1928</v>
      </c>
      <c r="G1679" s="3" t="s">
        <v>377</v>
      </c>
      <c r="H1679" s="2" t="s">
        <v>72</v>
      </c>
      <c r="I1679" s="2" t="s">
        <v>4438</v>
      </c>
      <c r="J1679" s="3" t="str">
        <f>HYPERLINK("https://www.boe.es/gazeta/dias/1815/07/06/pdfs/GMD-1815-83.pdf#page=2","Abrir facsímil")</f>
        <v>Abrir facsímil</v>
      </c>
      <c r="K1679" s="3" t="s">
        <v>74</v>
      </c>
    </row>
    <row r="1680" spans="1:11" ht="42" customHeight="1">
      <c r="A1680" s="2" t="s">
        <v>4439</v>
      </c>
      <c r="B1680" s="2" t="s">
        <v>4439</v>
      </c>
      <c r="C1680" s="2" t="s">
        <v>17</v>
      </c>
      <c r="D1680" s="2" t="s">
        <v>18</v>
      </c>
      <c r="E1680" s="5">
        <v>-30779</v>
      </c>
      <c r="F1680" s="3" t="s">
        <v>1426</v>
      </c>
      <c r="G1680" s="3" t="s">
        <v>71</v>
      </c>
      <c r="H1680" s="2" t="s">
        <v>72</v>
      </c>
      <c r="I1680" s="2" t="s">
        <v>4440</v>
      </c>
      <c r="J1680" s="3" t="str">
        <f>HYPERLINK("https://www.boe.es/gazeta/dias/1815/09/23/pdfs/GMD-1815-118.pdf#page=7","Abrir facsímil")</f>
        <v>Abrir facsímil</v>
      </c>
      <c r="K1680" s="3" t="s">
        <v>74</v>
      </c>
    </row>
    <row r="1681" spans="1:11" ht="42" customHeight="1">
      <c r="A1681" s="2" t="s">
        <v>4441</v>
      </c>
      <c r="B1681" s="2" t="s">
        <v>4442</v>
      </c>
      <c r="C1681" s="2" t="s">
        <v>17</v>
      </c>
      <c r="D1681" s="2" t="s">
        <v>18</v>
      </c>
      <c r="E1681" s="5">
        <v>-31028</v>
      </c>
      <c r="F1681" s="3" t="s">
        <v>517</v>
      </c>
      <c r="G1681" s="3" t="s">
        <v>224</v>
      </c>
      <c r="H1681" s="2" t="s">
        <v>72</v>
      </c>
      <c r="I1681" s="2" t="s">
        <v>4443</v>
      </c>
      <c r="J1681" s="3" t="str">
        <f>HYPERLINK("https://www.boe.es/gazeta/dias/1815/01/17/pdfs/GMD-1815-7.pdf#page=9","Abrir facsímil")</f>
        <v>Abrir facsímil</v>
      </c>
      <c r="K1681" s="3" t="s">
        <v>74</v>
      </c>
    </row>
    <row r="1682" spans="1:11" ht="42" customHeight="1">
      <c r="A1682" s="2" t="s">
        <v>4444</v>
      </c>
      <c r="B1682" s="2" t="s">
        <v>4445</v>
      </c>
      <c r="C1682" s="2" t="s">
        <v>31</v>
      </c>
      <c r="D1682" s="2" t="s">
        <v>32</v>
      </c>
      <c r="E1682" s="5">
        <v>-30928</v>
      </c>
      <c r="F1682" s="3" t="s">
        <v>330</v>
      </c>
      <c r="G1682" s="3" t="s">
        <v>20</v>
      </c>
      <c r="H1682" s="2" t="s">
        <v>72</v>
      </c>
      <c r="I1682" s="2" t="s">
        <v>4446</v>
      </c>
      <c r="J1682" s="3" t="str">
        <f>HYPERLINK("https://www.boe.es/gazeta/dias/1815/04/27/pdfs/GMD-1815-51.pdf#page=4","Abrir facsímil")</f>
        <v>Abrir facsímil</v>
      </c>
      <c r="K1682" s="3" t="s">
        <v>74</v>
      </c>
    </row>
    <row r="1683" spans="1:11" ht="42" customHeight="1">
      <c r="A1683" s="2" t="s">
        <v>4447</v>
      </c>
      <c r="B1683" s="2" t="s">
        <v>4448</v>
      </c>
      <c r="C1683" s="2" t="s">
        <v>195</v>
      </c>
      <c r="D1683" s="2" t="s">
        <v>50</v>
      </c>
      <c r="E1683" s="5">
        <v>-30949</v>
      </c>
      <c r="F1683" s="3" t="s">
        <v>420</v>
      </c>
      <c r="G1683" s="3" t="s">
        <v>71</v>
      </c>
      <c r="H1683" s="2" t="s">
        <v>72</v>
      </c>
      <c r="I1683" s="2" t="s">
        <v>4449</v>
      </c>
      <c r="J1683" s="3" t="str">
        <f>HYPERLINK("https://www.boe.es/gazeta/dias/1815/04/06/pdfs/GMD-1815-42.pdf#page=7","Abrir facsímil")</f>
        <v>Abrir facsímil</v>
      </c>
      <c r="K1683" s="3" t="s">
        <v>74</v>
      </c>
    </row>
    <row r="1684" spans="1:11" ht="42" customHeight="1">
      <c r="A1684" s="2" t="s">
        <v>4450</v>
      </c>
      <c r="B1684" s="2" t="s">
        <v>4451</v>
      </c>
      <c r="C1684" s="2" t="s">
        <v>49</v>
      </c>
      <c r="D1684" s="2" t="s">
        <v>50</v>
      </c>
      <c r="E1684" s="5">
        <v>-30865</v>
      </c>
      <c r="F1684" s="3" t="s">
        <v>163</v>
      </c>
      <c r="G1684" s="3" t="s">
        <v>27</v>
      </c>
      <c r="H1684" s="2" t="s">
        <v>72</v>
      </c>
      <c r="I1684" s="2" t="s">
        <v>4452</v>
      </c>
      <c r="J1684" s="3" t="str">
        <f>HYPERLINK("https://www.boe.es/gazeta/dias/1815/06/29/pdfs/GMD-1815-78.pdf#page=6","Abrir facsímil")</f>
        <v>Abrir facsímil</v>
      </c>
      <c r="K1684" s="3" t="s">
        <v>74</v>
      </c>
    </row>
    <row r="1685" spans="1:11" ht="42" customHeight="1">
      <c r="A1685" s="2" t="s">
        <v>4453</v>
      </c>
      <c r="B1685" s="2" t="s">
        <v>4454</v>
      </c>
      <c r="C1685" s="2" t="s">
        <v>195</v>
      </c>
      <c r="D1685" s="2" t="s">
        <v>50</v>
      </c>
      <c r="E1685" s="5">
        <v>-30874</v>
      </c>
      <c r="F1685" s="3" t="s">
        <v>208</v>
      </c>
      <c r="G1685" s="3" t="s">
        <v>27</v>
      </c>
      <c r="H1685" s="2" t="s">
        <v>72</v>
      </c>
      <c r="I1685" s="2" t="s">
        <v>4455</v>
      </c>
      <c r="J1685" s="3" t="str">
        <f>HYPERLINK("https://www.boe.es/gazeta/dias/1815/06/20/pdfs/GMD-1815-74.pdf#page=6","Abrir facsímil")</f>
        <v>Abrir facsímil</v>
      </c>
      <c r="K1685" s="3" t="s">
        <v>74</v>
      </c>
    </row>
    <row r="1686" spans="1:11" ht="42" customHeight="1">
      <c r="A1686" s="2" t="s">
        <v>4456</v>
      </c>
      <c r="B1686" s="2" t="s">
        <v>4457</v>
      </c>
      <c r="C1686" s="2" t="s">
        <v>31</v>
      </c>
      <c r="D1686" s="2" t="s">
        <v>32</v>
      </c>
      <c r="E1686" s="5">
        <v>-31042</v>
      </c>
      <c r="F1686" s="3" t="s">
        <v>512</v>
      </c>
      <c r="G1686" s="3" t="s">
        <v>71</v>
      </c>
      <c r="H1686" s="2" t="s">
        <v>72</v>
      </c>
      <c r="I1686" s="2" t="s">
        <v>4458</v>
      </c>
      <c r="J1686" s="3" t="str">
        <f>HYPERLINK("https://www.boe.es/gazeta/dias/1815/01/03/pdfs/GMD-1815-1.pdf#page=7","Abrir facsímil")</f>
        <v>Abrir facsímil</v>
      </c>
      <c r="K1686" s="3" t="s">
        <v>74</v>
      </c>
    </row>
    <row r="1687" spans="1:11" ht="42" customHeight="1">
      <c r="A1687" s="2" t="s">
        <v>4459</v>
      </c>
      <c r="B1687" s="2" t="s">
        <v>4460</v>
      </c>
      <c r="C1687" s="2" t="s">
        <v>31</v>
      </c>
      <c r="D1687" s="2" t="s">
        <v>32</v>
      </c>
      <c r="E1687" s="5">
        <v>-30737</v>
      </c>
      <c r="F1687" s="3" t="s">
        <v>1932</v>
      </c>
      <c r="G1687" s="3" t="s">
        <v>71</v>
      </c>
      <c r="H1687" s="2" t="s">
        <v>72</v>
      </c>
      <c r="I1687" s="2" t="s">
        <v>4461</v>
      </c>
      <c r="J1687" s="3" t="str">
        <f>HYPERLINK("https://www.boe.es/gazeta/dias/1815/11/04/pdfs/GMD-1815-138.pdf#page=7","Abrir facsímil")</f>
        <v>Abrir facsímil</v>
      </c>
      <c r="K1687" s="3" t="s">
        <v>74</v>
      </c>
    </row>
    <row r="1688" spans="1:11" ht="42" customHeight="1">
      <c r="A1688" s="2" t="s">
        <v>4462</v>
      </c>
      <c r="B1688" s="2" t="s">
        <v>4463</v>
      </c>
      <c r="C1688" s="2" t="s">
        <v>49</v>
      </c>
      <c r="D1688" s="2" t="s">
        <v>50</v>
      </c>
      <c r="E1688" s="5">
        <v>-30870</v>
      </c>
      <c r="F1688" s="3" t="s">
        <v>122</v>
      </c>
      <c r="G1688" s="3" t="s">
        <v>88</v>
      </c>
      <c r="H1688" s="2" t="s">
        <v>72</v>
      </c>
      <c r="I1688" s="2" t="s">
        <v>4464</v>
      </c>
      <c r="J1688" s="3" t="str">
        <f>HYPERLINK("https://www.boe.es/gazeta/dias/1815/06/24/pdfs/GMD-1815-76.pdf#page=10","Abrir facsímil")</f>
        <v>Abrir facsímil</v>
      </c>
      <c r="K1688" s="3" t="s">
        <v>74</v>
      </c>
    </row>
    <row r="1689" spans="1:11" ht="42" customHeight="1">
      <c r="A1689" s="2" t="s">
        <v>4465</v>
      </c>
      <c r="B1689" s="2" t="s">
        <v>4466</v>
      </c>
      <c r="C1689" s="2" t="s">
        <v>31</v>
      </c>
      <c r="D1689" s="2" t="s">
        <v>32</v>
      </c>
      <c r="E1689" s="5">
        <v>-30893</v>
      </c>
      <c r="F1689" s="3" t="s">
        <v>132</v>
      </c>
      <c r="G1689" s="3" t="s">
        <v>155</v>
      </c>
      <c r="H1689" s="2" t="s">
        <v>72</v>
      </c>
      <c r="I1689" s="2" t="s">
        <v>4467</v>
      </c>
      <c r="J1689" s="3" t="str">
        <f>HYPERLINK("https://www.boe.es/gazeta/dias/1815/06/01/pdfs/GMD-1815-66.pdf#page=6","Abrir facsímil")</f>
        <v>Abrir facsímil</v>
      </c>
      <c r="K1689" s="3" t="s">
        <v>74</v>
      </c>
    </row>
    <row r="1690" spans="1:11" ht="42" customHeight="1">
      <c r="A1690" s="2" t="s">
        <v>4468</v>
      </c>
      <c r="B1690" s="2" t="s">
        <v>4469</v>
      </c>
      <c r="C1690" s="2" t="s">
        <v>61</v>
      </c>
      <c r="D1690" s="2" t="s">
        <v>50</v>
      </c>
      <c r="E1690" s="5">
        <v>-30692</v>
      </c>
      <c r="F1690" s="3" t="s">
        <v>508</v>
      </c>
      <c r="G1690" s="3" t="s">
        <v>38</v>
      </c>
      <c r="H1690" s="2" t="s">
        <v>72</v>
      </c>
      <c r="I1690" s="2" t="s">
        <v>4470</v>
      </c>
      <c r="J1690" s="3" t="str">
        <f>HYPERLINK("https://www.boe.es/gazeta/dias/1815/12/19/pdfs/GMD-1815-157.pdf#page=8","Abrir facsímil")</f>
        <v>Abrir facsímil</v>
      </c>
      <c r="K1690" s="3" t="s">
        <v>74</v>
      </c>
    </row>
    <row r="1691" spans="1:11" ht="42" customHeight="1">
      <c r="A1691" s="2" t="s">
        <v>4471</v>
      </c>
      <c r="B1691" s="2" t="s">
        <v>4472</v>
      </c>
      <c r="C1691" s="2" t="s">
        <v>49</v>
      </c>
      <c r="D1691" s="2" t="s">
        <v>50</v>
      </c>
      <c r="E1691" s="5">
        <v>-30832</v>
      </c>
      <c r="F1691" s="3" t="s">
        <v>266</v>
      </c>
      <c r="G1691" s="3" t="s">
        <v>224</v>
      </c>
      <c r="H1691" s="2" t="s">
        <v>72</v>
      </c>
      <c r="I1691" s="2" t="s">
        <v>4473</v>
      </c>
      <c r="J1691" s="3" t="str">
        <f>HYPERLINK("https://www.boe.es/gazeta/dias/1815/08/01/pdfs/GMD-1815-94.pdf#page=9","Abrir facsímil")</f>
        <v>Abrir facsímil</v>
      </c>
      <c r="K1691" s="3" t="s">
        <v>74</v>
      </c>
    </row>
    <row r="1692" spans="1:11" ht="42" customHeight="1">
      <c r="A1692" s="2" t="s">
        <v>4474</v>
      </c>
      <c r="B1692" s="2" t="s">
        <v>4475</v>
      </c>
      <c r="C1692" s="2" t="s">
        <v>49</v>
      </c>
      <c r="D1692" s="2" t="s">
        <v>50</v>
      </c>
      <c r="E1692" s="5">
        <v>-30830</v>
      </c>
      <c r="F1692" s="3" t="s">
        <v>33</v>
      </c>
      <c r="G1692" s="3" t="s">
        <v>52</v>
      </c>
      <c r="H1692" s="2" t="s">
        <v>72</v>
      </c>
      <c r="I1692" s="2" t="s">
        <v>4476</v>
      </c>
      <c r="J1692" s="3" t="str">
        <f>HYPERLINK("https://www.boe.es/gazeta/dias/1815/08/03/pdfs/GMD-1815-95.pdf#page=11","Abrir facsímil")</f>
        <v>Abrir facsímil</v>
      </c>
      <c r="K1692" s="3" t="s">
        <v>74</v>
      </c>
    </row>
    <row r="1693" spans="1:11" ht="42" customHeight="1">
      <c r="A1693" s="2" t="s">
        <v>4477</v>
      </c>
      <c r="B1693" s="2" t="s">
        <v>4478</v>
      </c>
      <c r="C1693" s="2" t="s">
        <v>49</v>
      </c>
      <c r="D1693" s="2" t="s">
        <v>50</v>
      </c>
      <c r="E1693" s="5">
        <v>-30870</v>
      </c>
      <c r="F1693" s="3" t="s">
        <v>122</v>
      </c>
      <c r="G1693" s="3" t="s">
        <v>52</v>
      </c>
      <c r="H1693" s="2" t="s">
        <v>72</v>
      </c>
      <c r="I1693" s="2" t="s">
        <v>4479</v>
      </c>
      <c r="J1693" s="3" t="str">
        <f>HYPERLINK("https://www.boe.es/gazeta/dias/1815/06/24/pdfs/GMD-1815-76.pdf#page=11","Abrir facsímil")</f>
        <v>Abrir facsímil</v>
      </c>
      <c r="K1693" s="3" t="s">
        <v>74</v>
      </c>
    </row>
    <row r="1694" spans="1:11" ht="42" customHeight="1">
      <c r="A1694" s="2" t="s">
        <v>4480</v>
      </c>
      <c r="B1694" s="2" t="s">
        <v>4481</v>
      </c>
      <c r="C1694" s="2" t="s">
        <v>195</v>
      </c>
      <c r="D1694" s="2" t="s">
        <v>50</v>
      </c>
      <c r="E1694" s="5">
        <v>-30830</v>
      </c>
      <c r="F1694" s="3" t="s">
        <v>33</v>
      </c>
      <c r="G1694" s="3" t="s">
        <v>276</v>
      </c>
      <c r="H1694" s="2" t="s">
        <v>72</v>
      </c>
      <c r="I1694" s="2" t="s">
        <v>4482</v>
      </c>
      <c r="J1694" s="3" t="str">
        <f>HYPERLINK("https://www.boe.es/gazeta/dias/1815/08/03/pdfs/GMD-1815-95.pdf#page=12","Abrir facsímil")</f>
        <v>Abrir facsímil</v>
      </c>
      <c r="K1694" s="3" t="s">
        <v>74</v>
      </c>
    </row>
    <row r="1695" spans="1:11" ht="42" customHeight="1">
      <c r="A1695" s="2" t="s">
        <v>4483</v>
      </c>
      <c r="B1695" s="2" t="s">
        <v>4484</v>
      </c>
      <c r="C1695" s="2" t="s">
        <v>17</v>
      </c>
      <c r="D1695" s="2" t="s">
        <v>18</v>
      </c>
      <c r="E1695" s="5">
        <v>-30800</v>
      </c>
      <c r="F1695" s="3" t="s">
        <v>26</v>
      </c>
      <c r="G1695" s="3" t="s">
        <v>27</v>
      </c>
      <c r="H1695" s="2" t="s">
        <v>72</v>
      </c>
      <c r="I1695" s="2" t="s">
        <v>4485</v>
      </c>
      <c r="J1695" s="3" t="str">
        <f>HYPERLINK("https://www.boe.es/gazeta/dias/1815/09/02/pdfs/GMD-1815-109.pdf#page=6","Abrir facsímil")</f>
        <v>Abrir facsímil</v>
      </c>
      <c r="K1695" s="3" t="s">
        <v>74</v>
      </c>
    </row>
    <row r="1696" spans="1:11" ht="42" customHeight="1">
      <c r="A1696" s="2" t="s">
        <v>4486</v>
      </c>
      <c r="B1696" s="2" t="s">
        <v>4487</v>
      </c>
      <c r="C1696" s="2" t="s">
        <v>31</v>
      </c>
      <c r="D1696" s="2" t="s">
        <v>32</v>
      </c>
      <c r="E1696" s="5">
        <v>-31038</v>
      </c>
      <c r="F1696" s="3" t="s">
        <v>395</v>
      </c>
      <c r="G1696" s="3" t="s">
        <v>396</v>
      </c>
      <c r="H1696" s="2" t="s">
        <v>72</v>
      </c>
      <c r="I1696" s="2" t="s">
        <v>4488</v>
      </c>
      <c r="J1696" s="3" t="str">
        <f>HYPERLINK("https://www.boe.es/gazeta/dias/1815/01/07/pdfs/GMD-1815-3.pdf#page=5","Abrir facsímil")</f>
        <v>Abrir facsímil</v>
      </c>
      <c r="K1696" s="3" t="s">
        <v>74</v>
      </c>
    </row>
    <row r="1697" spans="1:11" ht="42" customHeight="1">
      <c r="A1697" s="2" t="s">
        <v>4486</v>
      </c>
      <c r="B1697" s="2" t="s">
        <v>4487</v>
      </c>
      <c r="C1697" s="2" t="s">
        <v>49</v>
      </c>
      <c r="D1697" s="2" t="s">
        <v>50</v>
      </c>
      <c r="E1697" s="5">
        <v>-30832</v>
      </c>
      <c r="F1697" s="3" t="s">
        <v>266</v>
      </c>
      <c r="G1697" s="3" t="s">
        <v>88</v>
      </c>
      <c r="H1697" s="2" t="s">
        <v>72</v>
      </c>
      <c r="I1697" s="2" t="s">
        <v>4489</v>
      </c>
      <c r="J1697" s="3" t="str">
        <f>HYPERLINK("https://www.boe.es/gazeta/dias/1815/08/01/pdfs/GMD-1815-94.pdf#page=10","Abrir facsímil")</f>
        <v>Abrir facsímil</v>
      </c>
      <c r="K1697" s="3" t="s">
        <v>74</v>
      </c>
    </row>
    <row r="1698" spans="1:11" ht="42" customHeight="1">
      <c r="A1698" s="2" t="s">
        <v>4490</v>
      </c>
      <c r="B1698" s="2" t="s">
        <v>4491</v>
      </c>
      <c r="C1698" s="2" t="s">
        <v>17</v>
      </c>
      <c r="D1698" s="2" t="s">
        <v>18</v>
      </c>
      <c r="E1698" s="5">
        <v>-31012</v>
      </c>
      <c r="F1698" s="3" t="s">
        <v>529</v>
      </c>
      <c r="G1698" s="3" t="s">
        <v>57</v>
      </c>
      <c r="H1698" s="2" t="s">
        <v>72</v>
      </c>
      <c r="I1698" s="2" t="s">
        <v>4492</v>
      </c>
      <c r="J1698" s="3" t="str">
        <f>HYPERLINK("https://www.boe.es/gazeta/dias/1815/02/02/pdfs/GMD-1815-14.pdf#page=5","Abrir facsímil")</f>
        <v>Abrir facsímil</v>
      </c>
      <c r="K1698" s="3" t="s">
        <v>74</v>
      </c>
    </row>
    <row r="1699" spans="1:11" ht="42" customHeight="1">
      <c r="A1699" s="2" t="s">
        <v>4493</v>
      </c>
      <c r="B1699" s="2" t="s">
        <v>4494</v>
      </c>
      <c r="C1699" s="2" t="s">
        <v>31</v>
      </c>
      <c r="D1699" s="2" t="s">
        <v>32</v>
      </c>
      <c r="E1699" s="5">
        <v>-30891</v>
      </c>
      <c r="F1699" s="3" t="s">
        <v>498</v>
      </c>
      <c r="G1699" s="3" t="s">
        <v>27</v>
      </c>
      <c r="H1699" s="2" t="s">
        <v>72</v>
      </c>
      <c r="I1699" s="2" t="s">
        <v>4495</v>
      </c>
      <c r="J1699" s="3" t="str">
        <f>HYPERLINK("https://www.boe.es/gazeta/dias/1815/06/03/pdfs/GMD-1815-67.pdf#page=6","Abrir facsímil")</f>
        <v>Abrir facsímil</v>
      </c>
      <c r="K1699" s="3" t="s">
        <v>74</v>
      </c>
    </row>
    <row r="1700" spans="1:11" ht="42" customHeight="1">
      <c r="A1700" s="2" t="s">
        <v>4496</v>
      </c>
      <c r="B1700" s="2" t="s">
        <v>4497</v>
      </c>
      <c r="C1700" s="2" t="s">
        <v>49</v>
      </c>
      <c r="D1700" s="2" t="s">
        <v>50</v>
      </c>
      <c r="E1700" s="5">
        <v>-30767</v>
      </c>
      <c r="F1700" s="3" t="s">
        <v>228</v>
      </c>
      <c r="G1700" s="3" t="s">
        <v>88</v>
      </c>
      <c r="H1700" s="2" t="s">
        <v>72</v>
      </c>
      <c r="I1700" s="2" t="s">
        <v>4498</v>
      </c>
      <c r="J1700" s="3" t="str">
        <f>HYPERLINK("https://www.boe.es/gazeta/dias/1815/10/05/pdfs/GMD-1815-125.pdf#page=10","Abrir facsímil")</f>
        <v>Abrir facsímil</v>
      </c>
      <c r="K1700" s="3" t="s">
        <v>74</v>
      </c>
    </row>
    <row r="1701" spans="1:11" ht="42" customHeight="1">
      <c r="A1701" s="2" t="s">
        <v>4499</v>
      </c>
      <c r="B1701" s="2" t="s">
        <v>4500</v>
      </c>
      <c r="C1701" s="2" t="s">
        <v>195</v>
      </c>
      <c r="D1701" s="2" t="s">
        <v>50</v>
      </c>
      <c r="E1701" s="5">
        <v>-31000</v>
      </c>
      <c r="F1701" s="3" t="s">
        <v>70</v>
      </c>
      <c r="G1701" s="3" t="s">
        <v>71</v>
      </c>
      <c r="H1701" s="2" t="s">
        <v>72</v>
      </c>
      <c r="I1701" s="2" t="s">
        <v>4501</v>
      </c>
      <c r="J1701" s="3" t="str">
        <f>HYPERLINK("https://www.boe.es/gazeta/dias/1815/02/14/pdfs/GMD-1815-19.pdf#page=7","Abrir facsímil")</f>
        <v>Abrir facsímil</v>
      </c>
      <c r="K1701" s="3" t="s">
        <v>74</v>
      </c>
    </row>
    <row r="1702" spans="1:11" ht="42" customHeight="1">
      <c r="A1702" s="2" t="s">
        <v>4502</v>
      </c>
      <c r="B1702" s="2" t="s">
        <v>4503</v>
      </c>
      <c r="C1702" s="2" t="s">
        <v>17</v>
      </c>
      <c r="D1702" s="2" t="s">
        <v>18</v>
      </c>
      <c r="E1702" s="5">
        <v>-31040</v>
      </c>
      <c r="F1702" s="3" t="s">
        <v>326</v>
      </c>
      <c r="G1702" s="3" t="s">
        <v>27</v>
      </c>
      <c r="H1702" s="2" t="s">
        <v>72</v>
      </c>
      <c r="I1702" s="2" t="s">
        <v>4504</v>
      </c>
      <c r="J1702" s="3" t="str">
        <f>HYPERLINK("https://www.boe.es/gazeta/dias/1815/01/05/pdfs/GMD-1815-2.pdf#page=6","Abrir facsímil")</f>
        <v>Abrir facsímil</v>
      </c>
      <c r="K1702" s="3" t="s">
        <v>74</v>
      </c>
    </row>
    <row r="1703" spans="1:11" ht="42" customHeight="1">
      <c r="A1703" s="2" t="s">
        <v>4505</v>
      </c>
      <c r="B1703" s="2" t="s">
        <v>4506</v>
      </c>
      <c r="C1703" s="2" t="s">
        <v>195</v>
      </c>
      <c r="D1703" s="2" t="s">
        <v>50</v>
      </c>
      <c r="E1703" s="5">
        <v>-30888</v>
      </c>
      <c r="F1703" s="3" t="s">
        <v>368</v>
      </c>
      <c r="G1703" s="3" t="s">
        <v>224</v>
      </c>
      <c r="H1703" s="2" t="s">
        <v>72</v>
      </c>
      <c r="I1703" s="2" t="s">
        <v>4507</v>
      </c>
      <c r="J1703" s="3" t="str">
        <f>HYPERLINK("https://www.boe.es/gazeta/dias/1815/06/06/pdfs/GMD-1815-68.pdf#page=9","Abrir facsímil")</f>
        <v>Abrir facsímil</v>
      </c>
      <c r="K1703" s="3" t="s">
        <v>74</v>
      </c>
    </row>
    <row r="1704" spans="1:11" ht="42" customHeight="1">
      <c r="A1704" s="2" t="s">
        <v>4508</v>
      </c>
      <c r="B1704" s="2" t="s">
        <v>4509</v>
      </c>
      <c r="C1704" s="2" t="s">
        <v>49</v>
      </c>
      <c r="D1704" s="2" t="s">
        <v>50</v>
      </c>
      <c r="E1704" s="5">
        <v>-30865</v>
      </c>
      <c r="F1704" s="3" t="s">
        <v>163</v>
      </c>
      <c r="G1704" s="3" t="s">
        <v>27</v>
      </c>
      <c r="H1704" s="2" t="s">
        <v>72</v>
      </c>
      <c r="I1704" s="2" t="s">
        <v>4510</v>
      </c>
      <c r="J1704" s="3" t="str">
        <f>HYPERLINK("https://www.boe.es/gazeta/dias/1815/06/29/pdfs/GMD-1815-78.pdf#page=6","Abrir facsímil")</f>
        <v>Abrir facsímil</v>
      </c>
      <c r="K1704" s="3" t="s">
        <v>74</v>
      </c>
    </row>
    <row r="1705" spans="1:11" ht="42" customHeight="1">
      <c r="A1705" s="2" t="s">
        <v>4511</v>
      </c>
      <c r="B1705" s="2" t="s">
        <v>4512</v>
      </c>
      <c r="C1705" s="2" t="s">
        <v>17</v>
      </c>
      <c r="D1705" s="2" t="s">
        <v>18</v>
      </c>
      <c r="E1705" s="5">
        <v>-30811</v>
      </c>
      <c r="F1705" s="3" t="s">
        <v>293</v>
      </c>
      <c r="G1705" s="3" t="s">
        <v>71</v>
      </c>
      <c r="H1705" s="2" t="s">
        <v>72</v>
      </c>
      <c r="I1705" s="2" t="s">
        <v>4513</v>
      </c>
      <c r="J1705" s="3" t="str">
        <f>HYPERLINK("https://www.boe.es/gazeta/dias/1815/08/22/pdfs/GMD-1815-103.pdf#page=7","Abrir facsímil")</f>
        <v>Abrir facsímil</v>
      </c>
      <c r="K1705" s="3" t="s">
        <v>74</v>
      </c>
    </row>
    <row r="1706" spans="1:11" ht="42" customHeight="1">
      <c r="A1706" s="2" t="s">
        <v>4514</v>
      </c>
      <c r="B1706" s="2" t="s">
        <v>4514</v>
      </c>
      <c r="C1706" s="2" t="s">
        <v>31</v>
      </c>
      <c r="D1706" s="2" t="s">
        <v>32</v>
      </c>
      <c r="E1706" s="5">
        <v>-30849</v>
      </c>
      <c r="F1706" s="3" t="s">
        <v>501</v>
      </c>
      <c r="G1706" s="3" t="s">
        <v>88</v>
      </c>
      <c r="H1706" s="2" t="s">
        <v>72</v>
      </c>
      <c r="I1706" s="2" t="s">
        <v>4515</v>
      </c>
      <c r="J1706" s="3" t="str">
        <f>HYPERLINK("https://www.boe.es/gazeta/dias/1815/07/15/pdfs/GMD-1815-87.pdf#page=10","Abrir facsímil")</f>
        <v>Abrir facsímil</v>
      </c>
      <c r="K1706" s="3" t="s">
        <v>74</v>
      </c>
    </row>
    <row r="1707" spans="1:11" ht="42" customHeight="1">
      <c r="A1707" s="2" t="s">
        <v>4516</v>
      </c>
      <c r="B1707" s="2" t="s">
        <v>4517</v>
      </c>
      <c r="C1707" s="2" t="s">
        <v>17</v>
      </c>
      <c r="D1707" s="2" t="s">
        <v>18</v>
      </c>
      <c r="E1707" s="5">
        <v>-30975</v>
      </c>
      <c r="F1707" s="3" t="s">
        <v>1194</v>
      </c>
      <c r="G1707" s="3" t="s">
        <v>71</v>
      </c>
      <c r="H1707" s="2" t="s">
        <v>72</v>
      </c>
      <c r="I1707" s="2" t="s">
        <v>4518</v>
      </c>
      <c r="J1707" s="3" t="str">
        <f>HYPERLINK("https://www.boe.es/gazeta/dias/1815/03/11/pdfs/GMD-1815-30.pdf#page=7","Abrir facsímil")</f>
        <v>Abrir facsímil</v>
      </c>
      <c r="K1707" s="3" t="s">
        <v>74</v>
      </c>
    </row>
    <row r="1708" spans="1:11" ht="42" customHeight="1">
      <c r="A1708" s="2" t="s">
        <v>4519</v>
      </c>
      <c r="B1708" s="2" t="s">
        <v>4520</v>
      </c>
      <c r="C1708" s="2" t="s">
        <v>131</v>
      </c>
      <c r="D1708" s="2" t="s">
        <v>50</v>
      </c>
      <c r="E1708" s="5">
        <v>-30989</v>
      </c>
      <c r="F1708" s="3" t="s">
        <v>2441</v>
      </c>
      <c r="G1708" s="3" t="s">
        <v>97</v>
      </c>
      <c r="H1708" s="2" t="s">
        <v>72</v>
      </c>
      <c r="I1708" s="2" t="s">
        <v>4521</v>
      </c>
      <c r="J1708" s="3" t="str">
        <f>HYPERLINK("https://www.boe.es/gazeta/dias/1815/02/25/pdfs/GMD-1815-24.pdf#page=3","Abrir facsímil")</f>
        <v>Abrir facsímil</v>
      </c>
      <c r="K1708" s="3" t="s">
        <v>74</v>
      </c>
    </row>
    <row r="1709" spans="1:11" ht="42" customHeight="1">
      <c r="A1709" s="2" t="s">
        <v>4522</v>
      </c>
      <c r="B1709" s="2" t="s">
        <v>4523</v>
      </c>
      <c r="C1709" s="2" t="s">
        <v>49</v>
      </c>
      <c r="D1709" s="2" t="s">
        <v>50</v>
      </c>
      <c r="E1709" s="5">
        <v>-30702</v>
      </c>
      <c r="F1709" s="3" t="s">
        <v>196</v>
      </c>
      <c r="G1709" s="3" t="s">
        <v>38</v>
      </c>
      <c r="H1709" s="2" t="s">
        <v>72</v>
      </c>
      <c r="I1709" s="2" t="s">
        <v>4524</v>
      </c>
      <c r="J1709" s="3" t="str">
        <f>HYPERLINK("https://www.boe.es/gazeta/dias/1815/12/09/pdfs/GMD-1815-153.pdf#page=8","Abrir facsímil")</f>
        <v>Abrir facsímil</v>
      </c>
      <c r="K1709" s="3" t="s">
        <v>74</v>
      </c>
    </row>
    <row r="1710" spans="1:11" ht="42" customHeight="1">
      <c r="A1710" s="2" t="s">
        <v>4525</v>
      </c>
      <c r="B1710" s="2" t="s">
        <v>4526</v>
      </c>
      <c r="C1710" s="2" t="s">
        <v>31</v>
      </c>
      <c r="D1710" s="2" t="s">
        <v>32</v>
      </c>
      <c r="E1710" s="5">
        <v>-30853</v>
      </c>
      <c r="F1710" s="3" t="s">
        <v>1473</v>
      </c>
      <c r="G1710" s="3" t="s">
        <v>38</v>
      </c>
      <c r="H1710" s="2" t="s">
        <v>72</v>
      </c>
      <c r="I1710" s="2" t="s">
        <v>4527</v>
      </c>
      <c r="J1710" s="3" t="str">
        <f>HYPERLINK("https://www.boe.es/gazeta/dias/1815/07/11/pdfs/GMD-1815-85.pdf#page=8","Abrir facsímil")</f>
        <v>Abrir facsímil</v>
      </c>
      <c r="K1710" s="3" t="s">
        <v>74</v>
      </c>
    </row>
    <row r="1711" spans="1:11" ht="42" customHeight="1">
      <c r="A1711" s="2" t="s">
        <v>4528</v>
      </c>
      <c r="B1711" s="2" t="s">
        <v>4529</v>
      </c>
      <c r="C1711" s="2" t="s">
        <v>195</v>
      </c>
      <c r="D1711" s="2" t="s">
        <v>50</v>
      </c>
      <c r="E1711" s="5">
        <v>-31024</v>
      </c>
      <c r="F1711" s="3" t="s">
        <v>101</v>
      </c>
      <c r="G1711" s="3" t="s">
        <v>258</v>
      </c>
      <c r="H1711" s="2" t="s">
        <v>72</v>
      </c>
      <c r="I1711" s="2" t="s">
        <v>4530</v>
      </c>
      <c r="J1711" s="3" t="str">
        <f>HYPERLINK("https://www.boe.es/gazeta/dias/1815/01/21/pdfs/GMD-1815-9.pdf#page=6","Abrir facsímil")</f>
        <v>Abrir facsímil</v>
      </c>
      <c r="K1711" s="3" t="s">
        <v>74</v>
      </c>
    </row>
    <row r="1712" spans="1:11" ht="42" customHeight="1">
      <c r="A1712" s="2" t="s">
        <v>4531</v>
      </c>
      <c r="B1712" s="2" t="s">
        <v>4532</v>
      </c>
      <c r="C1712" s="2" t="s">
        <v>49</v>
      </c>
      <c r="D1712" s="2" t="s">
        <v>50</v>
      </c>
      <c r="E1712" s="5">
        <v>-30825</v>
      </c>
      <c r="F1712" s="3" t="s">
        <v>669</v>
      </c>
      <c r="G1712" s="3" t="s">
        <v>224</v>
      </c>
      <c r="H1712" s="2" t="s">
        <v>72</v>
      </c>
      <c r="I1712" s="2" t="s">
        <v>4533</v>
      </c>
      <c r="J1712" s="3" t="str">
        <f>HYPERLINK("https://www.boe.es/gazeta/dias/1815/08/08/pdfs/GMD-1815-97.pdf#page=9","Abrir facsímil")</f>
        <v>Abrir facsímil</v>
      </c>
      <c r="K1712" s="3" t="s">
        <v>74</v>
      </c>
    </row>
    <row r="1713" spans="1:11" ht="42" customHeight="1">
      <c r="A1713" s="2" t="s">
        <v>4534</v>
      </c>
      <c r="B1713" s="2" t="s">
        <v>4535</v>
      </c>
      <c r="C1713" s="2" t="s">
        <v>49</v>
      </c>
      <c r="D1713" s="2" t="s">
        <v>50</v>
      </c>
      <c r="E1713" s="5">
        <v>-30732</v>
      </c>
      <c r="F1713" s="3" t="s">
        <v>554</v>
      </c>
      <c r="G1713" s="3" t="s">
        <v>71</v>
      </c>
      <c r="H1713" s="2" t="s">
        <v>72</v>
      </c>
      <c r="I1713" s="2" t="s">
        <v>4536</v>
      </c>
      <c r="J1713" s="3" t="str">
        <f>HYPERLINK("https://www.boe.es/gazeta/dias/1815/11/09/pdfs/GMD-1815-140.pdf#page=7","Abrir facsímil")</f>
        <v>Abrir facsímil</v>
      </c>
      <c r="K1713" s="3" t="s">
        <v>74</v>
      </c>
    </row>
    <row r="1714" spans="1:11" ht="42" customHeight="1">
      <c r="A1714" s="2" t="s">
        <v>4537</v>
      </c>
      <c r="B1714" s="2" t="s">
        <v>4538</v>
      </c>
      <c r="C1714" s="2" t="s">
        <v>195</v>
      </c>
      <c r="D1714" s="2" t="s">
        <v>50</v>
      </c>
      <c r="E1714" s="5">
        <v>-30874</v>
      </c>
      <c r="F1714" s="3" t="s">
        <v>208</v>
      </c>
      <c r="G1714" s="3" t="s">
        <v>224</v>
      </c>
      <c r="H1714" s="2" t="s">
        <v>72</v>
      </c>
      <c r="I1714" s="2" t="s">
        <v>4539</v>
      </c>
      <c r="J1714" s="3" t="str">
        <f>HYPERLINK("https://www.boe.es/gazeta/dias/1815/06/20/pdfs/GMD-1815-74.pdf#page=9","Abrir facsímil")</f>
        <v>Abrir facsímil</v>
      </c>
      <c r="K1714" s="3" t="s">
        <v>74</v>
      </c>
    </row>
    <row r="1715" spans="1:11" ht="42" customHeight="1">
      <c r="A1715" s="2" t="s">
        <v>4540</v>
      </c>
      <c r="B1715" s="2" t="s">
        <v>4541</v>
      </c>
      <c r="C1715" s="2" t="s">
        <v>131</v>
      </c>
      <c r="D1715" s="2" t="s">
        <v>50</v>
      </c>
      <c r="E1715" s="5">
        <v>-30996</v>
      </c>
      <c r="F1715" s="3" t="s">
        <v>289</v>
      </c>
      <c r="G1715" s="3" t="s">
        <v>38</v>
      </c>
      <c r="H1715" s="2" t="s">
        <v>21</v>
      </c>
      <c r="I1715" s="2" t="s">
        <v>4542</v>
      </c>
      <c r="J1715" s="3" t="str">
        <f>HYPERLINK("https://www.boe.es/gazeta/dias/1815/02/18/pdfs/GMD-1815-21.pdf#page=8","Abrir facsímil")</f>
        <v>Abrir facsímil</v>
      </c>
      <c r="K1715" s="3" t="s">
        <v>23</v>
      </c>
    </row>
    <row r="1716" spans="1:11" ht="42" customHeight="1">
      <c r="A1716" s="2" t="s">
        <v>4543</v>
      </c>
      <c r="B1716" s="2" t="s">
        <v>4544</v>
      </c>
      <c r="C1716" s="2" t="s">
        <v>49</v>
      </c>
      <c r="D1716" s="2" t="s">
        <v>50</v>
      </c>
      <c r="E1716" s="5">
        <v>-30928</v>
      </c>
      <c r="F1716" s="3" t="s">
        <v>330</v>
      </c>
      <c r="G1716" s="3" t="s">
        <v>38</v>
      </c>
      <c r="H1716" s="2" t="s">
        <v>72</v>
      </c>
      <c r="I1716" s="2" t="s">
        <v>4545</v>
      </c>
      <c r="J1716" s="3" t="str">
        <f>HYPERLINK("https://www.boe.es/gazeta/dias/1815/04/27/pdfs/GMD-1815-51.pdf#page=8","Abrir facsímil")</f>
        <v>Abrir facsímil</v>
      </c>
      <c r="K1716" s="3" t="s">
        <v>74</v>
      </c>
    </row>
    <row r="1717" spans="1:11" ht="42" customHeight="1">
      <c r="A1717" s="2" t="s">
        <v>4546</v>
      </c>
      <c r="B1717" s="2" t="s">
        <v>4547</v>
      </c>
      <c r="C1717" s="2" t="s">
        <v>49</v>
      </c>
      <c r="D1717" s="2" t="s">
        <v>50</v>
      </c>
      <c r="E1717" s="5">
        <v>-30758</v>
      </c>
      <c r="F1717" s="3" t="s">
        <v>1964</v>
      </c>
      <c r="G1717" s="3" t="s">
        <v>20</v>
      </c>
      <c r="H1717" s="2" t="s">
        <v>72</v>
      </c>
      <c r="I1717" s="2" t="s">
        <v>4548</v>
      </c>
      <c r="J1717" s="3" t="str">
        <f>HYPERLINK("https://www.boe.es/gazeta/dias/1815/10/14/pdfs/GMD-1815-129.pdf#page=4","Abrir facsímil")</f>
        <v>Abrir facsímil</v>
      </c>
      <c r="K1717" s="3" t="s">
        <v>74</v>
      </c>
    </row>
    <row r="1718" spans="1:11" ht="42" customHeight="1">
      <c r="A1718" s="2" t="s">
        <v>4549</v>
      </c>
      <c r="B1718" s="2" t="s">
        <v>4550</v>
      </c>
      <c r="C1718" s="2" t="s">
        <v>31</v>
      </c>
      <c r="D1718" s="2" t="s">
        <v>32</v>
      </c>
      <c r="E1718" s="5">
        <v>-30982</v>
      </c>
      <c r="F1718" s="3" t="s">
        <v>220</v>
      </c>
      <c r="G1718" s="3" t="s">
        <v>57</v>
      </c>
      <c r="H1718" s="2" t="s">
        <v>72</v>
      </c>
      <c r="I1718" s="2" t="s">
        <v>4551</v>
      </c>
      <c r="J1718" s="3" t="str">
        <f>HYPERLINK("https://www.boe.es/gazeta/dias/1815/03/04/pdfs/GMD-1815-27.pdf#page=5","Abrir facsímil")</f>
        <v>Abrir facsímil</v>
      </c>
      <c r="K1718" s="3" t="s">
        <v>74</v>
      </c>
    </row>
    <row r="1719" spans="1:11" ht="42" customHeight="1">
      <c r="A1719" s="2" t="s">
        <v>4552</v>
      </c>
      <c r="B1719" s="2" t="s">
        <v>4552</v>
      </c>
      <c r="C1719" s="2" t="s">
        <v>31</v>
      </c>
      <c r="D1719" s="2" t="s">
        <v>32</v>
      </c>
      <c r="E1719" s="5">
        <v>-30818</v>
      </c>
      <c r="F1719" s="3" t="s">
        <v>334</v>
      </c>
      <c r="G1719" s="3" t="s">
        <v>4553</v>
      </c>
      <c r="H1719" s="2" t="s">
        <v>72</v>
      </c>
      <c r="I1719" s="2" t="s">
        <v>4554</v>
      </c>
      <c r="J1719" s="3" t="str">
        <f>HYPERLINK("https://www.boe.es/gazeta/dias/1815/08/15/pdfs/GMD-1815-100.pdf#page=2","Abrir facsímil")</f>
        <v>Abrir facsímil</v>
      </c>
      <c r="K1719" s="3" t="s">
        <v>74</v>
      </c>
    </row>
    <row r="1720" spans="1:11" ht="42" customHeight="1">
      <c r="A1720" s="2" t="s">
        <v>4552</v>
      </c>
      <c r="B1720" s="2" t="s">
        <v>4552</v>
      </c>
      <c r="C1720" s="2" t="s">
        <v>31</v>
      </c>
      <c r="D1720" s="2" t="s">
        <v>32</v>
      </c>
      <c r="E1720" s="5">
        <v>-30751</v>
      </c>
      <c r="F1720" s="3" t="s">
        <v>819</v>
      </c>
      <c r="G1720" s="3" t="s">
        <v>377</v>
      </c>
      <c r="H1720" s="2" t="s">
        <v>72</v>
      </c>
      <c r="I1720" s="2" t="s">
        <v>4555</v>
      </c>
      <c r="J1720" s="3" t="str">
        <f>HYPERLINK("https://www.boe.es/gazeta/dias/1815/10/21/pdfs/GMD-1815-132.pdf#page=2","Abrir facsímil")</f>
        <v>Abrir facsímil</v>
      </c>
      <c r="K1720" s="3" t="s">
        <v>74</v>
      </c>
    </row>
    <row r="1721" spans="1:11" ht="42" customHeight="1">
      <c r="A1721" s="2" t="s">
        <v>4556</v>
      </c>
      <c r="B1721" s="2" t="s">
        <v>4556</v>
      </c>
      <c r="C1721" s="2" t="s">
        <v>17</v>
      </c>
      <c r="D1721" s="2" t="s">
        <v>18</v>
      </c>
      <c r="E1721" s="5">
        <v>-30935</v>
      </c>
      <c r="F1721" s="3" t="s">
        <v>519</v>
      </c>
      <c r="G1721" s="3" t="s">
        <v>38</v>
      </c>
      <c r="H1721" s="2" t="s">
        <v>72</v>
      </c>
      <c r="I1721" s="2" t="s">
        <v>4557</v>
      </c>
      <c r="J1721" s="3" t="str">
        <f>HYPERLINK("https://www.boe.es/gazeta/dias/1815/04/20/pdfs/GMD-1815-48.pdf#page=8","Abrir facsímil")</f>
        <v>Abrir facsímil</v>
      </c>
      <c r="K1721" s="3" t="s">
        <v>74</v>
      </c>
    </row>
    <row r="1722" spans="1:11" ht="42" customHeight="1">
      <c r="A1722" s="2" t="s">
        <v>4558</v>
      </c>
      <c r="B1722" s="2" t="s">
        <v>4559</v>
      </c>
      <c r="C1722" s="2" t="s">
        <v>17</v>
      </c>
      <c r="D1722" s="2" t="s">
        <v>18</v>
      </c>
      <c r="E1722" s="5">
        <v>-30690</v>
      </c>
      <c r="F1722" s="3" t="s">
        <v>1449</v>
      </c>
      <c r="G1722" s="3" t="s">
        <v>57</v>
      </c>
      <c r="H1722" s="2" t="s">
        <v>72</v>
      </c>
      <c r="I1722" s="2" t="s">
        <v>4560</v>
      </c>
      <c r="J1722" s="3" t="str">
        <f>HYPERLINK("https://www.boe.es/gazeta/dias/1815/12/21/pdfs/GMD-1815-158.pdf#page=5","Abrir facsímil")</f>
        <v>Abrir facsímil</v>
      </c>
      <c r="K1722" s="3" t="s">
        <v>74</v>
      </c>
    </row>
    <row r="1723" spans="1:11" ht="42" customHeight="1">
      <c r="A1723" s="2" t="s">
        <v>4561</v>
      </c>
      <c r="B1723" s="2" t="s">
        <v>4562</v>
      </c>
      <c r="C1723" s="2" t="s">
        <v>31</v>
      </c>
      <c r="D1723" s="2" t="s">
        <v>32</v>
      </c>
      <c r="E1723" s="5">
        <v>-30842</v>
      </c>
      <c r="F1723" s="3" t="s">
        <v>126</v>
      </c>
      <c r="G1723" s="3" t="s">
        <v>27</v>
      </c>
      <c r="H1723" s="2" t="s">
        <v>72</v>
      </c>
      <c r="I1723" s="2" t="s">
        <v>4563</v>
      </c>
      <c r="J1723" s="3" t="str">
        <f>HYPERLINK("https://www.boe.es/gazeta/dias/1815/07/22/pdfs/GMD-1815-90.pdf#page=6","Abrir facsímil")</f>
        <v>Abrir facsímil</v>
      </c>
      <c r="K1723" s="3" t="s">
        <v>74</v>
      </c>
    </row>
    <row r="1724" spans="1:11" ht="42" customHeight="1">
      <c r="A1724" s="2" t="s">
        <v>4564</v>
      </c>
      <c r="B1724" s="2" t="s">
        <v>4565</v>
      </c>
      <c r="C1724" s="2" t="s">
        <v>31</v>
      </c>
      <c r="D1724" s="2" t="s">
        <v>32</v>
      </c>
      <c r="E1724" s="5">
        <v>-31026</v>
      </c>
      <c r="F1724" s="3" t="s">
        <v>874</v>
      </c>
      <c r="G1724" s="3" t="s">
        <v>57</v>
      </c>
      <c r="H1724" s="2" t="s">
        <v>72</v>
      </c>
      <c r="I1724" s="2" t="s">
        <v>4566</v>
      </c>
      <c r="J1724" s="3" t="str">
        <f>HYPERLINK("https://www.boe.es/gazeta/dias/1815/01/19/pdfs/GMD-1815-8.pdf#page=5","Abrir facsímil")</f>
        <v>Abrir facsímil</v>
      </c>
      <c r="K1724" s="3" t="s">
        <v>74</v>
      </c>
    </row>
    <row r="1725" spans="1:11" ht="42" customHeight="1">
      <c r="A1725" s="2" t="s">
        <v>4564</v>
      </c>
      <c r="B1725" s="2" t="s">
        <v>4565</v>
      </c>
      <c r="C1725" s="2" t="s">
        <v>31</v>
      </c>
      <c r="D1725" s="2" t="s">
        <v>32</v>
      </c>
      <c r="E1725" s="5">
        <v>-31024</v>
      </c>
      <c r="F1725" s="3" t="s">
        <v>101</v>
      </c>
      <c r="G1725" s="3" t="s">
        <v>57</v>
      </c>
      <c r="H1725" s="2" t="s">
        <v>72</v>
      </c>
      <c r="I1725" s="2" t="s">
        <v>4567</v>
      </c>
      <c r="J1725" s="3" t="str">
        <f>HYPERLINK("https://www.boe.es/gazeta/dias/1815/01/21/pdfs/GMD-1815-9.pdf#page=5","Abrir facsímil")</f>
        <v>Abrir facsímil</v>
      </c>
      <c r="K1725" s="3" t="s">
        <v>74</v>
      </c>
    </row>
    <row r="1726" spans="1:11" ht="42" customHeight="1">
      <c r="A1726" s="2" t="s">
        <v>4564</v>
      </c>
      <c r="B1726" s="2" t="s">
        <v>4565</v>
      </c>
      <c r="C1726" s="2" t="s">
        <v>17</v>
      </c>
      <c r="D1726" s="2" t="s">
        <v>18</v>
      </c>
      <c r="E1726" s="5">
        <v>-31010</v>
      </c>
      <c r="F1726" s="3" t="s">
        <v>1098</v>
      </c>
      <c r="G1726" s="3" t="s">
        <v>57</v>
      </c>
      <c r="H1726" s="2" t="s">
        <v>72</v>
      </c>
      <c r="I1726" s="2" t="s">
        <v>4568</v>
      </c>
      <c r="J1726" s="3" t="str">
        <f>HYPERLINK("https://www.boe.es/gazeta/dias/1815/02/04/pdfs/GMD-1815-15.pdf#page=5","Abrir facsímil")</f>
        <v>Abrir facsímil</v>
      </c>
      <c r="K1726" s="3" t="s">
        <v>74</v>
      </c>
    </row>
    <row r="1727" spans="1:11" ht="42" customHeight="1">
      <c r="A1727" s="2" t="s">
        <v>4564</v>
      </c>
      <c r="B1727" s="2" t="s">
        <v>4565</v>
      </c>
      <c r="C1727" s="2" t="s">
        <v>31</v>
      </c>
      <c r="D1727" s="2" t="s">
        <v>32</v>
      </c>
      <c r="E1727" s="5">
        <v>-30968</v>
      </c>
      <c r="F1727" s="3" t="s">
        <v>2695</v>
      </c>
      <c r="G1727" s="3" t="s">
        <v>2814</v>
      </c>
      <c r="H1727" s="2" t="s">
        <v>72</v>
      </c>
      <c r="I1727" s="2" t="s">
        <v>4569</v>
      </c>
      <c r="J1727" s="3" t="str">
        <f>HYPERLINK("https://www.boe.es/gazeta/dias/1815/03/18/pdfs/GMD-1815-33.pdf#page=10","Abrir facsímil")</f>
        <v>Abrir facsímil</v>
      </c>
      <c r="K1727" s="3" t="s">
        <v>74</v>
      </c>
    </row>
    <row r="1728" spans="1:11" ht="42" customHeight="1">
      <c r="A1728" s="2" t="s">
        <v>4564</v>
      </c>
      <c r="B1728" s="2" t="s">
        <v>4565</v>
      </c>
      <c r="C1728" s="2" t="s">
        <v>31</v>
      </c>
      <c r="D1728" s="2" t="s">
        <v>32</v>
      </c>
      <c r="E1728" s="5">
        <v>-30947</v>
      </c>
      <c r="F1728" s="3" t="s">
        <v>159</v>
      </c>
      <c r="G1728" s="3" t="s">
        <v>71</v>
      </c>
      <c r="H1728" s="2" t="s">
        <v>72</v>
      </c>
      <c r="I1728" s="2" t="s">
        <v>4570</v>
      </c>
      <c r="J1728" s="3" t="str">
        <f>HYPERLINK("https://www.boe.es/gazeta/dias/1815/04/08/pdfs/GMD-1815-43.pdf#page=7","Abrir facsímil")</f>
        <v>Abrir facsímil</v>
      </c>
      <c r="K1728" s="3" t="s">
        <v>74</v>
      </c>
    </row>
    <row r="1729" spans="1:11" ht="42" customHeight="1">
      <c r="A1729" s="2" t="s">
        <v>4564</v>
      </c>
      <c r="B1729" s="2" t="s">
        <v>4565</v>
      </c>
      <c r="C1729" s="2" t="s">
        <v>17</v>
      </c>
      <c r="D1729" s="2" t="s">
        <v>18</v>
      </c>
      <c r="E1729" s="5">
        <v>-30928</v>
      </c>
      <c r="F1729" s="3" t="s">
        <v>330</v>
      </c>
      <c r="G1729" s="3" t="s">
        <v>57</v>
      </c>
      <c r="H1729" s="2" t="s">
        <v>72</v>
      </c>
      <c r="I1729" s="2" t="s">
        <v>4571</v>
      </c>
      <c r="J1729" s="3" t="str">
        <f>HYPERLINK("https://www.boe.es/gazeta/dias/1815/04/27/pdfs/GMD-1815-51.pdf#page=5","Abrir facsímil")</f>
        <v>Abrir facsímil</v>
      </c>
      <c r="K1729" s="3" t="s">
        <v>74</v>
      </c>
    </row>
    <row r="1730" spans="1:11" ht="42" customHeight="1">
      <c r="A1730" s="2" t="s">
        <v>4564</v>
      </c>
      <c r="B1730" s="2" t="s">
        <v>4565</v>
      </c>
      <c r="C1730" s="2" t="s">
        <v>17</v>
      </c>
      <c r="D1730" s="2" t="s">
        <v>18</v>
      </c>
      <c r="E1730" s="5">
        <v>-30916</v>
      </c>
      <c r="F1730" s="3" t="s">
        <v>147</v>
      </c>
      <c r="G1730" s="3" t="s">
        <v>224</v>
      </c>
      <c r="H1730" s="2" t="s">
        <v>72</v>
      </c>
      <c r="I1730" s="2" t="s">
        <v>4572</v>
      </c>
      <c r="J1730" s="3" t="str">
        <f>HYPERLINK("https://www.boe.es/gazeta/dias/1815/05/09/pdfs/GMD-1815-56.pdf#page=9","Abrir facsímil")</f>
        <v>Abrir facsímil</v>
      </c>
      <c r="K1730" s="3" t="s">
        <v>74</v>
      </c>
    </row>
    <row r="1731" spans="1:11" ht="42" customHeight="1">
      <c r="A1731" s="2" t="s">
        <v>4564</v>
      </c>
      <c r="B1731" s="2" t="s">
        <v>4565</v>
      </c>
      <c r="C1731" s="2" t="s">
        <v>17</v>
      </c>
      <c r="D1731" s="2" t="s">
        <v>18</v>
      </c>
      <c r="E1731" s="5">
        <v>-30811</v>
      </c>
      <c r="F1731" s="3" t="s">
        <v>293</v>
      </c>
      <c r="G1731" s="3" t="s">
        <v>57</v>
      </c>
      <c r="H1731" s="2" t="s">
        <v>72</v>
      </c>
      <c r="I1731" s="2" t="s">
        <v>4573</v>
      </c>
      <c r="J1731" s="3" t="str">
        <f>HYPERLINK("https://www.boe.es/gazeta/dias/1815/08/22/pdfs/GMD-1815-103.pdf#page=5","Abrir facsímil")</f>
        <v>Abrir facsímil</v>
      </c>
      <c r="K1731" s="3" t="s">
        <v>74</v>
      </c>
    </row>
    <row r="1732" spans="1:11" ht="42" customHeight="1">
      <c r="A1732" s="2" t="s">
        <v>4564</v>
      </c>
      <c r="B1732" s="2" t="s">
        <v>4565</v>
      </c>
      <c r="C1732" s="2" t="s">
        <v>17</v>
      </c>
      <c r="D1732" s="2" t="s">
        <v>18</v>
      </c>
      <c r="E1732" s="5">
        <v>-30807</v>
      </c>
      <c r="F1732" s="3" t="s">
        <v>586</v>
      </c>
      <c r="G1732" s="3" t="s">
        <v>97</v>
      </c>
      <c r="H1732" s="2" t="s">
        <v>72</v>
      </c>
      <c r="I1732" s="2" t="s">
        <v>4574</v>
      </c>
      <c r="J1732" s="3" t="str">
        <f>HYPERLINK("https://www.boe.es/gazeta/dias/1815/08/26/pdfs/GMD-1815-105.pdf#page=3","Abrir facsímil")</f>
        <v>Abrir facsímil</v>
      </c>
      <c r="K1732" s="3" t="s">
        <v>74</v>
      </c>
    </row>
    <row r="1733" spans="1:11" ht="42" customHeight="1">
      <c r="A1733" s="2" t="s">
        <v>4564</v>
      </c>
      <c r="B1733" s="2" t="s">
        <v>4565</v>
      </c>
      <c r="C1733" s="2" t="s">
        <v>17</v>
      </c>
      <c r="D1733" s="2" t="s">
        <v>179</v>
      </c>
      <c r="E1733" s="5">
        <v>-30801</v>
      </c>
      <c r="F1733" s="3" t="s">
        <v>4575</v>
      </c>
      <c r="G1733" s="3" t="s">
        <v>410</v>
      </c>
      <c r="H1733" s="2" t="s">
        <v>72</v>
      </c>
      <c r="I1733" s="2" t="s">
        <v>4576</v>
      </c>
      <c r="J1733" s="3" t="str">
        <f>HYPERLINK("https://www.boe.es/gazeta/dias/1815/09/01/pdfs/GMD-1815-108E.pdf#page=1","Abrir facsímil")</f>
        <v>Abrir facsímil</v>
      </c>
      <c r="K1733" s="3" t="s">
        <v>74</v>
      </c>
    </row>
    <row r="1734" spans="1:11" ht="42" customHeight="1">
      <c r="A1734" s="2" t="s">
        <v>4564</v>
      </c>
      <c r="B1734" s="2" t="s">
        <v>4565</v>
      </c>
      <c r="C1734" s="2" t="s">
        <v>17</v>
      </c>
      <c r="D1734" s="2" t="s">
        <v>18</v>
      </c>
      <c r="E1734" s="5">
        <v>-30797</v>
      </c>
      <c r="F1734" s="3" t="s">
        <v>248</v>
      </c>
      <c r="G1734" s="3" t="s">
        <v>38</v>
      </c>
      <c r="H1734" s="2" t="s">
        <v>72</v>
      </c>
      <c r="I1734" s="2" t="s">
        <v>4577</v>
      </c>
      <c r="J1734" s="3" t="str">
        <f>HYPERLINK("https://www.boe.es/gazeta/dias/1815/09/05/pdfs/GMD-1815-110.pdf#page=8","Abrir facsímil")</f>
        <v>Abrir facsímil</v>
      </c>
      <c r="K1734" s="3" t="s">
        <v>74</v>
      </c>
    </row>
    <row r="1735" spans="1:11" ht="42" customHeight="1">
      <c r="A1735" s="2" t="s">
        <v>4564</v>
      </c>
      <c r="B1735" s="2" t="s">
        <v>4565</v>
      </c>
      <c r="C1735" s="2" t="s">
        <v>17</v>
      </c>
      <c r="D1735" s="2" t="s">
        <v>18</v>
      </c>
      <c r="E1735" s="5">
        <v>-30788</v>
      </c>
      <c r="F1735" s="3" t="s">
        <v>96</v>
      </c>
      <c r="G1735" s="3" t="s">
        <v>71</v>
      </c>
      <c r="H1735" s="2" t="s">
        <v>72</v>
      </c>
      <c r="I1735" s="2" t="s">
        <v>4578</v>
      </c>
      <c r="J1735" s="3" t="str">
        <f>HYPERLINK("https://www.boe.es/gazeta/dias/1815/09/14/pdfs/GMD-1815-114.pdf#page=7","Abrir facsímil")</f>
        <v>Abrir facsímil</v>
      </c>
      <c r="K1735" s="3" t="s">
        <v>74</v>
      </c>
    </row>
    <row r="1736" spans="1:11" ht="42" customHeight="1">
      <c r="A1736" s="2" t="s">
        <v>4564</v>
      </c>
      <c r="B1736" s="2" t="s">
        <v>4565</v>
      </c>
      <c r="C1736" s="2" t="s">
        <v>31</v>
      </c>
      <c r="D1736" s="2" t="s">
        <v>32</v>
      </c>
      <c r="E1736" s="5">
        <v>-30774</v>
      </c>
      <c r="F1736" s="3" t="s">
        <v>1143</v>
      </c>
      <c r="G1736" s="3" t="s">
        <v>2847</v>
      </c>
      <c r="H1736" s="2" t="s">
        <v>72</v>
      </c>
      <c r="I1736" s="2" t="s">
        <v>4579</v>
      </c>
      <c r="J1736" s="3" t="str">
        <f>HYPERLINK("https://www.boe.es/gazeta/dias/1815/09/28/pdfs/GMD-1815-121.pdf#page=5","Abrir facsímil")</f>
        <v>Abrir facsímil</v>
      </c>
      <c r="K1736" s="3" t="s">
        <v>74</v>
      </c>
    </row>
    <row r="1737" spans="1:11" ht="42" customHeight="1">
      <c r="A1737" s="2" t="s">
        <v>4564</v>
      </c>
      <c r="B1737" s="2" t="s">
        <v>4565</v>
      </c>
      <c r="C1737" s="2" t="s">
        <v>31</v>
      </c>
      <c r="D1737" s="2" t="s">
        <v>32</v>
      </c>
      <c r="E1737" s="5">
        <v>-30774</v>
      </c>
      <c r="F1737" s="3" t="s">
        <v>1143</v>
      </c>
      <c r="G1737" s="3" t="s">
        <v>4580</v>
      </c>
      <c r="H1737" s="2" t="s">
        <v>72</v>
      </c>
      <c r="I1737" s="2" t="s">
        <v>4581</v>
      </c>
      <c r="J1737" s="3" t="str">
        <f>HYPERLINK("https://www.boe.es/gazeta/dias/1815/09/28/pdfs/GMD-1815-121.pdf#page=6","Abrir facsímil")</f>
        <v>Abrir facsímil</v>
      </c>
      <c r="K1737" s="3" t="s">
        <v>74</v>
      </c>
    </row>
    <row r="1738" spans="1:11" ht="42" customHeight="1">
      <c r="A1738" s="2" t="s">
        <v>4564</v>
      </c>
      <c r="B1738" s="2" t="s">
        <v>4565</v>
      </c>
      <c r="C1738" s="2" t="s">
        <v>17</v>
      </c>
      <c r="D1738" s="2" t="s">
        <v>18</v>
      </c>
      <c r="E1738" s="5">
        <v>-30741</v>
      </c>
      <c r="F1738" s="3" t="s">
        <v>1000</v>
      </c>
      <c r="G1738" s="3" t="s">
        <v>4582</v>
      </c>
      <c r="H1738" s="2" t="s">
        <v>72</v>
      </c>
      <c r="I1738" s="2" t="s">
        <v>4583</v>
      </c>
      <c r="J1738" s="3" t="str">
        <f>HYPERLINK("https://www.boe.es/gazeta/dias/1815/10/31/pdfs/GMD-1815-136.pdf#page=5","Abrir facsímil")</f>
        <v>Abrir facsímil</v>
      </c>
      <c r="K1738" s="3" t="s">
        <v>74</v>
      </c>
    </row>
    <row r="1739" spans="1:11" ht="42" customHeight="1">
      <c r="A1739" s="2" t="s">
        <v>4564</v>
      </c>
      <c r="B1739" s="2" t="s">
        <v>4565</v>
      </c>
      <c r="C1739" s="2" t="s">
        <v>17</v>
      </c>
      <c r="D1739" s="2" t="s">
        <v>18</v>
      </c>
      <c r="E1739" s="5">
        <v>-30727</v>
      </c>
      <c r="F1739" s="3" t="s">
        <v>262</v>
      </c>
      <c r="G1739" s="3" t="s">
        <v>71</v>
      </c>
      <c r="H1739" s="2" t="s">
        <v>72</v>
      </c>
      <c r="I1739" s="2" t="s">
        <v>4584</v>
      </c>
      <c r="J1739" s="3" t="str">
        <f>HYPERLINK("https://www.boe.es/gazeta/dias/1815/11/14/pdfs/GMD-1815-142.pdf#page=7","Abrir facsímil")</f>
        <v>Abrir facsímil</v>
      </c>
      <c r="K1739" s="3" t="s">
        <v>74</v>
      </c>
    </row>
    <row r="1740" spans="1:11" ht="42" customHeight="1">
      <c r="A1740" s="2" t="s">
        <v>4564</v>
      </c>
      <c r="B1740" s="2" t="s">
        <v>4565</v>
      </c>
      <c r="C1740" s="2" t="s">
        <v>17</v>
      </c>
      <c r="D1740" s="2" t="s">
        <v>18</v>
      </c>
      <c r="E1740" s="5">
        <v>-30688</v>
      </c>
      <c r="F1740" s="3" t="s">
        <v>62</v>
      </c>
      <c r="G1740" s="3" t="s">
        <v>71</v>
      </c>
      <c r="H1740" s="2" t="s">
        <v>72</v>
      </c>
      <c r="I1740" s="2" t="s">
        <v>4585</v>
      </c>
      <c r="J1740" s="3" t="str">
        <f>HYPERLINK("https://www.boe.es/gazeta/dias/1815/12/23/pdfs/GMD-1815-159.pdf#page=7","Abrir facsímil")</f>
        <v>Abrir facsímil</v>
      </c>
      <c r="K1740" s="3" t="s">
        <v>74</v>
      </c>
    </row>
    <row r="1741" spans="1:11" ht="42" customHeight="1">
      <c r="A1741" s="2" t="s">
        <v>4586</v>
      </c>
      <c r="B1741" s="2" t="s">
        <v>4587</v>
      </c>
      <c r="C1741" s="2" t="s">
        <v>17</v>
      </c>
      <c r="D1741" s="2" t="s">
        <v>18</v>
      </c>
      <c r="E1741" s="5">
        <v>-30928</v>
      </c>
      <c r="F1741" s="3" t="s">
        <v>330</v>
      </c>
      <c r="G1741" s="3" t="s">
        <v>57</v>
      </c>
      <c r="H1741" s="2" t="s">
        <v>72</v>
      </c>
      <c r="I1741" s="2" t="s">
        <v>4588</v>
      </c>
      <c r="J1741" s="3" t="str">
        <f>HYPERLINK("https://www.boe.es/gazeta/dias/1815/04/27/pdfs/GMD-1815-51.pdf#page=5","Abrir facsímil")</f>
        <v>Abrir facsímil</v>
      </c>
      <c r="K1741" s="3" t="s">
        <v>74</v>
      </c>
    </row>
    <row r="1742" spans="1:11" ht="42" customHeight="1">
      <c r="A1742" s="2" t="s">
        <v>4586</v>
      </c>
      <c r="B1742" s="2" t="s">
        <v>4587</v>
      </c>
      <c r="C1742" s="2" t="s">
        <v>17</v>
      </c>
      <c r="D1742" s="2" t="s">
        <v>18</v>
      </c>
      <c r="E1742" s="5">
        <v>-30753</v>
      </c>
      <c r="F1742" s="3" t="s">
        <v>1635</v>
      </c>
      <c r="G1742" s="3" t="s">
        <v>27</v>
      </c>
      <c r="H1742" s="2" t="s">
        <v>72</v>
      </c>
      <c r="I1742" s="2" t="s">
        <v>4589</v>
      </c>
      <c r="J1742" s="3" t="str">
        <f>HYPERLINK("https://www.boe.es/gazeta/dias/1815/10/19/pdfs/GMD-1815-131.pdf#page=6","Abrir facsímil")</f>
        <v>Abrir facsímil</v>
      </c>
      <c r="K1742" s="3" t="s">
        <v>74</v>
      </c>
    </row>
    <row r="1743" spans="1:11" ht="42" customHeight="1">
      <c r="A1743" s="2" t="s">
        <v>4586</v>
      </c>
      <c r="B1743" s="2" t="s">
        <v>4587</v>
      </c>
      <c r="C1743" s="2" t="s">
        <v>17</v>
      </c>
      <c r="D1743" s="2" t="s">
        <v>18</v>
      </c>
      <c r="E1743" s="5">
        <v>-30732</v>
      </c>
      <c r="F1743" s="3" t="s">
        <v>554</v>
      </c>
      <c r="G1743" s="3" t="s">
        <v>71</v>
      </c>
      <c r="H1743" s="2" t="s">
        <v>72</v>
      </c>
      <c r="I1743" s="2" t="s">
        <v>4590</v>
      </c>
      <c r="J1743" s="3" t="str">
        <f>HYPERLINK("https://www.boe.es/gazeta/dias/1815/11/09/pdfs/GMD-1815-140.pdf#page=7","Abrir facsímil")</f>
        <v>Abrir facsímil</v>
      </c>
      <c r="K1743" s="3" t="s">
        <v>74</v>
      </c>
    </row>
    <row r="1744" spans="1:11" ht="42" customHeight="1">
      <c r="A1744" s="2" t="s">
        <v>4591</v>
      </c>
      <c r="B1744" s="2" t="s">
        <v>4592</v>
      </c>
      <c r="C1744" s="2" t="s">
        <v>61</v>
      </c>
      <c r="D1744" s="2" t="s">
        <v>50</v>
      </c>
      <c r="E1744" s="5">
        <v>-30991</v>
      </c>
      <c r="F1744" s="3" t="s">
        <v>318</v>
      </c>
      <c r="G1744" s="3" t="s">
        <v>1829</v>
      </c>
      <c r="H1744" s="2" t="s">
        <v>72</v>
      </c>
      <c r="I1744" s="2" t="s">
        <v>4593</v>
      </c>
      <c r="J1744" s="3" t="str">
        <f>HYPERLINK("https://www.boe.es/gazeta/dias/1815/02/23/pdfs/GMD-1815-23.pdf#page=8","Abrir facsímil")</f>
        <v>Abrir facsímil</v>
      </c>
      <c r="K1744" s="3" t="s">
        <v>74</v>
      </c>
    </row>
    <row r="1745" spans="1:11" ht="42" customHeight="1">
      <c r="A1745" s="2" t="s">
        <v>4594</v>
      </c>
      <c r="B1745" s="2" t="s">
        <v>4595</v>
      </c>
      <c r="C1745" s="2" t="s">
        <v>31</v>
      </c>
      <c r="D1745" s="2" t="s">
        <v>32</v>
      </c>
      <c r="E1745" s="5">
        <v>-30891</v>
      </c>
      <c r="F1745" s="3" t="s">
        <v>498</v>
      </c>
      <c r="G1745" s="3" t="s">
        <v>27</v>
      </c>
      <c r="H1745" s="2" t="s">
        <v>72</v>
      </c>
      <c r="I1745" s="2" t="s">
        <v>4596</v>
      </c>
      <c r="J1745" s="3" t="str">
        <f>HYPERLINK("https://www.boe.es/gazeta/dias/1815/06/03/pdfs/GMD-1815-67.pdf#page=6","Abrir facsímil")</f>
        <v>Abrir facsímil</v>
      </c>
      <c r="K1745" s="3" t="s">
        <v>74</v>
      </c>
    </row>
    <row r="1746" spans="1:11" ht="42" customHeight="1">
      <c r="A1746" s="2" t="s">
        <v>4597</v>
      </c>
      <c r="B1746" s="2" t="s">
        <v>4598</v>
      </c>
      <c r="C1746" s="2" t="s">
        <v>31</v>
      </c>
      <c r="D1746" s="2" t="s">
        <v>32</v>
      </c>
      <c r="E1746" s="5">
        <v>-30891</v>
      </c>
      <c r="F1746" s="3" t="s">
        <v>498</v>
      </c>
      <c r="G1746" s="3" t="s">
        <v>27</v>
      </c>
      <c r="H1746" s="2" t="s">
        <v>72</v>
      </c>
      <c r="I1746" s="2" t="s">
        <v>4599</v>
      </c>
      <c r="J1746" s="3" t="str">
        <f>HYPERLINK("https://www.boe.es/gazeta/dias/1815/06/03/pdfs/GMD-1815-67.pdf#page=6","Abrir facsímil")</f>
        <v>Abrir facsímil</v>
      </c>
      <c r="K1746" s="3" t="s">
        <v>74</v>
      </c>
    </row>
    <row r="1747" spans="1:11" ht="42" customHeight="1">
      <c r="A1747" s="2" t="s">
        <v>4600</v>
      </c>
      <c r="B1747" s="2" t="s">
        <v>4601</v>
      </c>
      <c r="C1747" s="2" t="s">
        <v>49</v>
      </c>
      <c r="D1747" s="2" t="s">
        <v>50</v>
      </c>
      <c r="E1747" s="5">
        <v>-30886</v>
      </c>
      <c r="F1747" s="3" t="s">
        <v>140</v>
      </c>
      <c r="G1747" s="3" t="s">
        <v>38</v>
      </c>
      <c r="H1747" s="2" t="s">
        <v>72</v>
      </c>
      <c r="I1747" s="2" t="s">
        <v>4602</v>
      </c>
      <c r="J1747" s="3" t="str">
        <f>HYPERLINK("https://www.boe.es/gazeta/dias/1815/06/08/pdfs/GMD-1815-69.pdf#page=8","Abrir facsímil")</f>
        <v>Abrir facsímil</v>
      </c>
      <c r="K1747" s="3" t="s">
        <v>74</v>
      </c>
    </row>
    <row r="1748" spans="1:11" ht="42" customHeight="1">
      <c r="A1748" s="2" t="s">
        <v>4603</v>
      </c>
      <c r="B1748" s="2" t="s">
        <v>4604</v>
      </c>
      <c r="C1748" s="2" t="s">
        <v>31</v>
      </c>
      <c r="D1748" s="2" t="s">
        <v>32</v>
      </c>
      <c r="E1748" s="5">
        <v>-30818</v>
      </c>
      <c r="F1748" s="3" t="s">
        <v>334</v>
      </c>
      <c r="G1748" s="3" t="s">
        <v>88</v>
      </c>
      <c r="H1748" s="2" t="s">
        <v>72</v>
      </c>
      <c r="I1748" s="2" t="s">
        <v>4605</v>
      </c>
      <c r="J1748" s="3" t="str">
        <f>HYPERLINK("https://www.boe.es/gazeta/dias/1815/08/15/pdfs/GMD-1815-100.pdf#page=10","Abrir facsímil")</f>
        <v>Abrir facsímil</v>
      </c>
      <c r="K1748" s="3" t="s">
        <v>74</v>
      </c>
    </row>
    <row r="1749" spans="1:11" ht="42" customHeight="1">
      <c r="A1749" s="2" t="s">
        <v>4606</v>
      </c>
      <c r="B1749" s="2" t="s">
        <v>4607</v>
      </c>
      <c r="C1749" s="2" t="s">
        <v>61</v>
      </c>
      <c r="D1749" s="2" t="s">
        <v>50</v>
      </c>
      <c r="E1749" s="5">
        <v>-30958</v>
      </c>
      <c r="F1749" s="3" t="s">
        <v>297</v>
      </c>
      <c r="G1749" s="3" t="s">
        <v>38</v>
      </c>
      <c r="H1749" s="2" t="s">
        <v>72</v>
      </c>
      <c r="I1749" s="2" t="s">
        <v>4608</v>
      </c>
      <c r="J1749" s="3" t="str">
        <f>HYPERLINK("https://www.boe.es/gazeta/dias/1815/03/28/pdfs/GMD-1815-37.pdf#page=8","Abrir facsímil")</f>
        <v>Abrir facsímil</v>
      </c>
      <c r="K1749" s="3" t="s">
        <v>74</v>
      </c>
    </row>
    <row r="1750" spans="1:11" ht="42" customHeight="1">
      <c r="A1750" s="2" t="s">
        <v>4609</v>
      </c>
      <c r="B1750" s="2" t="s">
        <v>4610</v>
      </c>
      <c r="C1750" s="2" t="s">
        <v>49</v>
      </c>
      <c r="D1750" s="2" t="s">
        <v>50</v>
      </c>
      <c r="E1750" s="5">
        <v>-30865</v>
      </c>
      <c r="F1750" s="3" t="s">
        <v>163</v>
      </c>
      <c r="G1750" s="3" t="s">
        <v>71</v>
      </c>
      <c r="H1750" s="2" t="s">
        <v>72</v>
      </c>
      <c r="I1750" s="2" t="s">
        <v>4611</v>
      </c>
      <c r="J1750" s="3" t="str">
        <f>HYPERLINK("https://www.boe.es/gazeta/dias/1815/06/29/pdfs/GMD-1815-78.pdf#page=7","Abrir facsímil")</f>
        <v>Abrir facsímil</v>
      </c>
      <c r="K1750" s="3" t="s">
        <v>74</v>
      </c>
    </row>
    <row r="1751" spans="1:11" ht="42" customHeight="1">
      <c r="A1751" s="2" t="s">
        <v>4612</v>
      </c>
      <c r="B1751" s="2" t="s">
        <v>4612</v>
      </c>
      <c r="C1751" s="2" t="s">
        <v>31</v>
      </c>
      <c r="D1751" s="2" t="s">
        <v>32</v>
      </c>
      <c r="E1751" s="5">
        <v>-30723</v>
      </c>
      <c r="F1751" s="3" t="s">
        <v>77</v>
      </c>
      <c r="G1751" s="3" t="s">
        <v>57</v>
      </c>
      <c r="H1751" s="2" t="s">
        <v>72</v>
      </c>
      <c r="I1751" s="2" t="s">
        <v>4613</v>
      </c>
      <c r="J1751" s="3" t="str">
        <f>HYPERLINK("https://www.boe.es/gazeta/dias/1815/11/18/pdfs/GMD-1815-144.pdf#page=5","Abrir facsímil")</f>
        <v>Abrir facsímil</v>
      </c>
      <c r="K1751" s="3" t="s">
        <v>74</v>
      </c>
    </row>
    <row r="1752" spans="1:11" ht="42" customHeight="1">
      <c r="A1752" s="2" t="s">
        <v>4614</v>
      </c>
      <c r="B1752" s="2" t="s">
        <v>4615</v>
      </c>
      <c r="C1752" s="2" t="s">
        <v>49</v>
      </c>
      <c r="D1752" s="2" t="s">
        <v>50</v>
      </c>
      <c r="E1752" s="5">
        <v>-30905</v>
      </c>
      <c r="F1752" s="3" t="s">
        <v>901</v>
      </c>
      <c r="G1752" s="3" t="s">
        <v>57</v>
      </c>
      <c r="H1752" s="2" t="s">
        <v>72</v>
      </c>
      <c r="I1752" s="2" t="s">
        <v>4616</v>
      </c>
      <c r="J1752" s="3" t="str">
        <f>HYPERLINK("https://www.boe.es/gazeta/dias/1815/05/20/pdfs/GMD-1815-61.pdf#page=5","Abrir facsímil")</f>
        <v>Abrir facsímil</v>
      </c>
      <c r="K1752" s="3" t="s">
        <v>74</v>
      </c>
    </row>
    <row r="1753" spans="1:11" ht="42" customHeight="1">
      <c r="A1753" s="2" t="s">
        <v>4617</v>
      </c>
      <c r="B1753" s="2" t="s">
        <v>4618</v>
      </c>
      <c r="C1753" s="2" t="s">
        <v>49</v>
      </c>
      <c r="D1753" s="2" t="s">
        <v>50</v>
      </c>
      <c r="E1753" s="5">
        <v>-30865</v>
      </c>
      <c r="F1753" s="3" t="s">
        <v>163</v>
      </c>
      <c r="G1753" s="3" t="s">
        <v>27</v>
      </c>
      <c r="H1753" s="2" t="s">
        <v>72</v>
      </c>
      <c r="I1753" s="2" t="s">
        <v>4619</v>
      </c>
      <c r="J1753" s="3" t="str">
        <f>HYPERLINK("https://www.boe.es/gazeta/dias/1815/06/29/pdfs/GMD-1815-78.pdf#page=6","Abrir facsímil")</f>
        <v>Abrir facsímil</v>
      </c>
      <c r="K1753" s="3" t="s">
        <v>74</v>
      </c>
    </row>
    <row r="1754" spans="1:11" ht="42" customHeight="1">
      <c r="A1754" s="2" t="s">
        <v>4620</v>
      </c>
      <c r="B1754" s="2" t="s">
        <v>4621</v>
      </c>
      <c r="C1754" s="2" t="s">
        <v>31</v>
      </c>
      <c r="D1754" s="2" t="s">
        <v>32</v>
      </c>
      <c r="E1754" s="5">
        <v>-30979</v>
      </c>
      <c r="F1754" s="3" t="s">
        <v>56</v>
      </c>
      <c r="G1754" s="3" t="s">
        <v>57</v>
      </c>
      <c r="H1754" s="2" t="s">
        <v>72</v>
      </c>
      <c r="I1754" s="2" t="s">
        <v>4622</v>
      </c>
      <c r="J1754" s="3" t="str">
        <f>HYPERLINK("https://www.boe.es/gazeta/dias/1815/03/07/pdfs/GMD-1815-28.pdf#page=5","Abrir facsímil")</f>
        <v>Abrir facsímil</v>
      </c>
      <c r="K1754" s="3" t="s">
        <v>74</v>
      </c>
    </row>
    <row r="1755" spans="1:11" ht="42" customHeight="1">
      <c r="A1755" s="2" t="s">
        <v>4620</v>
      </c>
      <c r="B1755" s="2" t="s">
        <v>4621</v>
      </c>
      <c r="C1755" s="2" t="s">
        <v>31</v>
      </c>
      <c r="D1755" s="2" t="s">
        <v>32</v>
      </c>
      <c r="E1755" s="5">
        <v>-30886</v>
      </c>
      <c r="F1755" s="3" t="s">
        <v>140</v>
      </c>
      <c r="G1755" s="3" t="s">
        <v>224</v>
      </c>
      <c r="H1755" s="2" t="s">
        <v>72</v>
      </c>
      <c r="I1755" s="2" t="s">
        <v>4623</v>
      </c>
      <c r="J1755" s="3" t="str">
        <f>HYPERLINK("https://www.boe.es/gazeta/dias/1815/06/08/pdfs/GMD-1815-69.pdf#page=9","Abrir facsímil")</f>
        <v>Abrir facsímil</v>
      </c>
      <c r="K1755" s="3" t="s">
        <v>74</v>
      </c>
    </row>
    <row r="1756" spans="1:11" ht="42" customHeight="1">
      <c r="A1756" s="2" t="s">
        <v>4624</v>
      </c>
      <c r="B1756" s="2" t="s">
        <v>4625</v>
      </c>
      <c r="C1756" s="2" t="s">
        <v>49</v>
      </c>
      <c r="D1756" s="2" t="s">
        <v>50</v>
      </c>
      <c r="E1756" s="5">
        <v>-30865</v>
      </c>
      <c r="F1756" s="3" t="s">
        <v>163</v>
      </c>
      <c r="G1756" s="3" t="s">
        <v>71</v>
      </c>
      <c r="H1756" s="2" t="s">
        <v>72</v>
      </c>
      <c r="I1756" s="2" t="s">
        <v>4626</v>
      </c>
      <c r="J1756" s="3" t="str">
        <f>HYPERLINK("https://www.boe.es/gazeta/dias/1815/06/29/pdfs/GMD-1815-78.pdf#page=7","Abrir facsímil")</f>
        <v>Abrir facsímil</v>
      </c>
      <c r="K1756" s="3" t="s">
        <v>74</v>
      </c>
    </row>
    <row r="1757" spans="1:11" ht="42" customHeight="1">
      <c r="A1757" s="2" t="s">
        <v>4627</v>
      </c>
      <c r="B1757" s="2" t="s">
        <v>4628</v>
      </c>
      <c r="C1757" s="2" t="s">
        <v>49</v>
      </c>
      <c r="D1757" s="2" t="s">
        <v>50</v>
      </c>
      <c r="E1757" s="5">
        <v>-30734</v>
      </c>
      <c r="F1757" s="3" t="s">
        <v>376</v>
      </c>
      <c r="G1757" s="3" t="s">
        <v>57</v>
      </c>
      <c r="H1757" s="2" t="s">
        <v>72</v>
      </c>
      <c r="I1757" s="2" t="s">
        <v>4629</v>
      </c>
      <c r="J1757" s="3" t="str">
        <f>HYPERLINK("https://www.boe.es/gazeta/dias/1815/11/07/pdfs/GMD-1815-139.pdf#page=5","Abrir facsímil")</f>
        <v>Abrir facsímil</v>
      </c>
      <c r="K1757" s="3" t="s">
        <v>74</v>
      </c>
    </row>
    <row r="1758" spans="1:11" ht="42" customHeight="1">
      <c r="A1758" s="2" t="s">
        <v>4630</v>
      </c>
      <c r="B1758" s="2" t="s">
        <v>4630</v>
      </c>
      <c r="C1758" s="2" t="s">
        <v>31</v>
      </c>
      <c r="D1758" s="2" t="s">
        <v>32</v>
      </c>
      <c r="E1758" s="5">
        <v>-30849</v>
      </c>
      <c r="F1758" s="3" t="s">
        <v>501</v>
      </c>
      <c r="G1758" s="3" t="s">
        <v>4631</v>
      </c>
      <c r="H1758" s="2" t="s">
        <v>72</v>
      </c>
      <c r="I1758" s="2" t="s">
        <v>4632</v>
      </c>
      <c r="J1758" s="3" t="str">
        <f>HYPERLINK("https://www.boe.es/gazeta/dias/1815/07/15/pdfs/GMD-1815-87.pdf#page=8","Abrir facsímil")</f>
        <v>Abrir facsímil</v>
      </c>
      <c r="K1758" s="3" t="s">
        <v>74</v>
      </c>
    </row>
    <row r="1759" spans="1:11" ht="42" customHeight="1">
      <c r="A1759" s="2" t="s">
        <v>4633</v>
      </c>
      <c r="B1759" s="2" t="s">
        <v>4634</v>
      </c>
      <c r="C1759" s="2" t="s">
        <v>195</v>
      </c>
      <c r="D1759" s="2" t="s">
        <v>50</v>
      </c>
      <c r="E1759" s="5">
        <v>-30739</v>
      </c>
      <c r="F1759" s="3" t="s">
        <v>254</v>
      </c>
      <c r="G1759" s="3" t="s">
        <v>52</v>
      </c>
      <c r="H1759" s="2" t="s">
        <v>72</v>
      </c>
      <c r="I1759" s="2" t="s">
        <v>4635</v>
      </c>
      <c r="J1759" s="3" t="str">
        <f>HYPERLINK("https://www.boe.es/gazeta/dias/1815/11/02/pdfs/GMD-1815-137.pdf#page=11","Abrir facsímil")</f>
        <v>Abrir facsímil</v>
      </c>
      <c r="K1759" s="3" t="s">
        <v>74</v>
      </c>
    </row>
    <row r="1760" spans="1:11" ht="42" customHeight="1">
      <c r="A1760" s="2" t="s">
        <v>4636</v>
      </c>
      <c r="B1760" s="2" t="s">
        <v>4636</v>
      </c>
      <c r="C1760" s="2" t="s">
        <v>49</v>
      </c>
      <c r="D1760" s="2" t="s">
        <v>50</v>
      </c>
      <c r="E1760" s="5">
        <v>-30916</v>
      </c>
      <c r="F1760" s="3" t="s">
        <v>147</v>
      </c>
      <c r="G1760" s="3" t="s">
        <v>97</v>
      </c>
      <c r="H1760" s="2" t="s">
        <v>72</v>
      </c>
      <c r="I1760" s="2" t="s">
        <v>4637</v>
      </c>
      <c r="J1760" s="3" t="str">
        <f>HYPERLINK("https://www.boe.es/gazeta/dias/1815/05/09/pdfs/GMD-1815-56.pdf#page=3","Abrir facsímil")</f>
        <v>Abrir facsímil</v>
      </c>
      <c r="K1760" s="3" t="s">
        <v>74</v>
      </c>
    </row>
    <row r="1761" spans="1:11" ht="42" customHeight="1">
      <c r="A1761" s="2" t="s">
        <v>4636</v>
      </c>
      <c r="B1761" s="2" t="s">
        <v>4636</v>
      </c>
      <c r="C1761" s="2" t="s">
        <v>31</v>
      </c>
      <c r="D1761" s="2" t="s">
        <v>32</v>
      </c>
      <c r="E1761" s="5">
        <v>-30914</v>
      </c>
      <c r="F1761" s="3" t="s">
        <v>338</v>
      </c>
      <c r="G1761" s="3" t="s">
        <v>20</v>
      </c>
      <c r="H1761" s="2" t="s">
        <v>72</v>
      </c>
      <c r="I1761" s="2" t="s">
        <v>4638</v>
      </c>
      <c r="J1761" s="3" t="str">
        <f>HYPERLINK("https://www.boe.es/gazeta/dias/1815/05/11/pdfs/GMD-1815-57.pdf#page=4","Abrir facsímil")</f>
        <v>Abrir facsímil</v>
      </c>
      <c r="K1761" s="3" t="s">
        <v>74</v>
      </c>
    </row>
    <row r="1762" spans="1:11" ht="42" customHeight="1">
      <c r="A1762" s="2" t="s">
        <v>4639</v>
      </c>
      <c r="B1762" s="2" t="s">
        <v>4640</v>
      </c>
      <c r="C1762" s="2" t="s">
        <v>49</v>
      </c>
      <c r="D1762" s="2" t="s">
        <v>50</v>
      </c>
      <c r="E1762" s="5">
        <v>-30886</v>
      </c>
      <c r="F1762" s="3" t="s">
        <v>140</v>
      </c>
      <c r="G1762" s="3" t="s">
        <v>38</v>
      </c>
      <c r="H1762" s="2" t="s">
        <v>72</v>
      </c>
      <c r="I1762" s="2" t="s">
        <v>4641</v>
      </c>
      <c r="J1762" s="3" t="str">
        <f>HYPERLINK("https://www.boe.es/gazeta/dias/1815/06/08/pdfs/GMD-1815-69.pdf#page=8","Abrir facsímil")</f>
        <v>Abrir facsímil</v>
      </c>
      <c r="K1762" s="3" t="s">
        <v>74</v>
      </c>
    </row>
    <row r="1763" spans="1:11" ht="42" customHeight="1">
      <c r="A1763" s="2" t="s">
        <v>4642</v>
      </c>
      <c r="B1763" s="2" t="s">
        <v>4643</v>
      </c>
      <c r="C1763" s="2" t="s">
        <v>49</v>
      </c>
      <c r="D1763" s="2" t="s">
        <v>50</v>
      </c>
      <c r="E1763" s="5">
        <v>-30842</v>
      </c>
      <c r="F1763" s="3" t="s">
        <v>126</v>
      </c>
      <c r="G1763" s="3" t="s">
        <v>71</v>
      </c>
      <c r="H1763" s="2" t="s">
        <v>72</v>
      </c>
      <c r="I1763" s="2" t="s">
        <v>4644</v>
      </c>
      <c r="J1763" s="3" t="str">
        <f>HYPERLINK("https://www.boe.es/gazeta/dias/1815/07/22/pdfs/GMD-1815-90.pdf#page=7","Abrir facsímil")</f>
        <v>Abrir facsímil</v>
      </c>
      <c r="K1763" s="3" t="s">
        <v>74</v>
      </c>
    </row>
    <row r="1764" spans="1:11" ht="42" customHeight="1">
      <c r="A1764" s="2" t="s">
        <v>4645</v>
      </c>
      <c r="B1764" s="2" t="s">
        <v>4645</v>
      </c>
      <c r="C1764" s="2" t="s">
        <v>17</v>
      </c>
      <c r="D1764" s="2" t="s">
        <v>18</v>
      </c>
      <c r="E1764" s="5">
        <v>-30963</v>
      </c>
      <c r="F1764" s="3" t="s">
        <v>879</v>
      </c>
      <c r="G1764" s="3" t="s">
        <v>71</v>
      </c>
      <c r="H1764" s="2" t="s">
        <v>72</v>
      </c>
      <c r="I1764" s="2" t="s">
        <v>4646</v>
      </c>
      <c r="J1764" s="3" t="str">
        <f>HYPERLINK("https://www.boe.es/gazeta/dias/1815/03/23/pdfs/GMD-1815-35.pdf#page=7","Abrir facsímil")</f>
        <v>Abrir facsímil</v>
      </c>
      <c r="K1764" s="3" t="s">
        <v>74</v>
      </c>
    </row>
    <row r="1765" spans="1:11" ht="42" customHeight="1">
      <c r="A1765" s="2" t="s">
        <v>4647</v>
      </c>
      <c r="B1765" s="2" t="s">
        <v>4647</v>
      </c>
      <c r="C1765" s="2" t="s">
        <v>31</v>
      </c>
      <c r="D1765" s="2" t="s">
        <v>32</v>
      </c>
      <c r="E1765" s="5">
        <v>-31028</v>
      </c>
      <c r="F1765" s="3" t="s">
        <v>517</v>
      </c>
      <c r="G1765" s="3" t="s">
        <v>88</v>
      </c>
      <c r="H1765" s="2" t="s">
        <v>72</v>
      </c>
      <c r="I1765" s="2" t="s">
        <v>4648</v>
      </c>
      <c r="J1765" s="3" t="str">
        <f>HYPERLINK("https://www.boe.es/gazeta/dias/1815/01/17/pdfs/GMD-1815-7.pdf#page=10","Abrir facsímil")</f>
        <v>Abrir facsímil</v>
      </c>
      <c r="K1765" s="3" t="s">
        <v>74</v>
      </c>
    </row>
    <row r="1766" spans="1:11" ht="42" customHeight="1">
      <c r="A1766" s="2" t="s">
        <v>4647</v>
      </c>
      <c r="B1766" s="2" t="s">
        <v>4647</v>
      </c>
      <c r="C1766" s="2" t="s">
        <v>131</v>
      </c>
      <c r="D1766" s="2" t="s">
        <v>50</v>
      </c>
      <c r="E1766" s="5">
        <v>-30963</v>
      </c>
      <c r="F1766" s="3" t="s">
        <v>879</v>
      </c>
      <c r="G1766" s="3" t="s">
        <v>38</v>
      </c>
      <c r="H1766" s="2" t="s">
        <v>72</v>
      </c>
      <c r="I1766" s="2" t="s">
        <v>4649</v>
      </c>
      <c r="J1766" s="3" t="str">
        <f>HYPERLINK("https://www.boe.es/gazeta/dias/1815/03/23/pdfs/GMD-1815-35.pdf#page=8","Abrir facsímil")</f>
        <v>Abrir facsímil</v>
      </c>
      <c r="K1766" s="3" t="s">
        <v>74</v>
      </c>
    </row>
    <row r="1767" spans="1:11" ht="42" customHeight="1">
      <c r="A1767" s="2" t="s">
        <v>4650</v>
      </c>
      <c r="B1767" s="2" t="s">
        <v>4650</v>
      </c>
      <c r="C1767" s="2" t="s">
        <v>17</v>
      </c>
      <c r="D1767" s="2" t="s">
        <v>18</v>
      </c>
      <c r="E1767" s="5">
        <v>-30898</v>
      </c>
      <c r="F1767" s="3" t="s">
        <v>212</v>
      </c>
      <c r="G1767" s="3" t="s">
        <v>27</v>
      </c>
      <c r="H1767" s="2" t="s">
        <v>72</v>
      </c>
      <c r="I1767" s="2" t="s">
        <v>4651</v>
      </c>
      <c r="J1767" s="3" t="str">
        <f>HYPERLINK("https://www.boe.es/gazeta/dias/1815/05/27/pdfs/GMD-1815-64.pdf#page=6","Abrir facsímil")</f>
        <v>Abrir facsímil</v>
      </c>
      <c r="K1767" s="3" t="s">
        <v>74</v>
      </c>
    </row>
    <row r="1768" spans="1:11" ht="42" customHeight="1">
      <c r="A1768" s="2" t="s">
        <v>4652</v>
      </c>
      <c r="B1768" s="2" t="s">
        <v>4653</v>
      </c>
      <c r="C1768" s="2" t="s">
        <v>31</v>
      </c>
      <c r="D1768" s="2" t="s">
        <v>32</v>
      </c>
      <c r="E1768" s="5">
        <v>-31033</v>
      </c>
      <c r="F1768" s="3" t="s">
        <v>493</v>
      </c>
      <c r="G1768" s="3" t="s">
        <v>71</v>
      </c>
      <c r="H1768" s="2" t="s">
        <v>72</v>
      </c>
      <c r="I1768" s="2" t="s">
        <v>4654</v>
      </c>
      <c r="J1768" s="3" t="str">
        <f>HYPERLINK("https://www.boe.es/gazeta/dias/1815/01/12/pdfs/GMD-1815-5.pdf#page=7","Abrir facsímil")</f>
        <v>Abrir facsímil</v>
      </c>
      <c r="K1768" s="3" t="s">
        <v>74</v>
      </c>
    </row>
    <row r="1769" spans="1:11" ht="42" customHeight="1">
      <c r="A1769" s="2" t="s">
        <v>4655</v>
      </c>
      <c r="B1769" s="2" t="s">
        <v>4655</v>
      </c>
      <c r="C1769" s="2" t="s">
        <v>31</v>
      </c>
      <c r="D1769" s="2" t="s">
        <v>32</v>
      </c>
      <c r="E1769" s="5">
        <v>-30916</v>
      </c>
      <c r="F1769" s="3" t="s">
        <v>147</v>
      </c>
      <c r="G1769" s="3" t="s">
        <v>377</v>
      </c>
      <c r="H1769" s="2" t="s">
        <v>72</v>
      </c>
      <c r="I1769" s="2" t="s">
        <v>4656</v>
      </c>
      <c r="J1769" s="3" t="str">
        <f>HYPERLINK("https://www.boe.es/gazeta/dias/1815/05/09/pdfs/GMD-1815-56.pdf#page=2","Abrir facsímil")</f>
        <v>Abrir facsímil</v>
      </c>
      <c r="K1769" s="3" t="s">
        <v>74</v>
      </c>
    </row>
    <row r="1770" spans="1:11" ht="42" customHeight="1">
      <c r="A1770" s="2" t="s">
        <v>4657</v>
      </c>
      <c r="B1770" s="2" t="s">
        <v>4657</v>
      </c>
      <c r="C1770" s="2" t="s">
        <v>31</v>
      </c>
      <c r="D1770" s="2" t="s">
        <v>32</v>
      </c>
      <c r="E1770" s="5">
        <v>-30842</v>
      </c>
      <c r="F1770" s="3" t="s">
        <v>126</v>
      </c>
      <c r="G1770" s="3" t="s">
        <v>97</v>
      </c>
      <c r="H1770" s="2" t="s">
        <v>72</v>
      </c>
      <c r="I1770" s="2" t="s">
        <v>4658</v>
      </c>
      <c r="J1770" s="3" t="str">
        <f>HYPERLINK("https://www.boe.es/gazeta/dias/1815/07/22/pdfs/GMD-1815-90.pdf#page=3","Abrir facsímil")</f>
        <v>Abrir facsímil</v>
      </c>
      <c r="K1770" s="3" t="s">
        <v>74</v>
      </c>
    </row>
    <row r="1771" spans="1:11" ht="42" customHeight="1">
      <c r="A1771" s="2" t="s">
        <v>4655</v>
      </c>
      <c r="B1771" s="2" t="s">
        <v>4655</v>
      </c>
      <c r="C1771" s="2" t="s">
        <v>31</v>
      </c>
      <c r="D1771" s="2" t="s">
        <v>32</v>
      </c>
      <c r="E1771" s="5">
        <v>-30839</v>
      </c>
      <c r="F1771" s="3" t="s">
        <v>616</v>
      </c>
      <c r="G1771" s="3" t="s">
        <v>97</v>
      </c>
      <c r="H1771" s="2" t="s">
        <v>72</v>
      </c>
      <c r="I1771" s="2" t="s">
        <v>4659</v>
      </c>
      <c r="J1771" s="3" t="str">
        <f>HYPERLINK("https://www.boe.es/gazeta/dias/1815/07/25/pdfs/GMD-1815-91.pdf#page=3","Abrir facsímil")</f>
        <v>Abrir facsímil</v>
      </c>
      <c r="K1771" s="3" t="s">
        <v>74</v>
      </c>
    </row>
    <row r="1772" spans="1:11" ht="42" customHeight="1">
      <c r="A1772" s="2" t="s">
        <v>4655</v>
      </c>
      <c r="B1772" s="2" t="s">
        <v>4655</v>
      </c>
      <c r="C1772" s="2" t="s">
        <v>31</v>
      </c>
      <c r="D1772" s="2" t="s">
        <v>32</v>
      </c>
      <c r="E1772" s="5">
        <v>-30839</v>
      </c>
      <c r="F1772" s="3" t="s">
        <v>616</v>
      </c>
      <c r="G1772" s="3" t="s">
        <v>20</v>
      </c>
      <c r="H1772" s="2" t="s">
        <v>72</v>
      </c>
      <c r="I1772" s="2" t="s">
        <v>4660</v>
      </c>
      <c r="J1772" s="3" t="str">
        <f>HYPERLINK("https://www.boe.es/gazeta/dias/1815/07/25/pdfs/GMD-1815-91.pdf#page=4","Abrir facsímil")</f>
        <v>Abrir facsímil</v>
      </c>
      <c r="K1772" s="3" t="s">
        <v>74</v>
      </c>
    </row>
    <row r="1773" spans="1:11" ht="42" customHeight="1">
      <c r="A1773" s="2" t="s">
        <v>4661</v>
      </c>
      <c r="B1773" s="2" t="s">
        <v>4661</v>
      </c>
      <c r="C1773" s="2" t="s">
        <v>61</v>
      </c>
      <c r="D1773" s="2" t="s">
        <v>50</v>
      </c>
      <c r="E1773" s="5">
        <v>-30800</v>
      </c>
      <c r="F1773" s="3" t="s">
        <v>26</v>
      </c>
      <c r="G1773" s="3" t="s">
        <v>377</v>
      </c>
      <c r="H1773" s="2" t="s">
        <v>72</v>
      </c>
      <c r="I1773" s="2" t="s">
        <v>4662</v>
      </c>
      <c r="J1773" s="3" t="str">
        <f>HYPERLINK("https://www.boe.es/gazeta/dias/1815/09/02/pdfs/GMD-1815-109.pdf#page=2","Abrir facsímil")</f>
        <v>Abrir facsímil</v>
      </c>
      <c r="K1773" s="3" t="s">
        <v>74</v>
      </c>
    </row>
    <row r="1774" spans="1:11" ht="42" customHeight="1">
      <c r="A1774" s="2" t="s">
        <v>4663</v>
      </c>
      <c r="B1774" s="2" t="s">
        <v>4664</v>
      </c>
      <c r="C1774" s="2" t="s">
        <v>81</v>
      </c>
      <c r="D1774" s="2" t="s">
        <v>50</v>
      </c>
      <c r="E1774" s="5">
        <v>-30884</v>
      </c>
      <c r="F1774" s="3" t="s">
        <v>136</v>
      </c>
      <c r="G1774" s="3" t="s">
        <v>57</v>
      </c>
      <c r="H1774" s="2" t="s">
        <v>72</v>
      </c>
      <c r="I1774" s="2" t="s">
        <v>4665</v>
      </c>
      <c r="J1774" s="3" t="str">
        <f>HYPERLINK("https://www.boe.es/gazeta/dias/1815/06/10/pdfs/GMD-1815-70.pdf#page=5","Abrir facsímil")</f>
        <v>Abrir facsímil</v>
      </c>
      <c r="K1774" s="3" t="s">
        <v>74</v>
      </c>
    </row>
    <row r="1775" spans="1:11" ht="42" customHeight="1">
      <c r="A1775" s="2" t="s">
        <v>4666</v>
      </c>
      <c r="B1775" s="2" t="s">
        <v>4666</v>
      </c>
      <c r="C1775" s="2" t="s">
        <v>31</v>
      </c>
      <c r="D1775" s="2" t="s">
        <v>32</v>
      </c>
      <c r="E1775" s="5">
        <v>-30849</v>
      </c>
      <c r="F1775" s="3" t="s">
        <v>501</v>
      </c>
      <c r="G1775" s="3" t="s">
        <v>88</v>
      </c>
      <c r="H1775" s="2" t="s">
        <v>72</v>
      </c>
      <c r="I1775" s="2" t="s">
        <v>4667</v>
      </c>
      <c r="J1775" s="3" t="str">
        <f>HYPERLINK("https://www.boe.es/gazeta/dias/1815/07/15/pdfs/GMD-1815-87.pdf#page=10","Abrir facsímil")</f>
        <v>Abrir facsímil</v>
      </c>
      <c r="K1775" s="3" t="s">
        <v>74</v>
      </c>
    </row>
    <row r="1776" spans="1:11" ht="42" customHeight="1">
      <c r="A1776" s="2" t="s">
        <v>4668</v>
      </c>
      <c r="B1776" s="2" t="s">
        <v>4669</v>
      </c>
      <c r="C1776" s="2" t="s">
        <v>31</v>
      </c>
      <c r="D1776" s="2" t="s">
        <v>32</v>
      </c>
      <c r="E1776" s="5">
        <v>-30942</v>
      </c>
      <c r="F1776" s="3" t="s">
        <v>730</v>
      </c>
      <c r="G1776" s="3" t="s">
        <v>71</v>
      </c>
      <c r="H1776" s="2" t="s">
        <v>72</v>
      </c>
      <c r="I1776" s="2" t="s">
        <v>4670</v>
      </c>
      <c r="J1776" s="3" t="str">
        <f>HYPERLINK("https://www.boe.es/gazeta/dias/1815/04/13/pdfs/GMD-1815-45.pdf#page=7","Abrir facsímil")</f>
        <v>Abrir facsímil</v>
      </c>
      <c r="K1776" s="3" t="s">
        <v>74</v>
      </c>
    </row>
    <row r="1777" spans="1:11" ht="42" customHeight="1">
      <c r="A1777" s="2" t="s">
        <v>4671</v>
      </c>
      <c r="B1777" s="2" t="s">
        <v>4672</v>
      </c>
      <c r="C1777" s="2" t="s">
        <v>31</v>
      </c>
      <c r="D1777" s="2" t="s">
        <v>32</v>
      </c>
      <c r="E1777" s="5">
        <v>-30699</v>
      </c>
      <c r="F1777" s="3" t="s">
        <v>810</v>
      </c>
      <c r="G1777" s="3" t="s">
        <v>38</v>
      </c>
      <c r="H1777" s="2" t="s">
        <v>72</v>
      </c>
      <c r="I1777" s="2" t="s">
        <v>4673</v>
      </c>
      <c r="J1777" s="3" t="str">
        <f>HYPERLINK("https://www.boe.es/gazeta/dias/1815/12/12/pdfs/GMD-1815-154.pdf#page=8","Abrir facsímil")</f>
        <v>Abrir facsímil</v>
      </c>
      <c r="K1777" s="3" t="s">
        <v>74</v>
      </c>
    </row>
    <row r="1778" spans="1:11" ht="42" customHeight="1">
      <c r="A1778" s="2" t="s">
        <v>4674</v>
      </c>
      <c r="B1778" s="2" t="s">
        <v>4675</v>
      </c>
      <c r="C1778" s="2" t="s">
        <v>31</v>
      </c>
      <c r="D1778" s="2" t="s">
        <v>32</v>
      </c>
      <c r="E1778" s="5">
        <v>-30886</v>
      </c>
      <c r="F1778" s="3" t="s">
        <v>140</v>
      </c>
      <c r="G1778" s="3" t="s">
        <v>88</v>
      </c>
      <c r="H1778" s="2" t="s">
        <v>72</v>
      </c>
      <c r="I1778" s="2" t="s">
        <v>4676</v>
      </c>
      <c r="J1778" s="3" t="str">
        <f>HYPERLINK("https://www.boe.es/gazeta/dias/1815/06/08/pdfs/GMD-1815-69.pdf#page=10","Abrir facsímil")</f>
        <v>Abrir facsímil</v>
      </c>
      <c r="K1778" s="3" t="s">
        <v>74</v>
      </c>
    </row>
    <row r="1779" spans="1:11" ht="42" customHeight="1">
      <c r="A1779" s="2" t="s">
        <v>4677</v>
      </c>
      <c r="B1779" s="2" t="s">
        <v>4678</v>
      </c>
      <c r="C1779" s="2" t="s">
        <v>17</v>
      </c>
      <c r="D1779" s="2" t="s">
        <v>18</v>
      </c>
      <c r="E1779" s="5">
        <v>-30958</v>
      </c>
      <c r="F1779" s="3" t="s">
        <v>297</v>
      </c>
      <c r="G1779" s="3" t="s">
        <v>71</v>
      </c>
      <c r="H1779" s="2" t="s">
        <v>72</v>
      </c>
      <c r="I1779" s="2" t="s">
        <v>4679</v>
      </c>
      <c r="J1779" s="3" t="str">
        <f>HYPERLINK("https://www.boe.es/gazeta/dias/1815/03/28/pdfs/GMD-1815-37.pdf#page=7","Abrir facsímil")</f>
        <v>Abrir facsímil</v>
      </c>
      <c r="K1779" s="3" t="s">
        <v>74</v>
      </c>
    </row>
    <row r="1780" spans="1:11" ht="42" customHeight="1">
      <c r="A1780" s="2" t="s">
        <v>4680</v>
      </c>
      <c r="B1780" s="2" t="s">
        <v>4681</v>
      </c>
      <c r="C1780" s="2" t="s">
        <v>49</v>
      </c>
      <c r="D1780" s="2" t="s">
        <v>50</v>
      </c>
      <c r="E1780" s="5">
        <v>-30818</v>
      </c>
      <c r="F1780" s="3" t="s">
        <v>334</v>
      </c>
      <c r="G1780" s="3" t="s">
        <v>224</v>
      </c>
      <c r="H1780" s="2" t="s">
        <v>72</v>
      </c>
      <c r="I1780" s="2" t="s">
        <v>4682</v>
      </c>
      <c r="J1780" s="3" t="str">
        <f>HYPERLINK("https://www.boe.es/gazeta/dias/1815/08/15/pdfs/GMD-1815-100.pdf#page=9","Abrir facsímil")</f>
        <v>Abrir facsímil</v>
      </c>
      <c r="K1780" s="3" t="s">
        <v>74</v>
      </c>
    </row>
    <row r="1781" spans="1:11" ht="42" customHeight="1">
      <c r="A1781" s="2" t="s">
        <v>4683</v>
      </c>
      <c r="B1781" s="2" t="s">
        <v>4684</v>
      </c>
      <c r="C1781" s="2" t="s">
        <v>195</v>
      </c>
      <c r="D1781" s="2" t="s">
        <v>50</v>
      </c>
      <c r="E1781" s="5">
        <v>-30921</v>
      </c>
      <c r="F1781" s="3" t="s">
        <v>191</v>
      </c>
      <c r="G1781" s="3" t="s">
        <v>27</v>
      </c>
      <c r="H1781" s="2" t="s">
        <v>72</v>
      </c>
      <c r="I1781" s="2" t="s">
        <v>4685</v>
      </c>
      <c r="J1781" s="3" t="str">
        <f>HYPERLINK("https://www.boe.es/gazeta/dias/1815/05/04/pdfs/GMD-1815-54.pdf#page=6","Abrir facsímil")</f>
        <v>Abrir facsímil</v>
      </c>
      <c r="K1781" s="3" t="s">
        <v>74</v>
      </c>
    </row>
    <row r="1782" spans="1:11" ht="42" customHeight="1">
      <c r="A1782" s="2" t="s">
        <v>4686</v>
      </c>
      <c r="B1782" s="2" t="s">
        <v>4687</v>
      </c>
      <c r="C1782" s="2" t="s">
        <v>31</v>
      </c>
      <c r="D1782" s="2" t="s">
        <v>32</v>
      </c>
      <c r="E1782" s="5">
        <v>-30748</v>
      </c>
      <c r="F1782" s="3" t="s">
        <v>2077</v>
      </c>
      <c r="G1782" s="3" t="s">
        <v>57</v>
      </c>
      <c r="H1782" s="2" t="s">
        <v>21</v>
      </c>
      <c r="I1782" s="2" t="s">
        <v>4688</v>
      </c>
      <c r="J1782" s="3" t="str">
        <f>HYPERLINK("https://www.boe.es/gazeta/dias/1815/10/24/pdfs/GMD-1815-133.pdf#page=5","Abrir facsímil")</f>
        <v>Abrir facsímil</v>
      </c>
      <c r="K1782" s="3" t="s">
        <v>23</v>
      </c>
    </row>
    <row r="1783" spans="1:11" ht="42" customHeight="1">
      <c r="A1783" s="2" t="s">
        <v>4689</v>
      </c>
      <c r="B1783" s="2" t="s">
        <v>4690</v>
      </c>
      <c r="C1783" s="2" t="s">
        <v>81</v>
      </c>
      <c r="D1783" s="2" t="s">
        <v>50</v>
      </c>
      <c r="E1783" s="5">
        <v>-30853</v>
      </c>
      <c r="F1783" s="3" t="s">
        <v>1473</v>
      </c>
      <c r="G1783" s="3" t="s">
        <v>3505</v>
      </c>
      <c r="H1783" s="2" t="s">
        <v>72</v>
      </c>
      <c r="I1783" s="2" t="s">
        <v>4691</v>
      </c>
      <c r="J1783" s="3" t="str">
        <f>HYPERLINK("https://www.boe.es/gazeta/dias/1815/07/11/pdfs/GMD-1815-85.pdf#page=4","Abrir facsímil")</f>
        <v>Abrir facsímil</v>
      </c>
      <c r="K1783" s="3" t="s">
        <v>74</v>
      </c>
    </row>
    <row r="1784" spans="1:11" ht="42" customHeight="1">
      <c r="A1784" s="2" t="s">
        <v>4692</v>
      </c>
      <c r="B1784" s="2" t="s">
        <v>4692</v>
      </c>
      <c r="C1784" s="2" t="s">
        <v>31</v>
      </c>
      <c r="D1784" s="2" t="s">
        <v>32</v>
      </c>
      <c r="E1784" s="5">
        <v>-30790</v>
      </c>
      <c r="F1784" s="3" t="s">
        <v>285</v>
      </c>
      <c r="G1784" s="3" t="s">
        <v>377</v>
      </c>
      <c r="H1784" s="2" t="s">
        <v>72</v>
      </c>
      <c r="I1784" s="2" t="s">
        <v>4693</v>
      </c>
      <c r="J1784" s="3" t="str">
        <f>HYPERLINK("https://www.boe.es/gazeta/dias/1815/09/12/pdfs/GMD-1815-113.pdf#page=2","Abrir facsímil")</f>
        <v>Abrir facsímil</v>
      </c>
      <c r="K1784" s="3" t="s">
        <v>74</v>
      </c>
    </row>
    <row r="1785" spans="1:11" ht="42" customHeight="1">
      <c r="A1785" s="2" t="s">
        <v>4694</v>
      </c>
      <c r="B1785" s="2" t="s">
        <v>4694</v>
      </c>
      <c r="C1785" s="2" t="s">
        <v>31</v>
      </c>
      <c r="D1785" s="2" t="s">
        <v>32</v>
      </c>
      <c r="E1785" s="5">
        <v>-30849</v>
      </c>
      <c r="F1785" s="3" t="s">
        <v>501</v>
      </c>
      <c r="G1785" s="3" t="s">
        <v>224</v>
      </c>
      <c r="H1785" s="2" t="s">
        <v>72</v>
      </c>
      <c r="I1785" s="2" t="s">
        <v>4695</v>
      </c>
      <c r="J1785" s="3" t="str">
        <f>HYPERLINK("https://www.boe.es/gazeta/dias/1815/07/15/pdfs/GMD-1815-87.pdf#page=9","Abrir facsímil")</f>
        <v>Abrir facsímil</v>
      </c>
      <c r="K1785" s="3" t="s">
        <v>74</v>
      </c>
    </row>
    <row r="1786" spans="1:11" ht="42" customHeight="1">
      <c r="A1786" s="2" t="s">
        <v>4696</v>
      </c>
      <c r="B1786" s="2" t="s">
        <v>4696</v>
      </c>
      <c r="C1786" s="2" t="s">
        <v>31</v>
      </c>
      <c r="D1786" s="2" t="s">
        <v>32</v>
      </c>
      <c r="E1786" s="5">
        <v>-30830</v>
      </c>
      <c r="F1786" s="3" t="s">
        <v>33</v>
      </c>
      <c r="G1786" s="3" t="s">
        <v>57</v>
      </c>
      <c r="H1786" s="2" t="s">
        <v>72</v>
      </c>
      <c r="I1786" s="2" t="s">
        <v>4697</v>
      </c>
      <c r="J1786" s="3" t="str">
        <f>HYPERLINK("https://www.boe.es/gazeta/dias/1815/08/03/pdfs/GMD-1815-95.pdf#page=5","Abrir facsímil")</f>
        <v>Abrir facsímil</v>
      </c>
      <c r="K1786" s="3" t="s">
        <v>74</v>
      </c>
    </row>
    <row r="1787" spans="1:11" ht="42" customHeight="1">
      <c r="A1787" s="2" t="s">
        <v>4698</v>
      </c>
      <c r="B1787" s="2" t="s">
        <v>4699</v>
      </c>
      <c r="C1787" s="2" t="s">
        <v>49</v>
      </c>
      <c r="D1787" s="2" t="s">
        <v>50</v>
      </c>
      <c r="E1787" s="5">
        <v>-30863</v>
      </c>
      <c r="F1787" s="3" t="s">
        <v>110</v>
      </c>
      <c r="G1787" s="3" t="s">
        <v>224</v>
      </c>
      <c r="H1787" s="2" t="s">
        <v>72</v>
      </c>
      <c r="I1787" s="2" t="s">
        <v>4700</v>
      </c>
      <c r="J1787" s="3" t="str">
        <f>HYPERLINK("https://www.boe.es/gazeta/dias/1815/07/01/pdfs/GMD-1815-79.pdf#page=9","Abrir facsímil")</f>
        <v>Abrir facsímil</v>
      </c>
      <c r="K1787" s="3" t="s">
        <v>74</v>
      </c>
    </row>
    <row r="1788" spans="1:11" ht="42" customHeight="1">
      <c r="A1788" s="2" t="s">
        <v>4701</v>
      </c>
      <c r="B1788" s="2" t="s">
        <v>4702</v>
      </c>
      <c r="C1788" s="2" t="s">
        <v>31</v>
      </c>
      <c r="D1788" s="2" t="s">
        <v>32</v>
      </c>
      <c r="E1788" s="5">
        <v>-30907</v>
      </c>
      <c r="F1788" s="3" t="s">
        <v>301</v>
      </c>
      <c r="G1788" s="3" t="s">
        <v>71</v>
      </c>
      <c r="H1788" s="2" t="s">
        <v>21</v>
      </c>
      <c r="I1788" s="2" t="s">
        <v>4703</v>
      </c>
      <c r="J1788" s="3" t="str">
        <f>HYPERLINK("https://www.boe.es/gazeta/dias/1815/05/18/pdfs/GMD-1815-60.pdf#page=7","Abrir facsímil")</f>
        <v>Abrir facsímil</v>
      </c>
      <c r="K1788" s="3" t="s">
        <v>23</v>
      </c>
    </row>
    <row r="1789" spans="1:11" ht="42" customHeight="1">
      <c r="A1789" s="2" t="s">
        <v>4704</v>
      </c>
      <c r="B1789" s="2" t="s">
        <v>4704</v>
      </c>
      <c r="C1789" s="2" t="s">
        <v>61</v>
      </c>
      <c r="D1789" s="2" t="s">
        <v>50</v>
      </c>
      <c r="E1789" s="5">
        <v>-30702</v>
      </c>
      <c r="F1789" s="3" t="s">
        <v>196</v>
      </c>
      <c r="G1789" s="3" t="s">
        <v>38</v>
      </c>
      <c r="H1789" s="2" t="s">
        <v>72</v>
      </c>
      <c r="I1789" s="2" t="s">
        <v>4705</v>
      </c>
      <c r="J1789" s="3" t="str">
        <f>HYPERLINK("https://www.boe.es/gazeta/dias/1815/12/09/pdfs/GMD-1815-153.pdf#page=8","Abrir facsímil")</f>
        <v>Abrir facsímil</v>
      </c>
      <c r="K1789" s="3" t="s">
        <v>74</v>
      </c>
    </row>
    <row r="1790" spans="1:11" ht="42" customHeight="1">
      <c r="A1790" s="2" t="s">
        <v>4706</v>
      </c>
      <c r="B1790" s="2" t="s">
        <v>4707</v>
      </c>
      <c r="C1790" s="2" t="s">
        <v>49</v>
      </c>
      <c r="D1790" s="2" t="s">
        <v>50</v>
      </c>
      <c r="E1790" s="5">
        <v>-31010</v>
      </c>
      <c r="F1790" s="3" t="s">
        <v>1098</v>
      </c>
      <c r="G1790" s="3" t="s">
        <v>20</v>
      </c>
      <c r="H1790" s="2" t="s">
        <v>72</v>
      </c>
      <c r="I1790" s="2" t="s">
        <v>4708</v>
      </c>
      <c r="J1790" s="3" t="str">
        <f>HYPERLINK("https://www.boe.es/gazeta/dias/1815/02/04/pdfs/GMD-1815-15.pdf#page=4","Abrir facsímil")</f>
        <v>Abrir facsímil</v>
      </c>
      <c r="K1790" s="3" t="s">
        <v>74</v>
      </c>
    </row>
    <row r="1791" spans="1:11" ht="42" customHeight="1">
      <c r="A1791" s="2" t="s">
        <v>4709</v>
      </c>
      <c r="B1791" s="2" t="s">
        <v>4709</v>
      </c>
      <c r="C1791" s="2" t="s">
        <v>31</v>
      </c>
      <c r="D1791" s="2" t="s">
        <v>32</v>
      </c>
      <c r="E1791" s="5">
        <v>-30839</v>
      </c>
      <c r="F1791" s="3" t="s">
        <v>616</v>
      </c>
      <c r="G1791" s="3" t="s">
        <v>27</v>
      </c>
      <c r="H1791" s="2" t="s">
        <v>72</v>
      </c>
      <c r="I1791" s="2" t="s">
        <v>4710</v>
      </c>
      <c r="J1791" s="3" t="str">
        <f>HYPERLINK("https://www.boe.es/gazeta/dias/1815/07/25/pdfs/GMD-1815-91.pdf#page=6","Abrir facsímil")</f>
        <v>Abrir facsímil</v>
      </c>
      <c r="K1791" s="3" t="s">
        <v>74</v>
      </c>
    </row>
    <row r="1792" spans="1:11" ht="42" customHeight="1">
      <c r="A1792" s="2" t="s">
        <v>4711</v>
      </c>
      <c r="B1792" s="2" t="s">
        <v>4712</v>
      </c>
      <c r="C1792" s="2" t="s">
        <v>49</v>
      </c>
      <c r="D1792" s="2" t="s">
        <v>50</v>
      </c>
      <c r="E1792" s="5">
        <v>-30996</v>
      </c>
      <c r="F1792" s="3" t="s">
        <v>289</v>
      </c>
      <c r="G1792" s="3" t="s">
        <v>27</v>
      </c>
      <c r="H1792" s="2" t="s">
        <v>72</v>
      </c>
      <c r="I1792" s="2" t="s">
        <v>4713</v>
      </c>
      <c r="J1792" s="3" t="str">
        <f>HYPERLINK("https://www.boe.es/gazeta/dias/1815/02/18/pdfs/GMD-1815-21.pdf#page=6","Abrir facsímil")</f>
        <v>Abrir facsímil</v>
      </c>
      <c r="K1792" s="3" t="s">
        <v>74</v>
      </c>
    </row>
    <row r="1793" spans="1:11" ht="42" customHeight="1">
      <c r="A1793" s="2" t="s">
        <v>4714</v>
      </c>
      <c r="B1793" s="2" t="s">
        <v>4715</v>
      </c>
      <c r="C1793" s="2" t="s">
        <v>31</v>
      </c>
      <c r="D1793" s="2" t="s">
        <v>32</v>
      </c>
      <c r="E1793" s="5">
        <v>-30893</v>
      </c>
      <c r="F1793" s="3" t="s">
        <v>132</v>
      </c>
      <c r="G1793" s="3" t="s">
        <v>71</v>
      </c>
      <c r="H1793" s="2" t="s">
        <v>72</v>
      </c>
      <c r="I1793" s="2" t="s">
        <v>4716</v>
      </c>
      <c r="J1793" s="3" t="str">
        <f>HYPERLINK("https://www.boe.es/gazeta/dias/1815/06/01/pdfs/GMD-1815-66.pdf#page=7","Abrir facsímil")</f>
        <v>Abrir facsímil</v>
      </c>
      <c r="K1793" s="3" t="s">
        <v>74</v>
      </c>
    </row>
    <row r="1794" spans="1:11" ht="42" customHeight="1">
      <c r="A1794" s="2" t="s">
        <v>4717</v>
      </c>
      <c r="B1794" s="2" t="s">
        <v>4717</v>
      </c>
      <c r="C1794" s="2" t="s">
        <v>31</v>
      </c>
      <c r="D1794" s="2" t="s">
        <v>32</v>
      </c>
      <c r="E1794" s="5">
        <v>-30930</v>
      </c>
      <c r="F1794" s="3" t="s">
        <v>51</v>
      </c>
      <c r="G1794" s="3" t="s">
        <v>377</v>
      </c>
      <c r="H1794" s="2" t="s">
        <v>72</v>
      </c>
      <c r="I1794" s="2" t="s">
        <v>4718</v>
      </c>
      <c r="J1794" s="3" t="str">
        <f>HYPERLINK("https://www.boe.es/gazeta/dias/1815/04/25/pdfs/GMD-1815-50.pdf#page=2","Abrir facsímil")</f>
        <v>Abrir facsímil</v>
      </c>
      <c r="K1794" s="3" t="s">
        <v>74</v>
      </c>
    </row>
    <row r="1795" spans="1:11" ht="42" customHeight="1">
      <c r="A1795" s="2" t="s">
        <v>4719</v>
      </c>
      <c r="B1795" s="2" t="s">
        <v>4720</v>
      </c>
      <c r="C1795" s="2" t="s">
        <v>31</v>
      </c>
      <c r="D1795" s="2" t="s">
        <v>32</v>
      </c>
      <c r="E1795" s="5">
        <v>-30916</v>
      </c>
      <c r="F1795" s="3" t="s">
        <v>147</v>
      </c>
      <c r="G1795" s="3" t="s">
        <v>148</v>
      </c>
      <c r="H1795" s="2" t="s">
        <v>72</v>
      </c>
      <c r="I1795" s="2" t="s">
        <v>4721</v>
      </c>
      <c r="J1795" s="3" t="str">
        <f>HYPERLINK("https://www.boe.es/gazeta/dias/1815/05/09/pdfs/GMD-1815-56.pdf#page=7","Abrir facsímil")</f>
        <v>Abrir facsímil</v>
      </c>
      <c r="K1795" s="3" t="s">
        <v>74</v>
      </c>
    </row>
    <row r="1796" spans="1:11" ht="42" customHeight="1">
      <c r="A1796" s="2" t="s">
        <v>4722</v>
      </c>
      <c r="B1796" s="2" t="s">
        <v>4722</v>
      </c>
      <c r="C1796" s="2" t="s">
        <v>49</v>
      </c>
      <c r="D1796" s="2" t="s">
        <v>50</v>
      </c>
      <c r="E1796" s="5">
        <v>-30786</v>
      </c>
      <c r="F1796" s="3" t="s">
        <v>558</v>
      </c>
      <c r="G1796" s="3" t="s">
        <v>97</v>
      </c>
      <c r="H1796" s="2" t="s">
        <v>72</v>
      </c>
      <c r="I1796" s="2" t="s">
        <v>4723</v>
      </c>
      <c r="J1796" s="3" t="str">
        <f>HYPERLINK("https://www.boe.es/gazeta/dias/1815/09/16/pdfs/GMD-1815-115.pdf#page=3","Abrir facsímil")</f>
        <v>Abrir facsímil</v>
      </c>
      <c r="K1796" s="3" t="s">
        <v>74</v>
      </c>
    </row>
    <row r="1797" spans="1:11" ht="42" customHeight="1">
      <c r="A1797" s="2" t="s">
        <v>4724</v>
      </c>
      <c r="B1797" s="2" t="s">
        <v>4724</v>
      </c>
      <c r="C1797" s="2" t="s">
        <v>49</v>
      </c>
      <c r="D1797" s="2" t="s">
        <v>50</v>
      </c>
      <c r="E1797" s="5">
        <v>-30762</v>
      </c>
      <c r="F1797" s="3" t="s">
        <v>19</v>
      </c>
      <c r="G1797" s="3" t="s">
        <v>20</v>
      </c>
      <c r="H1797" s="2" t="s">
        <v>72</v>
      </c>
      <c r="I1797" s="2" t="s">
        <v>4725</v>
      </c>
      <c r="J1797" s="3" t="str">
        <f>HYPERLINK("https://www.boe.es/gazeta/dias/1815/10/10/pdfs/GMD-1815-127.pdf#page=4","Abrir facsímil")</f>
        <v>Abrir facsímil</v>
      </c>
      <c r="K1797" s="3" t="s">
        <v>74</v>
      </c>
    </row>
    <row r="1798" spans="1:11" ht="42" customHeight="1">
      <c r="A1798" s="2" t="s">
        <v>4724</v>
      </c>
      <c r="B1798" s="2" t="s">
        <v>4724</v>
      </c>
      <c r="C1798" s="2" t="s">
        <v>17</v>
      </c>
      <c r="D1798" s="2" t="s">
        <v>18</v>
      </c>
      <c r="E1798" s="5">
        <v>-30718</v>
      </c>
      <c r="F1798" s="3" t="s">
        <v>3115</v>
      </c>
      <c r="G1798" s="3" t="s">
        <v>38</v>
      </c>
      <c r="H1798" s="2" t="s">
        <v>72</v>
      </c>
      <c r="I1798" s="2" t="s">
        <v>4726</v>
      </c>
      <c r="J1798" s="3" t="str">
        <f>HYPERLINK("https://www.boe.es/gazeta/dias/1815/11/23/pdfs/GMD-1815-146.pdf#page=8","Abrir facsímil")</f>
        <v>Abrir facsímil</v>
      </c>
      <c r="K1798" s="3" t="s">
        <v>74</v>
      </c>
    </row>
    <row r="1799" spans="1:11" ht="42" customHeight="1">
      <c r="A1799" s="2" t="s">
        <v>4727</v>
      </c>
      <c r="B1799" s="2" t="s">
        <v>4727</v>
      </c>
      <c r="C1799" s="2" t="s">
        <v>31</v>
      </c>
      <c r="D1799" s="2" t="s">
        <v>32</v>
      </c>
      <c r="E1799" s="5">
        <v>-30947</v>
      </c>
      <c r="F1799" s="3" t="s">
        <v>159</v>
      </c>
      <c r="G1799" s="3" t="s">
        <v>4728</v>
      </c>
      <c r="H1799" s="2" t="s">
        <v>72</v>
      </c>
      <c r="I1799" s="2" t="s">
        <v>4729</v>
      </c>
      <c r="J1799" s="3" t="str">
        <f>HYPERLINK("https://www.boe.es/gazeta/dias/1815/04/08/pdfs/GMD-1815-43.pdf#page=4","Abrir facsímil")</f>
        <v>Abrir facsímil</v>
      </c>
      <c r="K1799" s="3" t="s">
        <v>74</v>
      </c>
    </row>
    <row r="1800" spans="1:11" ht="42" customHeight="1">
      <c r="A1800" s="2" t="s">
        <v>4727</v>
      </c>
      <c r="B1800" s="2" t="s">
        <v>4727</v>
      </c>
      <c r="C1800" s="2" t="s">
        <v>31</v>
      </c>
      <c r="D1800" s="2" t="s">
        <v>32</v>
      </c>
      <c r="E1800" s="5">
        <v>-30935</v>
      </c>
      <c r="F1800" s="3" t="s">
        <v>519</v>
      </c>
      <c r="G1800" s="3" t="s">
        <v>71</v>
      </c>
      <c r="H1800" s="2" t="s">
        <v>72</v>
      </c>
      <c r="I1800" s="2" t="s">
        <v>4730</v>
      </c>
      <c r="J1800" s="3" t="str">
        <f>HYPERLINK("https://www.boe.es/gazeta/dias/1815/04/20/pdfs/GMD-1815-48.pdf#page=7","Abrir facsímil")</f>
        <v>Abrir facsímil</v>
      </c>
      <c r="K1800" s="3" t="s">
        <v>74</v>
      </c>
    </row>
    <row r="1801" spans="1:11" ht="42" customHeight="1">
      <c r="A1801" s="2" t="s">
        <v>4727</v>
      </c>
      <c r="B1801" s="2" t="s">
        <v>4727</v>
      </c>
      <c r="C1801" s="2" t="s">
        <v>81</v>
      </c>
      <c r="D1801" s="2" t="s">
        <v>50</v>
      </c>
      <c r="E1801" s="5">
        <v>-30898</v>
      </c>
      <c r="F1801" s="3" t="s">
        <v>212</v>
      </c>
      <c r="G1801" s="3" t="s">
        <v>57</v>
      </c>
      <c r="H1801" s="2" t="s">
        <v>72</v>
      </c>
      <c r="I1801" s="2" t="s">
        <v>4731</v>
      </c>
      <c r="J1801" s="3" t="str">
        <f>HYPERLINK("https://www.boe.es/gazeta/dias/1815/05/27/pdfs/GMD-1815-64.pdf#page=5","Abrir facsímil")</f>
        <v>Abrir facsímil</v>
      </c>
      <c r="K1801" s="3" t="s">
        <v>74</v>
      </c>
    </row>
    <row r="1802" spans="1:11" ht="42" customHeight="1">
      <c r="A1802" s="2" t="s">
        <v>4727</v>
      </c>
      <c r="B1802" s="2" t="s">
        <v>4727</v>
      </c>
      <c r="C1802" s="2" t="s">
        <v>17</v>
      </c>
      <c r="D1802" s="2" t="s">
        <v>18</v>
      </c>
      <c r="E1802" s="5">
        <v>-30858</v>
      </c>
      <c r="F1802" s="3" t="s">
        <v>1928</v>
      </c>
      <c r="G1802" s="3" t="s">
        <v>38</v>
      </c>
      <c r="H1802" s="2" t="s">
        <v>72</v>
      </c>
      <c r="I1802" s="2" t="s">
        <v>4732</v>
      </c>
      <c r="J1802" s="3" t="str">
        <f>HYPERLINK("https://www.boe.es/gazeta/dias/1815/07/06/pdfs/GMD-1815-83.pdf#page=8","Abrir facsímil")</f>
        <v>Abrir facsímil</v>
      </c>
      <c r="K1802" s="3" t="s">
        <v>74</v>
      </c>
    </row>
    <row r="1803" spans="1:11" ht="42" customHeight="1">
      <c r="A1803" s="2" t="s">
        <v>4727</v>
      </c>
      <c r="B1803" s="2" t="s">
        <v>4727</v>
      </c>
      <c r="C1803" s="2" t="s">
        <v>17</v>
      </c>
      <c r="D1803" s="2" t="s">
        <v>18</v>
      </c>
      <c r="E1803" s="5">
        <v>-30779</v>
      </c>
      <c r="F1803" s="3" t="s">
        <v>1426</v>
      </c>
      <c r="G1803" s="3" t="s">
        <v>97</v>
      </c>
      <c r="H1803" s="2" t="s">
        <v>72</v>
      </c>
      <c r="I1803" s="2" t="s">
        <v>4733</v>
      </c>
      <c r="J1803" s="3" t="str">
        <f>HYPERLINK("https://www.boe.es/gazeta/dias/1815/09/23/pdfs/GMD-1815-118.pdf#page=3","Abrir facsímil")</f>
        <v>Abrir facsímil</v>
      </c>
      <c r="K1803" s="3" t="s">
        <v>74</v>
      </c>
    </row>
    <row r="1804" spans="1:11" ht="42" customHeight="1">
      <c r="A1804" s="2" t="s">
        <v>4727</v>
      </c>
      <c r="B1804" s="2" t="s">
        <v>4727</v>
      </c>
      <c r="C1804" s="2" t="s">
        <v>49</v>
      </c>
      <c r="D1804" s="2" t="s">
        <v>50</v>
      </c>
      <c r="E1804" s="5">
        <v>-30769</v>
      </c>
      <c r="F1804" s="3" t="s">
        <v>1641</v>
      </c>
      <c r="G1804" s="3" t="s">
        <v>27</v>
      </c>
      <c r="H1804" s="2" t="s">
        <v>72</v>
      </c>
      <c r="I1804" s="2" t="s">
        <v>4734</v>
      </c>
      <c r="J1804" s="3" t="str">
        <f>HYPERLINK("https://www.boe.es/gazeta/dias/1815/10/03/pdfs/GMD-1815-124.pdf#page=6","Abrir facsímil")</f>
        <v>Abrir facsímil</v>
      </c>
      <c r="K1804" s="3" t="s">
        <v>74</v>
      </c>
    </row>
    <row r="1805" spans="1:11" ht="42" customHeight="1">
      <c r="A1805" s="2" t="s">
        <v>4735</v>
      </c>
      <c r="B1805" s="2" t="s">
        <v>4736</v>
      </c>
      <c r="C1805" s="2" t="s">
        <v>17</v>
      </c>
      <c r="D1805" s="2" t="s">
        <v>18</v>
      </c>
      <c r="E1805" s="5">
        <v>-30865</v>
      </c>
      <c r="F1805" s="3" t="s">
        <v>163</v>
      </c>
      <c r="G1805" s="3" t="s">
        <v>52</v>
      </c>
      <c r="H1805" s="2" t="s">
        <v>72</v>
      </c>
      <c r="I1805" s="2" t="s">
        <v>4737</v>
      </c>
      <c r="J1805" s="3" t="str">
        <f>HYPERLINK("https://www.boe.es/gazeta/dias/1815/06/29/pdfs/GMD-1815-78.pdf#page=11","Abrir facsímil")</f>
        <v>Abrir facsímil</v>
      </c>
      <c r="K1805" s="3" t="s">
        <v>74</v>
      </c>
    </row>
    <row r="1806" spans="1:11" ht="42" customHeight="1">
      <c r="A1806" s="2" t="s">
        <v>4738</v>
      </c>
      <c r="B1806" s="2" t="s">
        <v>4739</v>
      </c>
      <c r="C1806" s="2" t="s">
        <v>49</v>
      </c>
      <c r="D1806" s="2" t="s">
        <v>50</v>
      </c>
      <c r="E1806" s="5">
        <v>-30909</v>
      </c>
      <c r="F1806" s="3" t="s">
        <v>581</v>
      </c>
      <c r="G1806" s="3" t="s">
        <v>57</v>
      </c>
      <c r="H1806" s="2" t="s">
        <v>72</v>
      </c>
      <c r="I1806" s="2" t="s">
        <v>4740</v>
      </c>
      <c r="J1806" s="3" t="str">
        <f>HYPERLINK("https://www.boe.es/gazeta/dias/1815/05/16/pdfs/GMD-1815-59.pdf#page=5","Abrir facsímil")</f>
        <v>Abrir facsímil</v>
      </c>
      <c r="K1806" s="3" t="s">
        <v>74</v>
      </c>
    </row>
    <row r="1807" spans="1:11" ht="42" customHeight="1">
      <c r="A1807" s="2" t="s">
        <v>4741</v>
      </c>
      <c r="B1807" s="2" t="s">
        <v>4741</v>
      </c>
      <c r="C1807" s="2" t="s">
        <v>31</v>
      </c>
      <c r="D1807" s="2" t="s">
        <v>32</v>
      </c>
      <c r="E1807" s="5">
        <v>-30695</v>
      </c>
      <c r="F1807" s="3" t="s">
        <v>824</v>
      </c>
      <c r="G1807" s="3" t="s">
        <v>38</v>
      </c>
      <c r="H1807" s="2" t="s">
        <v>72</v>
      </c>
      <c r="I1807" s="2" t="s">
        <v>4742</v>
      </c>
      <c r="J1807" s="3" t="str">
        <f>HYPERLINK("https://www.boe.es/gazeta/dias/1815/12/16/pdfs/GMD-1815-156.pdf#page=8","Abrir facsímil")</f>
        <v>Abrir facsímil</v>
      </c>
      <c r="K1807" s="3" t="s">
        <v>74</v>
      </c>
    </row>
    <row r="1808" spans="1:11" ht="42" customHeight="1">
      <c r="A1808" s="2" t="s">
        <v>4743</v>
      </c>
      <c r="B1808" s="2" t="s">
        <v>4743</v>
      </c>
      <c r="C1808" s="2" t="s">
        <v>49</v>
      </c>
      <c r="D1808" s="2" t="s">
        <v>50</v>
      </c>
      <c r="E1808" s="5">
        <v>-30893</v>
      </c>
      <c r="F1808" s="3" t="s">
        <v>132</v>
      </c>
      <c r="G1808" s="3" t="s">
        <v>71</v>
      </c>
      <c r="H1808" s="2" t="s">
        <v>72</v>
      </c>
      <c r="I1808" s="2" t="s">
        <v>4744</v>
      </c>
      <c r="J1808" s="3" t="str">
        <f>HYPERLINK("https://www.boe.es/gazeta/dias/1815/06/01/pdfs/GMD-1815-66.pdf#page=7","Abrir facsímil")</f>
        <v>Abrir facsímil</v>
      </c>
      <c r="K1808" s="3" t="s">
        <v>74</v>
      </c>
    </row>
    <row r="1809" spans="1:11" ht="42" customHeight="1">
      <c r="A1809" s="2" t="s">
        <v>4745</v>
      </c>
      <c r="B1809" s="2" t="s">
        <v>4745</v>
      </c>
      <c r="C1809" s="2" t="s">
        <v>31</v>
      </c>
      <c r="D1809" s="2" t="s">
        <v>32</v>
      </c>
      <c r="E1809" s="5">
        <v>-30982</v>
      </c>
      <c r="F1809" s="3" t="s">
        <v>220</v>
      </c>
      <c r="G1809" s="3" t="s">
        <v>97</v>
      </c>
      <c r="H1809" s="2" t="s">
        <v>72</v>
      </c>
      <c r="I1809" s="2" t="s">
        <v>4746</v>
      </c>
      <c r="J1809" s="3" t="str">
        <f>HYPERLINK("https://www.boe.es/gazeta/dias/1815/03/04/pdfs/GMD-1815-27.pdf#page=3","Abrir facsímil")</f>
        <v>Abrir facsímil</v>
      </c>
      <c r="K1809" s="3" t="s">
        <v>74</v>
      </c>
    </row>
    <row r="1810" spans="1:11" ht="42" customHeight="1">
      <c r="A1810" s="2" t="s">
        <v>4745</v>
      </c>
      <c r="B1810" s="2" t="s">
        <v>4745</v>
      </c>
      <c r="C1810" s="2" t="s">
        <v>17</v>
      </c>
      <c r="D1810" s="2" t="s">
        <v>18</v>
      </c>
      <c r="E1810" s="5">
        <v>-30951</v>
      </c>
      <c r="F1810" s="3" t="s">
        <v>87</v>
      </c>
      <c r="G1810" s="3" t="s">
        <v>57</v>
      </c>
      <c r="H1810" s="2" t="s">
        <v>72</v>
      </c>
      <c r="I1810" s="2" t="s">
        <v>4747</v>
      </c>
      <c r="J1810" s="3" t="str">
        <f>HYPERLINK("https://www.boe.es/gazeta/dias/1815/04/04/pdfs/GMD-1815-41.pdf#page=5","Abrir facsímil")</f>
        <v>Abrir facsímil</v>
      </c>
      <c r="K1810" s="3" t="s">
        <v>74</v>
      </c>
    </row>
    <row r="1811" spans="1:11" ht="42" customHeight="1">
      <c r="A1811" s="2" t="s">
        <v>4745</v>
      </c>
      <c r="B1811" s="2" t="s">
        <v>4745</v>
      </c>
      <c r="C1811" s="2" t="s">
        <v>31</v>
      </c>
      <c r="D1811" s="2" t="s">
        <v>32</v>
      </c>
      <c r="E1811" s="5">
        <v>-30940</v>
      </c>
      <c r="F1811" s="3" t="s">
        <v>610</v>
      </c>
      <c r="G1811" s="3" t="s">
        <v>71</v>
      </c>
      <c r="H1811" s="2" t="s">
        <v>72</v>
      </c>
      <c r="I1811" s="2" t="s">
        <v>4748</v>
      </c>
      <c r="J1811" s="3" t="str">
        <f>HYPERLINK("https://www.boe.es/gazeta/dias/1815/04/15/pdfs/GMD-1815-46.pdf#page=7","Abrir facsímil")</f>
        <v>Abrir facsímil</v>
      </c>
      <c r="K1811" s="3" t="s">
        <v>74</v>
      </c>
    </row>
    <row r="1812" spans="1:11" ht="42" customHeight="1">
      <c r="A1812" s="2" t="s">
        <v>4745</v>
      </c>
      <c r="B1812" s="2" t="s">
        <v>4745</v>
      </c>
      <c r="C1812" s="2" t="s">
        <v>31</v>
      </c>
      <c r="D1812" s="2" t="s">
        <v>32</v>
      </c>
      <c r="E1812" s="5">
        <v>-30902</v>
      </c>
      <c r="F1812" s="3" t="s">
        <v>648</v>
      </c>
      <c r="G1812" s="3" t="s">
        <v>71</v>
      </c>
      <c r="H1812" s="2" t="s">
        <v>72</v>
      </c>
      <c r="I1812" s="2" t="s">
        <v>4749</v>
      </c>
      <c r="J1812" s="3" t="str">
        <f>HYPERLINK("https://www.boe.es/gazeta/dias/1815/05/23/pdfs/GMD-1815-62.pdf#page=7","Abrir facsímil")</f>
        <v>Abrir facsímil</v>
      </c>
      <c r="K1812" s="3" t="s">
        <v>74</v>
      </c>
    </row>
    <row r="1813" spans="1:11" ht="42" customHeight="1">
      <c r="A1813" s="2" t="s">
        <v>4745</v>
      </c>
      <c r="B1813" s="2" t="s">
        <v>4745</v>
      </c>
      <c r="C1813" s="2" t="s">
        <v>17</v>
      </c>
      <c r="D1813" s="2" t="s">
        <v>18</v>
      </c>
      <c r="E1813" s="5">
        <v>-30877</v>
      </c>
      <c r="F1813" s="3" t="s">
        <v>548</v>
      </c>
      <c r="G1813" s="3" t="s">
        <v>276</v>
      </c>
      <c r="H1813" s="2" t="s">
        <v>72</v>
      </c>
      <c r="I1813" s="2" t="s">
        <v>4750</v>
      </c>
      <c r="J1813" s="3" t="str">
        <f>HYPERLINK("https://www.boe.es/gazeta/dias/1815/06/17/pdfs/GMD-1815-73.pdf#page=12","Abrir facsímil")</f>
        <v>Abrir facsímil</v>
      </c>
      <c r="K1813" s="3" t="s">
        <v>74</v>
      </c>
    </row>
    <row r="1814" spans="1:11" ht="42" customHeight="1">
      <c r="A1814" s="2" t="s">
        <v>4745</v>
      </c>
      <c r="B1814" s="2" t="s">
        <v>4745</v>
      </c>
      <c r="C1814" s="2" t="s">
        <v>894</v>
      </c>
      <c r="D1814" s="2" t="s">
        <v>18</v>
      </c>
      <c r="E1814" s="5">
        <v>-30723</v>
      </c>
      <c r="F1814" s="3" t="s">
        <v>77</v>
      </c>
      <c r="G1814" s="3" t="s">
        <v>27</v>
      </c>
      <c r="H1814" s="2" t="s">
        <v>72</v>
      </c>
      <c r="I1814" s="2" t="s">
        <v>4751</v>
      </c>
      <c r="J1814" s="3" t="str">
        <f>HYPERLINK("https://www.boe.es/gazeta/dias/1815/11/18/pdfs/GMD-1815-144.pdf#page=6","Abrir facsímil")</f>
        <v>Abrir facsímil</v>
      </c>
      <c r="K1814" s="3" t="s">
        <v>74</v>
      </c>
    </row>
    <row r="1815" spans="1:11" ht="42" customHeight="1">
      <c r="A1815" s="2" t="s">
        <v>4752</v>
      </c>
      <c r="B1815" s="2" t="s">
        <v>4753</v>
      </c>
      <c r="C1815" s="2" t="s">
        <v>17</v>
      </c>
      <c r="D1815" s="2" t="s">
        <v>18</v>
      </c>
      <c r="E1815" s="5">
        <v>-30767</v>
      </c>
      <c r="F1815" s="3" t="s">
        <v>228</v>
      </c>
      <c r="G1815" s="3" t="s">
        <v>88</v>
      </c>
      <c r="H1815" s="2" t="s">
        <v>72</v>
      </c>
      <c r="I1815" s="2" t="s">
        <v>4754</v>
      </c>
      <c r="J1815" s="3" t="str">
        <f>HYPERLINK("https://www.boe.es/gazeta/dias/1815/10/05/pdfs/GMD-1815-125.pdf#page=10","Abrir facsímil")</f>
        <v>Abrir facsímil</v>
      </c>
      <c r="K1815" s="3" t="s">
        <v>74</v>
      </c>
    </row>
    <row r="1816" spans="1:11" ht="42" customHeight="1">
      <c r="A1816" s="2" t="s">
        <v>4755</v>
      </c>
      <c r="B1816" s="2" t="s">
        <v>4756</v>
      </c>
      <c r="C1816" s="2" t="s">
        <v>195</v>
      </c>
      <c r="D1816" s="2" t="s">
        <v>50</v>
      </c>
      <c r="E1816" s="5">
        <v>-30872</v>
      </c>
      <c r="F1816" s="3" t="s">
        <v>167</v>
      </c>
      <c r="G1816" s="3" t="s">
        <v>2825</v>
      </c>
      <c r="H1816" s="2" t="s">
        <v>72</v>
      </c>
      <c r="I1816" s="2" t="s">
        <v>4757</v>
      </c>
      <c r="J1816" s="3" t="str">
        <f>HYPERLINK("https://www.boe.es/gazeta/dias/1815/06/22/pdfs/GMD-1815-75.pdf#page=10","Abrir facsímil")</f>
        <v>Abrir facsímil</v>
      </c>
      <c r="K1816" s="3" t="s">
        <v>74</v>
      </c>
    </row>
    <row r="1817" spans="1:11" ht="42" customHeight="1">
      <c r="A1817" s="2" t="s">
        <v>4758</v>
      </c>
      <c r="B1817" s="2" t="s">
        <v>4759</v>
      </c>
      <c r="C1817" s="2" t="s">
        <v>17</v>
      </c>
      <c r="D1817" s="2" t="s">
        <v>18</v>
      </c>
      <c r="E1817" s="5">
        <v>-30874</v>
      </c>
      <c r="F1817" s="3" t="s">
        <v>208</v>
      </c>
      <c r="G1817" s="3" t="s">
        <v>38</v>
      </c>
      <c r="H1817" s="2" t="s">
        <v>72</v>
      </c>
      <c r="I1817" s="2" t="s">
        <v>4760</v>
      </c>
      <c r="J1817" s="3" t="str">
        <f>HYPERLINK("https://www.boe.es/gazeta/dias/1815/06/20/pdfs/GMD-1815-74.pdf#page=8","Abrir facsímil")</f>
        <v>Abrir facsímil</v>
      </c>
      <c r="K1817" s="3" t="s">
        <v>74</v>
      </c>
    </row>
    <row r="1818" spans="1:11" ht="42" customHeight="1">
      <c r="A1818" s="2" t="s">
        <v>4761</v>
      </c>
      <c r="B1818" s="2" t="s">
        <v>4762</v>
      </c>
      <c r="C1818" s="2" t="s">
        <v>17</v>
      </c>
      <c r="D1818" s="2" t="s">
        <v>18</v>
      </c>
      <c r="E1818" s="5">
        <v>-30935</v>
      </c>
      <c r="F1818" s="3" t="s">
        <v>519</v>
      </c>
      <c r="G1818" s="3" t="s">
        <v>57</v>
      </c>
      <c r="H1818" s="2" t="s">
        <v>72</v>
      </c>
      <c r="I1818" s="2" t="s">
        <v>4763</v>
      </c>
      <c r="J1818" s="3" t="str">
        <f>HYPERLINK("https://www.boe.es/gazeta/dias/1815/04/20/pdfs/GMD-1815-48.pdf#page=5","Abrir facsímil")</f>
        <v>Abrir facsímil</v>
      </c>
      <c r="K1818" s="3" t="s">
        <v>74</v>
      </c>
    </row>
    <row r="1819" spans="1:11" ht="42" customHeight="1">
      <c r="A1819" s="2" t="s">
        <v>4764</v>
      </c>
      <c r="B1819" s="2" t="s">
        <v>4765</v>
      </c>
      <c r="C1819" s="2" t="s">
        <v>17</v>
      </c>
      <c r="D1819" s="2" t="s">
        <v>18</v>
      </c>
      <c r="E1819" s="5">
        <v>-30706</v>
      </c>
      <c r="F1819" s="3" t="s">
        <v>2478</v>
      </c>
      <c r="G1819" s="3" t="s">
        <v>71</v>
      </c>
      <c r="H1819" s="2" t="s">
        <v>72</v>
      </c>
      <c r="I1819" s="2" t="s">
        <v>4766</v>
      </c>
      <c r="J1819" s="3" t="str">
        <f>HYPERLINK("https://www.boe.es/gazeta/dias/1815/12/05/pdfs/GMD-1815-151.pdf#page=7","Abrir facsímil")</f>
        <v>Abrir facsímil</v>
      </c>
      <c r="K1819" s="3" t="s">
        <v>74</v>
      </c>
    </row>
    <row r="1820" spans="1:11" ht="42" customHeight="1">
      <c r="A1820" s="2" t="s">
        <v>4767</v>
      </c>
      <c r="B1820" s="2" t="s">
        <v>4767</v>
      </c>
      <c r="C1820" s="2" t="s">
        <v>49</v>
      </c>
      <c r="D1820" s="2" t="s">
        <v>50</v>
      </c>
      <c r="E1820" s="5">
        <v>-30865</v>
      </c>
      <c r="F1820" s="3" t="s">
        <v>163</v>
      </c>
      <c r="G1820" s="3" t="s">
        <v>71</v>
      </c>
      <c r="H1820" s="2" t="s">
        <v>72</v>
      </c>
      <c r="I1820" s="2" t="s">
        <v>4768</v>
      </c>
      <c r="J1820" s="3" t="str">
        <f>HYPERLINK("https://www.boe.es/gazeta/dias/1815/06/29/pdfs/GMD-1815-78.pdf#page=7","Abrir facsímil")</f>
        <v>Abrir facsímil</v>
      </c>
      <c r="K1820" s="3" t="s">
        <v>74</v>
      </c>
    </row>
    <row r="1821" spans="1:11" ht="42" customHeight="1">
      <c r="A1821" s="2" t="s">
        <v>4769</v>
      </c>
      <c r="B1821" s="2" t="s">
        <v>4769</v>
      </c>
      <c r="C1821" s="2" t="s">
        <v>31</v>
      </c>
      <c r="D1821" s="2" t="s">
        <v>32</v>
      </c>
      <c r="E1821" s="5">
        <v>-30982</v>
      </c>
      <c r="F1821" s="3" t="s">
        <v>220</v>
      </c>
      <c r="G1821" s="3" t="s">
        <v>20</v>
      </c>
      <c r="H1821" s="2" t="s">
        <v>72</v>
      </c>
      <c r="I1821" s="2" t="s">
        <v>4770</v>
      </c>
      <c r="J1821" s="3" t="str">
        <f>HYPERLINK("https://www.boe.es/gazeta/dias/1815/03/04/pdfs/GMD-1815-27.pdf#page=4","Abrir facsímil")</f>
        <v>Abrir facsímil</v>
      </c>
      <c r="K1821" s="3" t="s">
        <v>74</v>
      </c>
    </row>
    <row r="1822" spans="1:11" ht="42" customHeight="1">
      <c r="A1822" s="2" t="s">
        <v>4771</v>
      </c>
      <c r="B1822" s="2" t="s">
        <v>4771</v>
      </c>
      <c r="C1822" s="2" t="s">
        <v>49</v>
      </c>
      <c r="D1822" s="2" t="s">
        <v>50</v>
      </c>
      <c r="E1822" s="5">
        <v>-31042</v>
      </c>
      <c r="F1822" s="3" t="s">
        <v>512</v>
      </c>
      <c r="G1822" s="3" t="s">
        <v>38</v>
      </c>
      <c r="H1822" s="2" t="s">
        <v>72</v>
      </c>
      <c r="I1822" s="2" t="s">
        <v>4772</v>
      </c>
      <c r="J1822" s="3" t="str">
        <f>HYPERLINK("https://www.boe.es/gazeta/dias/1815/01/03/pdfs/GMD-1815-1.pdf#page=8","Abrir facsímil")</f>
        <v>Abrir facsímil</v>
      </c>
      <c r="K1822" s="3" t="s">
        <v>74</v>
      </c>
    </row>
    <row r="1823" spans="1:11" ht="42" customHeight="1">
      <c r="A1823" s="2" t="s">
        <v>4773</v>
      </c>
      <c r="B1823" s="2" t="s">
        <v>4773</v>
      </c>
      <c r="C1823" s="2" t="s">
        <v>31</v>
      </c>
      <c r="D1823" s="2" t="s">
        <v>32</v>
      </c>
      <c r="E1823" s="5">
        <v>-31028</v>
      </c>
      <c r="F1823" s="3" t="s">
        <v>517</v>
      </c>
      <c r="G1823" s="3" t="s">
        <v>88</v>
      </c>
      <c r="H1823" s="2" t="s">
        <v>72</v>
      </c>
      <c r="I1823" s="2" t="s">
        <v>4774</v>
      </c>
      <c r="J1823" s="3" t="str">
        <f>HYPERLINK("https://www.boe.es/gazeta/dias/1815/01/17/pdfs/GMD-1815-7.pdf#page=10","Abrir facsímil")</f>
        <v>Abrir facsímil</v>
      </c>
      <c r="K1823" s="3" t="s">
        <v>74</v>
      </c>
    </row>
    <row r="1824" spans="1:11" ht="42" customHeight="1">
      <c r="A1824" s="2" t="s">
        <v>4771</v>
      </c>
      <c r="B1824" s="2" t="s">
        <v>4771</v>
      </c>
      <c r="C1824" s="2" t="s">
        <v>81</v>
      </c>
      <c r="D1824" s="2" t="s">
        <v>50</v>
      </c>
      <c r="E1824" s="5">
        <v>-30970</v>
      </c>
      <c r="F1824" s="3" t="s">
        <v>436</v>
      </c>
      <c r="G1824" s="3" t="s">
        <v>38</v>
      </c>
      <c r="H1824" s="2" t="s">
        <v>72</v>
      </c>
      <c r="I1824" s="2" t="s">
        <v>4775</v>
      </c>
      <c r="J1824" s="3" t="str">
        <f>HYPERLINK("https://www.boe.es/gazeta/dias/1815/03/16/pdfs/GMD-1815-32.pdf#page=8","Abrir facsímil")</f>
        <v>Abrir facsímil</v>
      </c>
      <c r="K1824" s="3" t="s">
        <v>74</v>
      </c>
    </row>
    <row r="1825" spans="1:11" ht="42" customHeight="1">
      <c r="A1825" s="2" t="s">
        <v>4776</v>
      </c>
      <c r="B1825" s="2" t="s">
        <v>4777</v>
      </c>
      <c r="C1825" s="2" t="s">
        <v>49</v>
      </c>
      <c r="D1825" s="2" t="s">
        <v>50</v>
      </c>
      <c r="E1825" s="5">
        <v>-30916</v>
      </c>
      <c r="F1825" s="3" t="s">
        <v>147</v>
      </c>
      <c r="G1825" s="3" t="s">
        <v>38</v>
      </c>
      <c r="H1825" s="2" t="s">
        <v>72</v>
      </c>
      <c r="I1825" s="2" t="s">
        <v>4778</v>
      </c>
      <c r="J1825" s="3" t="str">
        <f>HYPERLINK("https://www.boe.es/gazeta/dias/1815/05/09/pdfs/GMD-1815-56.pdf#page=8","Abrir facsímil")</f>
        <v>Abrir facsímil</v>
      </c>
      <c r="K1825" s="3" t="s">
        <v>74</v>
      </c>
    </row>
    <row r="1826" spans="1:11" ht="42" customHeight="1">
      <c r="A1826" s="2" t="s">
        <v>4779</v>
      </c>
      <c r="B1826" s="2" t="s">
        <v>4780</v>
      </c>
      <c r="C1826" s="2" t="s">
        <v>31</v>
      </c>
      <c r="D1826" s="2" t="s">
        <v>32</v>
      </c>
      <c r="E1826" s="5">
        <v>-30832</v>
      </c>
      <c r="F1826" s="3" t="s">
        <v>266</v>
      </c>
      <c r="G1826" s="3" t="s">
        <v>276</v>
      </c>
      <c r="H1826" s="2" t="s">
        <v>72</v>
      </c>
      <c r="I1826" s="2" t="s">
        <v>4781</v>
      </c>
      <c r="J1826" s="3" t="str">
        <f>HYPERLINK("https://www.boe.es/gazeta/dias/1815/08/01/pdfs/GMD-1815-94.pdf#page=12","Abrir facsímil")</f>
        <v>Abrir facsímil</v>
      </c>
      <c r="K1826" s="3" t="s">
        <v>74</v>
      </c>
    </row>
    <row r="1827" spans="1:11" ht="42" customHeight="1">
      <c r="A1827" s="2" t="s">
        <v>4782</v>
      </c>
      <c r="B1827" s="2" t="s">
        <v>4782</v>
      </c>
      <c r="C1827" s="2" t="s">
        <v>31</v>
      </c>
      <c r="D1827" s="2" t="s">
        <v>32</v>
      </c>
      <c r="E1827" s="5">
        <v>-30884</v>
      </c>
      <c r="F1827" s="3" t="s">
        <v>136</v>
      </c>
      <c r="G1827" s="3" t="s">
        <v>38</v>
      </c>
      <c r="H1827" s="2" t="s">
        <v>72</v>
      </c>
      <c r="I1827" s="2" t="s">
        <v>4783</v>
      </c>
      <c r="J1827" s="3" t="str">
        <f>HYPERLINK("https://www.boe.es/gazeta/dias/1815/06/10/pdfs/GMD-1815-70.pdf#page=8","Abrir facsímil")</f>
        <v>Abrir facsímil</v>
      </c>
      <c r="K1827" s="3" t="s">
        <v>74</v>
      </c>
    </row>
    <row r="1828" spans="1:11" ht="42" customHeight="1">
      <c r="A1828" s="2" t="s">
        <v>4784</v>
      </c>
      <c r="B1828" s="2" t="s">
        <v>4785</v>
      </c>
      <c r="C1828" s="2" t="s">
        <v>31</v>
      </c>
      <c r="D1828" s="2" t="s">
        <v>32</v>
      </c>
      <c r="E1828" s="5">
        <v>-31033</v>
      </c>
      <c r="F1828" s="3" t="s">
        <v>493</v>
      </c>
      <c r="G1828" s="3" t="s">
        <v>71</v>
      </c>
      <c r="H1828" s="2" t="s">
        <v>72</v>
      </c>
      <c r="I1828" s="2" t="s">
        <v>4786</v>
      </c>
      <c r="J1828" s="3" t="str">
        <f>HYPERLINK("https://www.boe.es/gazeta/dias/1815/01/12/pdfs/GMD-1815-5.pdf#page=7","Abrir facsímil")</f>
        <v>Abrir facsímil</v>
      </c>
      <c r="K1828" s="3" t="s">
        <v>74</v>
      </c>
    </row>
    <row r="1829" spans="1:11" ht="42" customHeight="1">
      <c r="A1829" s="2" t="s">
        <v>4787</v>
      </c>
      <c r="B1829" s="2" t="s">
        <v>4788</v>
      </c>
      <c r="C1829" s="2" t="s">
        <v>81</v>
      </c>
      <c r="D1829" s="2" t="s">
        <v>50</v>
      </c>
      <c r="E1829" s="5">
        <v>-30928</v>
      </c>
      <c r="F1829" s="3" t="s">
        <v>330</v>
      </c>
      <c r="G1829" s="3" t="s">
        <v>38</v>
      </c>
      <c r="H1829" s="2" t="s">
        <v>21</v>
      </c>
      <c r="I1829" s="2" t="s">
        <v>4789</v>
      </c>
      <c r="J1829" s="3" t="str">
        <f>HYPERLINK("https://www.boe.es/gazeta/dias/1815/04/27/pdfs/GMD-1815-51.pdf#page=8","Abrir facsímil")</f>
        <v>Abrir facsímil</v>
      </c>
      <c r="K1829" s="3" t="s">
        <v>23</v>
      </c>
    </row>
    <row r="1830" spans="1:11" ht="42" customHeight="1">
      <c r="A1830" s="2" t="s">
        <v>4787</v>
      </c>
      <c r="B1830" s="2" t="s">
        <v>4788</v>
      </c>
      <c r="C1830" s="2" t="s">
        <v>17</v>
      </c>
      <c r="D1830" s="2" t="s">
        <v>18</v>
      </c>
      <c r="E1830" s="5">
        <v>-30732</v>
      </c>
      <c r="F1830" s="3" t="s">
        <v>554</v>
      </c>
      <c r="G1830" s="3" t="s">
        <v>71</v>
      </c>
      <c r="H1830" s="2" t="s">
        <v>21</v>
      </c>
      <c r="I1830" s="2" t="s">
        <v>4790</v>
      </c>
      <c r="J1830" s="3" t="str">
        <f>HYPERLINK("https://www.boe.es/gazeta/dias/1815/11/09/pdfs/GMD-1815-140.pdf#page=7","Abrir facsímil")</f>
        <v>Abrir facsímil</v>
      </c>
      <c r="K1830" s="3" t="s">
        <v>23</v>
      </c>
    </row>
    <row r="1831" spans="1:11" ht="42" customHeight="1">
      <c r="A1831" s="2" t="s">
        <v>4791</v>
      </c>
      <c r="B1831" s="2" t="s">
        <v>4792</v>
      </c>
      <c r="C1831" s="2" t="s">
        <v>31</v>
      </c>
      <c r="D1831" s="2" t="s">
        <v>32</v>
      </c>
      <c r="E1831" s="5">
        <v>-30730</v>
      </c>
      <c r="F1831" s="3" t="s">
        <v>953</v>
      </c>
      <c r="G1831" s="3" t="s">
        <v>71</v>
      </c>
      <c r="H1831" s="2" t="s">
        <v>72</v>
      </c>
      <c r="I1831" s="2" t="s">
        <v>4793</v>
      </c>
      <c r="J1831" s="3" t="str">
        <f>HYPERLINK("https://www.boe.es/gazeta/dias/1815/11/11/pdfs/GMD-1815-141.pdf#page=7","Abrir facsímil")</f>
        <v>Abrir facsímil</v>
      </c>
      <c r="K1831" s="3" t="s">
        <v>74</v>
      </c>
    </row>
    <row r="1832" spans="1:11" ht="42" customHeight="1">
      <c r="A1832" s="2" t="s">
        <v>4794</v>
      </c>
      <c r="B1832" s="2" t="s">
        <v>4795</v>
      </c>
      <c r="C1832" s="2" t="s">
        <v>49</v>
      </c>
      <c r="D1832" s="2" t="s">
        <v>50</v>
      </c>
      <c r="E1832" s="5">
        <v>-30860</v>
      </c>
      <c r="F1832" s="3" t="s">
        <v>184</v>
      </c>
      <c r="G1832" s="3" t="s">
        <v>20</v>
      </c>
      <c r="H1832" s="2" t="s">
        <v>72</v>
      </c>
      <c r="I1832" s="2" t="s">
        <v>4796</v>
      </c>
      <c r="J1832" s="3" t="str">
        <f>HYPERLINK("https://www.boe.es/gazeta/dias/1815/07/04/pdfs/GMD-1815-81.pdf#page=4","Abrir facsímil")</f>
        <v>Abrir facsímil</v>
      </c>
      <c r="K1832" s="3" t="s">
        <v>74</v>
      </c>
    </row>
    <row r="1833" spans="1:11" ht="42" customHeight="1">
      <c r="A1833" s="2" t="s">
        <v>4797</v>
      </c>
      <c r="B1833" s="2" t="s">
        <v>4798</v>
      </c>
      <c r="C1833" s="2" t="s">
        <v>49</v>
      </c>
      <c r="D1833" s="2" t="s">
        <v>50</v>
      </c>
      <c r="E1833" s="5">
        <v>-31040</v>
      </c>
      <c r="F1833" s="3" t="s">
        <v>326</v>
      </c>
      <c r="G1833" s="3" t="s">
        <v>27</v>
      </c>
      <c r="H1833" s="2" t="s">
        <v>72</v>
      </c>
      <c r="I1833" s="2" t="s">
        <v>4799</v>
      </c>
      <c r="J1833" s="3" t="str">
        <f>HYPERLINK("https://www.boe.es/gazeta/dias/1815/01/05/pdfs/GMD-1815-2.pdf#page=6","Abrir facsímil")</f>
        <v>Abrir facsímil</v>
      </c>
      <c r="K1833" s="3" t="s">
        <v>74</v>
      </c>
    </row>
    <row r="1834" spans="1:11" ht="42" customHeight="1">
      <c r="A1834" s="2" t="s">
        <v>4797</v>
      </c>
      <c r="B1834" s="2" t="s">
        <v>4798</v>
      </c>
      <c r="C1834" s="2" t="s">
        <v>17</v>
      </c>
      <c r="D1834" s="2" t="s">
        <v>18</v>
      </c>
      <c r="E1834" s="5">
        <v>-30846</v>
      </c>
      <c r="F1834" s="3" t="s">
        <v>858</v>
      </c>
      <c r="G1834" s="3" t="s">
        <v>71</v>
      </c>
      <c r="H1834" s="2" t="s">
        <v>72</v>
      </c>
      <c r="I1834" s="2" t="s">
        <v>4800</v>
      </c>
      <c r="J1834" s="3" t="str">
        <f>HYPERLINK("https://www.boe.es/gazeta/dias/1815/07/18/pdfs/GMD-1815-88.pdf#page=7","Abrir facsímil")</f>
        <v>Abrir facsímil</v>
      </c>
      <c r="K1834" s="3" t="s">
        <v>74</v>
      </c>
    </row>
    <row r="1835" spans="1:11" ht="42" customHeight="1">
      <c r="A1835" s="2" t="s">
        <v>4797</v>
      </c>
      <c r="B1835" s="2" t="s">
        <v>4798</v>
      </c>
      <c r="C1835" s="2" t="s">
        <v>31</v>
      </c>
      <c r="D1835" s="2" t="s">
        <v>32</v>
      </c>
      <c r="E1835" s="5">
        <v>-30823</v>
      </c>
      <c r="F1835" s="3" t="s">
        <v>305</v>
      </c>
      <c r="G1835" s="3" t="s">
        <v>306</v>
      </c>
      <c r="H1835" s="2" t="s">
        <v>72</v>
      </c>
      <c r="I1835" s="2" t="s">
        <v>4801</v>
      </c>
      <c r="J1835" s="3" t="str">
        <f>HYPERLINK("https://www.boe.es/gazeta/dias/1815/08/10/pdfs/GMD-1815-98.pdf#page=7","Abrir facsímil")</f>
        <v>Abrir facsímil</v>
      </c>
      <c r="K1835" s="3" t="s">
        <v>74</v>
      </c>
    </row>
    <row r="1836" spans="1:11" ht="42" customHeight="1">
      <c r="A1836" s="2" t="s">
        <v>4797</v>
      </c>
      <c r="B1836" s="2" t="s">
        <v>4798</v>
      </c>
      <c r="C1836" s="2" t="s">
        <v>49</v>
      </c>
      <c r="D1836" s="2" t="s">
        <v>50</v>
      </c>
      <c r="E1836" s="5">
        <v>-30788</v>
      </c>
      <c r="F1836" s="3" t="s">
        <v>96</v>
      </c>
      <c r="G1836" s="3" t="s">
        <v>27</v>
      </c>
      <c r="H1836" s="2" t="s">
        <v>72</v>
      </c>
      <c r="I1836" s="2" t="s">
        <v>4802</v>
      </c>
      <c r="J1836" s="3" t="str">
        <f>HYPERLINK("https://www.boe.es/gazeta/dias/1815/09/14/pdfs/GMD-1815-114.pdf#page=6","Abrir facsímil")</f>
        <v>Abrir facsímil</v>
      </c>
      <c r="K1836" s="3" t="s">
        <v>74</v>
      </c>
    </row>
    <row r="1837" spans="1:11" ht="42" customHeight="1">
      <c r="A1837" s="2" t="s">
        <v>4803</v>
      </c>
      <c r="B1837" s="2" t="s">
        <v>4804</v>
      </c>
      <c r="C1837" s="2" t="s">
        <v>17</v>
      </c>
      <c r="D1837" s="2" t="s">
        <v>18</v>
      </c>
      <c r="E1837" s="5">
        <v>-31000</v>
      </c>
      <c r="F1837" s="3" t="s">
        <v>70</v>
      </c>
      <c r="G1837" s="3" t="s">
        <v>71</v>
      </c>
      <c r="H1837" s="2" t="s">
        <v>72</v>
      </c>
      <c r="I1837" s="2" t="s">
        <v>4805</v>
      </c>
      <c r="J1837" s="3" t="str">
        <f>HYPERLINK("https://www.boe.es/gazeta/dias/1815/02/14/pdfs/GMD-1815-19.pdf#page=7","Abrir facsímil")</f>
        <v>Abrir facsímil</v>
      </c>
      <c r="K1837" s="3" t="s">
        <v>74</v>
      </c>
    </row>
    <row r="1838" spans="1:11" ht="42" customHeight="1">
      <c r="A1838" s="2" t="s">
        <v>4803</v>
      </c>
      <c r="B1838" s="2" t="s">
        <v>4804</v>
      </c>
      <c r="C1838" s="2" t="s">
        <v>49</v>
      </c>
      <c r="D1838" s="2" t="s">
        <v>50</v>
      </c>
      <c r="E1838" s="5">
        <v>-30977</v>
      </c>
      <c r="F1838" s="3" t="s">
        <v>37</v>
      </c>
      <c r="G1838" s="3" t="s">
        <v>71</v>
      </c>
      <c r="H1838" s="2" t="s">
        <v>72</v>
      </c>
      <c r="I1838" s="2" t="s">
        <v>4806</v>
      </c>
      <c r="J1838" s="3" t="str">
        <f>HYPERLINK("https://www.boe.es/gazeta/dias/1815/03/09/pdfs/GMD-1815-29.pdf#page=7","Abrir facsímil")</f>
        <v>Abrir facsímil</v>
      </c>
      <c r="K1838" s="3" t="s">
        <v>74</v>
      </c>
    </row>
    <row r="1839" spans="1:11" ht="42" customHeight="1">
      <c r="A1839" s="2" t="s">
        <v>4807</v>
      </c>
      <c r="B1839" s="2" t="s">
        <v>4808</v>
      </c>
      <c r="C1839" s="2" t="s">
        <v>31</v>
      </c>
      <c r="D1839" s="2" t="s">
        <v>32</v>
      </c>
      <c r="E1839" s="5">
        <v>-30772</v>
      </c>
      <c r="F1839" s="3" t="s">
        <v>216</v>
      </c>
      <c r="G1839" s="3" t="s">
        <v>27</v>
      </c>
      <c r="H1839" s="2" t="s">
        <v>72</v>
      </c>
      <c r="I1839" s="2" t="s">
        <v>4809</v>
      </c>
      <c r="J1839" s="3" t="str">
        <f>HYPERLINK("https://www.boe.es/gazeta/dias/1815/09/30/pdfs/GMD-1815-123.pdf#page=6","Abrir facsímil")</f>
        <v>Abrir facsímil</v>
      </c>
      <c r="K1839" s="3" t="s">
        <v>74</v>
      </c>
    </row>
    <row r="1840" spans="1:11" ht="42" customHeight="1">
      <c r="A1840" s="2" t="s">
        <v>4810</v>
      </c>
      <c r="B1840" s="2" t="s">
        <v>4811</v>
      </c>
      <c r="C1840" s="2" t="s">
        <v>31</v>
      </c>
      <c r="D1840" s="2" t="s">
        <v>32</v>
      </c>
      <c r="E1840" s="5">
        <v>-30865</v>
      </c>
      <c r="F1840" s="3" t="s">
        <v>163</v>
      </c>
      <c r="G1840" s="3" t="s">
        <v>27</v>
      </c>
      <c r="H1840" s="2" t="s">
        <v>72</v>
      </c>
      <c r="I1840" s="2" t="s">
        <v>4812</v>
      </c>
      <c r="J1840" s="3" t="str">
        <f>HYPERLINK("https://www.boe.es/gazeta/dias/1815/06/29/pdfs/GMD-1815-78.pdf#page=6","Abrir facsímil")</f>
        <v>Abrir facsímil</v>
      </c>
      <c r="K1840" s="3" t="s">
        <v>74</v>
      </c>
    </row>
    <row r="1841" spans="1:11" ht="42" customHeight="1">
      <c r="A1841" s="2" t="s">
        <v>4813</v>
      </c>
      <c r="B1841" s="2" t="s">
        <v>4814</v>
      </c>
      <c r="C1841" s="2" t="s">
        <v>195</v>
      </c>
      <c r="D1841" s="2" t="s">
        <v>50</v>
      </c>
      <c r="E1841" s="5">
        <v>-30991</v>
      </c>
      <c r="F1841" s="3" t="s">
        <v>318</v>
      </c>
      <c r="G1841" s="3" t="s">
        <v>319</v>
      </c>
      <c r="H1841" s="2" t="s">
        <v>72</v>
      </c>
      <c r="I1841" s="2" t="s">
        <v>4815</v>
      </c>
      <c r="J1841" s="3" t="str">
        <f>HYPERLINK("https://www.boe.es/gazeta/dias/1815/02/23/pdfs/GMD-1815-23.pdf#page=6","Abrir facsímil")</f>
        <v>Abrir facsímil</v>
      </c>
      <c r="K1841" s="3" t="s">
        <v>74</v>
      </c>
    </row>
    <row r="1842" spans="1:11" ht="42" customHeight="1">
      <c r="A1842" s="2" t="s">
        <v>4816</v>
      </c>
      <c r="B1842" s="2" t="s">
        <v>4817</v>
      </c>
      <c r="C1842" s="2" t="s">
        <v>49</v>
      </c>
      <c r="D1842" s="2" t="s">
        <v>50</v>
      </c>
      <c r="E1842" s="5">
        <v>-30870</v>
      </c>
      <c r="F1842" s="3" t="s">
        <v>122</v>
      </c>
      <c r="G1842" s="3" t="s">
        <v>52</v>
      </c>
      <c r="H1842" s="2" t="s">
        <v>72</v>
      </c>
      <c r="I1842" s="2" t="s">
        <v>4818</v>
      </c>
      <c r="J1842" s="3" t="str">
        <f>HYPERLINK("https://www.boe.es/gazeta/dias/1815/06/24/pdfs/GMD-1815-76.pdf#page=11","Abrir facsímil")</f>
        <v>Abrir facsímil</v>
      </c>
      <c r="K1842" s="3" t="s">
        <v>74</v>
      </c>
    </row>
    <row r="1843" spans="1:11" ht="42" customHeight="1">
      <c r="A1843" s="2" t="s">
        <v>4819</v>
      </c>
      <c r="B1843" s="2" t="s">
        <v>4820</v>
      </c>
      <c r="C1843" s="2" t="s">
        <v>49</v>
      </c>
      <c r="D1843" s="2" t="s">
        <v>50</v>
      </c>
      <c r="E1843" s="5">
        <v>-30860</v>
      </c>
      <c r="F1843" s="3" t="s">
        <v>184</v>
      </c>
      <c r="G1843" s="3" t="s">
        <v>20</v>
      </c>
      <c r="H1843" s="2" t="s">
        <v>72</v>
      </c>
      <c r="I1843" s="2" t="s">
        <v>4821</v>
      </c>
      <c r="J1843" s="3" t="str">
        <f>HYPERLINK("https://www.boe.es/gazeta/dias/1815/07/04/pdfs/GMD-1815-81.pdf#page=4","Abrir facsímil")</f>
        <v>Abrir facsímil</v>
      </c>
      <c r="K1843" s="3" t="s">
        <v>74</v>
      </c>
    </row>
    <row r="1844" spans="1:11" ht="42" customHeight="1">
      <c r="A1844" s="2" t="s">
        <v>4819</v>
      </c>
      <c r="B1844" s="2" t="s">
        <v>4820</v>
      </c>
      <c r="C1844" s="2" t="s">
        <v>31</v>
      </c>
      <c r="D1844" s="2" t="s">
        <v>32</v>
      </c>
      <c r="E1844" s="5">
        <v>-30762</v>
      </c>
      <c r="F1844" s="3" t="s">
        <v>19</v>
      </c>
      <c r="G1844" s="3" t="s">
        <v>2323</v>
      </c>
      <c r="H1844" s="2" t="s">
        <v>72</v>
      </c>
      <c r="I1844" s="2" t="s">
        <v>4822</v>
      </c>
      <c r="J1844" s="3" t="str">
        <f>HYPERLINK("https://www.boe.es/gazeta/dias/1815/10/10/pdfs/GMD-1815-127.pdf#page=8","Abrir facsímil")</f>
        <v>Abrir facsímil</v>
      </c>
      <c r="K1844" s="3" t="s">
        <v>74</v>
      </c>
    </row>
    <row r="1845" spans="1:11" ht="42" customHeight="1">
      <c r="A1845" s="2" t="s">
        <v>4823</v>
      </c>
      <c r="B1845" s="2" t="s">
        <v>4824</v>
      </c>
      <c r="C1845" s="2" t="s">
        <v>31</v>
      </c>
      <c r="D1845" s="2" t="s">
        <v>32</v>
      </c>
      <c r="E1845" s="5">
        <v>-30886</v>
      </c>
      <c r="F1845" s="3" t="s">
        <v>140</v>
      </c>
      <c r="G1845" s="3" t="s">
        <v>88</v>
      </c>
      <c r="H1845" s="2" t="s">
        <v>72</v>
      </c>
      <c r="I1845" s="2" t="s">
        <v>4825</v>
      </c>
      <c r="J1845" s="3" t="str">
        <f>HYPERLINK("https://www.boe.es/gazeta/dias/1815/06/08/pdfs/GMD-1815-69.pdf#page=10","Abrir facsímil")</f>
        <v>Abrir facsímil</v>
      </c>
      <c r="K1845" s="3" t="s">
        <v>74</v>
      </c>
    </row>
    <row r="1846" spans="1:11" ht="42" customHeight="1">
      <c r="A1846" s="2" t="s">
        <v>4826</v>
      </c>
      <c r="B1846" s="2" t="s">
        <v>4827</v>
      </c>
      <c r="C1846" s="2" t="s">
        <v>31</v>
      </c>
      <c r="D1846" s="2" t="s">
        <v>32</v>
      </c>
      <c r="E1846" s="5">
        <v>-30930</v>
      </c>
      <c r="F1846" s="3" t="s">
        <v>51</v>
      </c>
      <c r="G1846" s="3" t="s">
        <v>276</v>
      </c>
      <c r="H1846" s="2" t="s">
        <v>72</v>
      </c>
      <c r="I1846" s="2" t="s">
        <v>4828</v>
      </c>
      <c r="J1846" s="3" t="str">
        <f>HYPERLINK("https://www.boe.es/gazeta/dias/1815/04/25/pdfs/GMD-1815-50.pdf#page=12","Abrir facsímil")</f>
        <v>Abrir facsímil</v>
      </c>
      <c r="K1846" s="3" t="s">
        <v>74</v>
      </c>
    </row>
    <row r="1847" spans="1:11" ht="42" customHeight="1">
      <c r="A1847" s="2" t="s">
        <v>4829</v>
      </c>
      <c r="B1847" s="2" t="s">
        <v>4830</v>
      </c>
      <c r="C1847" s="2" t="s">
        <v>49</v>
      </c>
      <c r="D1847" s="2" t="s">
        <v>50</v>
      </c>
      <c r="E1847" s="5">
        <v>-30865</v>
      </c>
      <c r="F1847" s="3" t="s">
        <v>163</v>
      </c>
      <c r="G1847" s="3" t="s">
        <v>71</v>
      </c>
      <c r="H1847" s="2" t="s">
        <v>72</v>
      </c>
      <c r="I1847" s="2" t="s">
        <v>4831</v>
      </c>
      <c r="J1847" s="3" t="str">
        <f>HYPERLINK("https://www.boe.es/gazeta/dias/1815/06/29/pdfs/GMD-1815-78.pdf#page=7","Abrir facsímil")</f>
        <v>Abrir facsímil</v>
      </c>
      <c r="K1847" s="3" t="s">
        <v>74</v>
      </c>
    </row>
    <row r="1848" spans="1:11" ht="42" customHeight="1">
      <c r="A1848" s="2" t="s">
        <v>4832</v>
      </c>
      <c r="B1848" s="2" t="s">
        <v>4833</v>
      </c>
      <c r="C1848" s="2" t="s">
        <v>195</v>
      </c>
      <c r="D1848" s="2" t="s">
        <v>50</v>
      </c>
      <c r="E1848" s="5">
        <v>-30923</v>
      </c>
      <c r="F1848" s="3" t="s">
        <v>524</v>
      </c>
      <c r="G1848" s="3" t="s">
        <v>88</v>
      </c>
      <c r="H1848" s="2" t="s">
        <v>72</v>
      </c>
      <c r="I1848" s="2" t="s">
        <v>4834</v>
      </c>
      <c r="J1848" s="3" t="str">
        <f>HYPERLINK("https://www.boe.es/gazeta/dias/1815/05/02/pdfs/GMD-1815-53.pdf#page=10","Abrir facsímil")</f>
        <v>Abrir facsímil</v>
      </c>
      <c r="K1848" s="3" t="s">
        <v>74</v>
      </c>
    </row>
    <row r="1849" spans="1:11" ht="42" customHeight="1">
      <c r="A1849" s="2" t="s">
        <v>4835</v>
      </c>
      <c r="B1849" s="2" t="s">
        <v>4836</v>
      </c>
      <c r="C1849" s="2" t="s">
        <v>31</v>
      </c>
      <c r="D1849" s="2" t="s">
        <v>32</v>
      </c>
      <c r="E1849" s="5">
        <v>-30839</v>
      </c>
      <c r="F1849" s="3" t="s">
        <v>616</v>
      </c>
      <c r="G1849" s="3" t="s">
        <v>27</v>
      </c>
      <c r="H1849" s="2" t="s">
        <v>72</v>
      </c>
      <c r="I1849" s="2" t="s">
        <v>4837</v>
      </c>
      <c r="J1849" s="3" t="str">
        <f>HYPERLINK("https://www.boe.es/gazeta/dias/1815/07/25/pdfs/GMD-1815-91.pdf#page=6","Abrir facsímil")</f>
        <v>Abrir facsímil</v>
      </c>
      <c r="K1849" s="3" t="s">
        <v>74</v>
      </c>
    </row>
    <row r="1850" spans="1:11" ht="42" customHeight="1">
      <c r="A1850" s="2" t="s">
        <v>4838</v>
      </c>
      <c r="B1850" s="2" t="s">
        <v>4839</v>
      </c>
      <c r="C1850" s="2" t="s">
        <v>195</v>
      </c>
      <c r="D1850" s="2" t="s">
        <v>50</v>
      </c>
      <c r="E1850" s="5">
        <v>-30879</v>
      </c>
      <c r="F1850" s="3" t="s">
        <v>754</v>
      </c>
      <c r="G1850" s="3" t="s">
        <v>88</v>
      </c>
      <c r="H1850" s="2" t="s">
        <v>72</v>
      </c>
      <c r="I1850" s="2" t="s">
        <v>4840</v>
      </c>
      <c r="J1850" s="3" t="str">
        <f>HYPERLINK("https://www.boe.es/gazeta/dias/1815/06/15/pdfs/GMD-1815-72.pdf#page=10","Abrir facsímil")</f>
        <v>Abrir facsímil</v>
      </c>
      <c r="K1850" s="3" t="s">
        <v>74</v>
      </c>
    </row>
    <row r="1851" spans="1:11" ht="42" customHeight="1">
      <c r="A1851" s="2" t="s">
        <v>4841</v>
      </c>
      <c r="B1851" s="2" t="s">
        <v>4842</v>
      </c>
      <c r="C1851" s="2" t="s">
        <v>31</v>
      </c>
      <c r="D1851" s="2" t="s">
        <v>32</v>
      </c>
      <c r="E1851" s="5">
        <v>-30958</v>
      </c>
      <c r="F1851" s="3" t="s">
        <v>297</v>
      </c>
      <c r="G1851" s="3" t="s">
        <v>57</v>
      </c>
      <c r="H1851" s="2" t="s">
        <v>72</v>
      </c>
      <c r="I1851" s="2" t="s">
        <v>4843</v>
      </c>
      <c r="J1851" s="3" t="str">
        <f>HYPERLINK("https://www.boe.es/gazeta/dias/1815/03/28/pdfs/GMD-1815-37.pdf#page=5","Abrir facsímil")</f>
        <v>Abrir facsímil</v>
      </c>
      <c r="K1851" s="3" t="s">
        <v>74</v>
      </c>
    </row>
    <row r="1852" spans="1:11" ht="42" customHeight="1">
      <c r="A1852" s="2" t="s">
        <v>4844</v>
      </c>
      <c r="B1852" s="2" t="s">
        <v>4845</v>
      </c>
      <c r="C1852" s="2" t="s">
        <v>49</v>
      </c>
      <c r="D1852" s="2" t="s">
        <v>50</v>
      </c>
      <c r="E1852" s="5">
        <v>-30916</v>
      </c>
      <c r="F1852" s="3" t="s">
        <v>147</v>
      </c>
      <c r="G1852" s="3" t="s">
        <v>38</v>
      </c>
      <c r="H1852" s="2" t="s">
        <v>72</v>
      </c>
      <c r="I1852" s="2" t="s">
        <v>4846</v>
      </c>
      <c r="J1852" s="3" t="str">
        <f>HYPERLINK("https://www.boe.es/gazeta/dias/1815/05/09/pdfs/GMD-1815-56.pdf#page=8","Abrir facsímil")</f>
        <v>Abrir facsímil</v>
      </c>
      <c r="K1852" s="3" t="s">
        <v>74</v>
      </c>
    </row>
    <row r="1853" spans="1:11" ht="42" customHeight="1">
      <c r="A1853" s="2" t="s">
        <v>4847</v>
      </c>
      <c r="B1853" s="2" t="s">
        <v>4848</v>
      </c>
      <c r="C1853" s="2" t="s">
        <v>81</v>
      </c>
      <c r="D1853" s="2" t="s">
        <v>50</v>
      </c>
      <c r="E1853" s="5">
        <v>-30877</v>
      </c>
      <c r="F1853" s="3" t="s">
        <v>548</v>
      </c>
      <c r="G1853" s="3" t="s">
        <v>276</v>
      </c>
      <c r="H1853" s="2" t="s">
        <v>72</v>
      </c>
      <c r="I1853" s="2" t="s">
        <v>4849</v>
      </c>
      <c r="J1853" s="3" t="str">
        <f>HYPERLINK("https://www.boe.es/gazeta/dias/1815/06/17/pdfs/GMD-1815-73.pdf#page=12","Abrir facsímil")</f>
        <v>Abrir facsímil</v>
      </c>
      <c r="K1853" s="3" t="s">
        <v>74</v>
      </c>
    </row>
    <row r="1854" spans="1:11" ht="42" customHeight="1">
      <c r="A1854" s="2" t="s">
        <v>4850</v>
      </c>
      <c r="B1854" s="2" t="s">
        <v>4851</v>
      </c>
      <c r="C1854" s="2" t="s">
        <v>31</v>
      </c>
      <c r="D1854" s="2" t="s">
        <v>32</v>
      </c>
      <c r="E1854" s="5">
        <v>-30790</v>
      </c>
      <c r="F1854" s="3" t="s">
        <v>285</v>
      </c>
      <c r="G1854" s="3" t="s">
        <v>38</v>
      </c>
      <c r="H1854" s="2" t="s">
        <v>72</v>
      </c>
      <c r="I1854" s="2" t="s">
        <v>4852</v>
      </c>
      <c r="J1854" s="3" t="str">
        <f>HYPERLINK("https://www.boe.es/gazeta/dias/1815/09/12/pdfs/GMD-1815-113.pdf#page=8","Abrir facsímil")</f>
        <v>Abrir facsímil</v>
      </c>
      <c r="K1854" s="3" t="s">
        <v>74</v>
      </c>
    </row>
    <row r="1855" spans="1:11" ht="42" customHeight="1">
      <c r="A1855" s="2" t="s">
        <v>4853</v>
      </c>
      <c r="B1855" s="2" t="s">
        <v>4853</v>
      </c>
      <c r="C1855" s="2" t="s">
        <v>49</v>
      </c>
      <c r="D1855" s="2" t="s">
        <v>50</v>
      </c>
      <c r="E1855" s="5">
        <v>-31042</v>
      </c>
      <c r="F1855" s="3" t="s">
        <v>512</v>
      </c>
      <c r="G1855" s="3" t="s">
        <v>20</v>
      </c>
      <c r="H1855" s="2" t="s">
        <v>72</v>
      </c>
      <c r="I1855" s="2" t="s">
        <v>4854</v>
      </c>
      <c r="J1855" s="3" t="str">
        <f>HYPERLINK("https://www.boe.es/gazeta/dias/1815/01/03/pdfs/GMD-1815-1.pdf#page=4","Abrir facsímil")</f>
        <v>Abrir facsímil</v>
      </c>
      <c r="K1855" s="3" t="s">
        <v>74</v>
      </c>
    </row>
    <row r="1856" spans="1:11" ht="42" customHeight="1">
      <c r="A1856" s="2" t="s">
        <v>4853</v>
      </c>
      <c r="B1856" s="2" t="s">
        <v>4853</v>
      </c>
      <c r="C1856" s="2" t="s">
        <v>49</v>
      </c>
      <c r="D1856" s="2" t="s">
        <v>50</v>
      </c>
      <c r="E1856" s="5">
        <v>-31040</v>
      </c>
      <c r="F1856" s="3" t="s">
        <v>326</v>
      </c>
      <c r="G1856" s="3" t="s">
        <v>4855</v>
      </c>
      <c r="H1856" s="2" t="s">
        <v>72</v>
      </c>
      <c r="I1856" s="2" t="s">
        <v>4856</v>
      </c>
      <c r="J1856" s="3" t="str">
        <f>HYPERLINK("https://www.boe.es/gazeta/dias/1815/01/05/pdfs/GMD-1815-2.pdf#page=5","Abrir facsímil")</f>
        <v>Abrir facsímil</v>
      </c>
      <c r="K1856" s="3" t="s">
        <v>74</v>
      </c>
    </row>
    <row r="1857" spans="1:11" ht="42" customHeight="1">
      <c r="A1857" s="2" t="s">
        <v>4853</v>
      </c>
      <c r="B1857" s="2" t="s">
        <v>4853</v>
      </c>
      <c r="C1857" s="2" t="s">
        <v>31</v>
      </c>
      <c r="D1857" s="2" t="s">
        <v>32</v>
      </c>
      <c r="E1857" s="5">
        <v>-31033</v>
      </c>
      <c r="F1857" s="3" t="s">
        <v>493</v>
      </c>
      <c r="G1857" s="3" t="s">
        <v>71</v>
      </c>
      <c r="H1857" s="2" t="s">
        <v>72</v>
      </c>
      <c r="I1857" s="2" t="s">
        <v>4857</v>
      </c>
      <c r="J1857" s="3" t="str">
        <f>HYPERLINK("https://www.boe.es/gazeta/dias/1815/01/12/pdfs/GMD-1815-5.pdf#page=7","Abrir facsímil")</f>
        <v>Abrir facsímil</v>
      </c>
      <c r="K1857" s="3" t="s">
        <v>74</v>
      </c>
    </row>
    <row r="1858" spans="1:11" ht="42" customHeight="1">
      <c r="A1858" s="2" t="s">
        <v>4853</v>
      </c>
      <c r="B1858" s="2" t="s">
        <v>4853</v>
      </c>
      <c r="C1858" s="2" t="s">
        <v>31</v>
      </c>
      <c r="D1858" s="2" t="s">
        <v>32</v>
      </c>
      <c r="E1858" s="5">
        <v>-31031</v>
      </c>
      <c r="F1858" s="3" t="s">
        <v>105</v>
      </c>
      <c r="G1858" s="3" t="s">
        <v>97</v>
      </c>
      <c r="H1858" s="2" t="s">
        <v>72</v>
      </c>
      <c r="I1858" s="2" t="s">
        <v>4858</v>
      </c>
      <c r="J1858" s="3" t="str">
        <f>HYPERLINK("https://www.boe.es/gazeta/dias/1815/01/14/pdfs/GMD-1815-6.pdf#page=3","Abrir facsímil")</f>
        <v>Abrir facsímil</v>
      </c>
      <c r="K1858" s="3" t="s">
        <v>74</v>
      </c>
    </row>
    <row r="1859" spans="1:11" ht="42" customHeight="1">
      <c r="A1859" s="2" t="s">
        <v>4853</v>
      </c>
      <c r="B1859" s="2" t="s">
        <v>4853</v>
      </c>
      <c r="C1859" s="2" t="s">
        <v>49</v>
      </c>
      <c r="D1859" s="2" t="s">
        <v>50</v>
      </c>
      <c r="E1859" s="5">
        <v>-31031</v>
      </c>
      <c r="F1859" s="3" t="s">
        <v>105</v>
      </c>
      <c r="G1859" s="3" t="s">
        <v>27</v>
      </c>
      <c r="H1859" s="2" t="s">
        <v>72</v>
      </c>
      <c r="I1859" s="2" t="s">
        <v>4859</v>
      </c>
      <c r="J1859" s="3" t="str">
        <f>HYPERLINK("https://www.boe.es/gazeta/dias/1815/01/14/pdfs/GMD-1815-6.pdf#page=6","Abrir facsímil")</f>
        <v>Abrir facsímil</v>
      </c>
      <c r="K1859" s="3" t="s">
        <v>74</v>
      </c>
    </row>
    <row r="1860" spans="1:11" ht="42" customHeight="1">
      <c r="A1860" s="2" t="s">
        <v>4853</v>
      </c>
      <c r="B1860" s="2" t="s">
        <v>4853</v>
      </c>
      <c r="C1860" s="2" t="s">
        <v>31</v>
      </c>
      <c r="D1860" s="2" t="s">
        <v>32</v>
      </c>
      <c r="E1860" s="5">
        <v>-31028</v>
      </c>
      <c r="F1860" s="3" t="s">
        <v>517</v>
      </c>
      <c r="G1860" s="3" t="s">
        <v>27</v>
      </c>
      <c r="H1860" s="2" t="s">
        <v>72</v>
      </c>
      <c r="I1860" s="2" t="s">
        <v>4860</v>
      </c>
      <c r="J1860" s="3" t="str">
        <f>HYPERLINK("https://www.boe.es/gazeta/dias/1815/01/17/pdfs/GMD-1815-7.pdf#page=6","Abrir facsímil")</f>
        <v>Abrir facsímil</v>
      </c>
      <c r="K1860" s="3" t="s">
        <v>74</v>
      </c>
    </row>
    <row r="1861" spans="1:11" ht="42" customHeight="1">
      <c r="A1861" s="2" t="s">
        <v>4853</v>
      </c>
      <c r="B1861" s="2" t="s">
        <v>4853</v>
      </c>
      <c r="C1861" s="2" t="s">
        <v>61</v>
      </c>
      <c r="D1861" s="2" t="s">
        <v>50</v>
      </c>
      <c r="E1861" s="5">
        <v>-31021</v>
      </c>
      <c r="F1861" s="3" t="s">
        <v>481</v>
      </c>
      <c r="G1861" s="3" t="s">
        <v>27</v>
      </c>
      <c r="H1861" s="2" t="s">
        <v>72</v>
      </c>
      <c r="I1861" s="2" t="s">
        <v>4861</v>
      </c>
      <c r="J1861" s="3" t="str">
        <f>HYPERLINK("https://www.boe.es/gazeta/dias/1815/01/24/pdfs/GMD-1815-10.pdf#page=6","Abrir facsímil")</f>
        <v>Abrir facsímil</v>
      </c>
      <c r="K1861" s="3" t="s">
        <v>74</v>
      </c>
    </row>
    <row r="1862" spans="1:11" ht="42" customHeight="1">
      <c r="A1862" s="2" t="s">
        <v>4853</v>
      </c>
      <c r="B1862" s="2" t="s">
        <v>4853</v>
      </c>
      <c r="C1862" s="2" t="s">
        <v>81</v>
      </c>
      <c r="D1862" s="2" t="s">
        <v>50</v>
      </c>
      <c r="E1862" s="5">
        <v>-31019</v>
      </c>
      <c r="F1862" s="3" t="s">
        <v>1094</v>
      </c>
      <c r="G1862" s="3" t="s">
        <v>52</v>
      </c>
      <c r="H1862" s="2" t="s">
        <v>72</v>
      </c>
      <c r="I1862" s="2" t="s">
        <v>4862</v>
      </c>
      <c r="J1862" s="3" t="str">
        <f>HYPERLINK("https://www.boe.es/gazeta/dias/1815/01/26/pdfs/GMD-1815-11.pdf#page=11","Abrir facsímil")</f>
        <v>Abrir facsímil</v>
      </c>
      <c r="K1862" s="3" t="s">
        <v>74</v>
      </c>
    </row>
    <row r="1863" spans="1:11" ht="42" customHeight="1">
      <c r="A1863" s="2" t="s">
        <v>4853</v>
      </c>
      <c r="B1863" s="2" t="s">
        <v>4853</v>
      </c>
      <c r="C1863" s="2" t="s">
        <v>17</v>
      </c>
      <c r="D1863" s="2" t="s">
        <v>18</v>
      </c>
      <c r="E1863" s="5">
        <v>-31012</v>
      </c>
      <c r="F1863" s="3" t="s">
        <v>529</v>
      </c>
      <c r="G1863" s="3" t="s">
        <v>20</v>
      </c>
      <c r="H1863" s="2" t="s">
        <v>72</v>
      </c>
      <c r="I1863" s="2" t="s">
        <v>4863</v>
      </c>
      <c r="J1863" s="3" t="str">
        <f>HYPERLINK("https://www.boe.es/gazeta/dias/1815/02/02/pdfs/GMD-1815-14.pdf#page=4","Abrir facsímil")</f>
        <v>Abrir facsímil</v>
      </c>
      <c r="K1863" s="3" t="s">
        <v>74</v>
      </c>
    </row>
    <row r="1864" spans="1:11" ht="42" customHeight="1">
      <c r="A1864" s="2" t="s">
        <v>4853</v>
      </c>
      <c r="B1864" s="2" t="s">
        <v>4853</v>
      </c>
      <c r="C1864" s="2" t="s">
        <v>17</v>
      </c>
      <c r="D1864" s="2" t="s">
        <v>18</v>
      </c>
      <c r="E1864" s="5">
        <v>-30998</v>
      </c>
      <c r="F1864" s="3" t="s">
        <v>539</v>
      </c>
      <c r="G1864" s="3" t="s">
        <v>20</v>
      </c>
      <c r="H1864" s="2" t="s">
        <v>72</v>
      </c>
      <c r="I1864" s="2" t="s">
        <v>4864</v>
      </c>
      <c r="J1864" s="3" t="str">
        <f>HYPERLINK("https://www.boe.es/gazeta/dias/1815/02/16/pdfs/GMD-1815-20.pdf#page=4","Abrir facsímil")</f>
        <v>Abrir facsímil</v>
      </c>
      <c r="K1864" s="3" t="s">
        <v>74</v>
      </c>
    </row>
    <row r="1865" spans="1:11" ht="42" customHeight="1">
      <c r="A1865" s="2" t="s">
        <v>4853</v>
      </c>
      <c r="B1865" s="2" t="s">
        <v>4853</v>
      </c>
      <c r="C1865" s="2" t="s">
        <v>49</v>
      </c>
      <c r="D1865" s="2" t="s">
        <v>50</v>
      </c>
      <c r="E1865" s="5">
        <v>-30998</v>
      </c>
      <c r="F1865" s="3" t="s">
        <v>539</v>
      </c>
      <c r="G1865" s="3" t="s">
        <v>38</v>
      </c>
      <c r="H1865" s="2" t="s">
        <v>72</v>
      </c>
      <c r="I1865" s="2" t="s">
        <v>4865</v>
      </c>
      <c r="J1865" s="3" t="str">
        <f>HYPERLINK("https://www.boe.es/gazeta/dias/1815/02/16/pdfs/GMD-1815-20.pdf#page=8","Abrir facsímil")</f>
        <v>Abrir facsímil</v>
      </c>
      <c r="K1865" s="3" t="s">
        <v>74</v>
      </c>
    </row>
    <row r="1866" spans="1:11" ht="42" customHeight="1">
      <c r="A1866" s="2" t="s">
        <v>4853</v>
      </c>
      <c r="B1866" s="2" t="s">
        <v>4853</v>
      </c>
      <c r="C1866" s="2" t="s">
        <v>31</v>
      </c>
      <c r="D1866" s="2" t="s">
        <v>32</v>
      </c>
      <c r="E1866" s="5">
        <v>-30996</v>
      </c>
      <c r="F1866" s="3" t="s">
        <v>289</v>
      </c>
      <c r="G1866" s="3" t="s">
        <v>97</v>
      </c>
      <c r="H1866" s="2" t="s">
        <v>72</v>
      </c>
      <c r="I1866" s="2" t="s">
        <v>4866</v>
      </c>
      <c r="J1866" s="3" t="str">
        <f>HYPERLINK("https://www.boe.es/gazeta/dias/1815/02/18/pdfs/GMD-1815-21.pdf#page=3","Abrir facsímil")</f>
        <v>Abrir facsímil</v>
      </c>
      <c r="K1866" s="3" t="s">
        <v>74</v>
      </c>
    </row>
    <row r="1867" spans="1:11" ht="42" customHeight="1">
      <c r="A1867" s="2" t="s">
        <v>4853</v>
      </c>
      <c r="B1867" s="2" t="s">
        <v>4853</v>
      </c>
      <c r="C1867" s="2" t="s">
        <v>17</v>
      </c>
      <c r="D1867" s="2" t="s">
        <v>18</v>
      </c>
      <c r="E1867" s="5">
        <v>-30991</v>
      </c>
      <c r="F1867" s="3" t="s">
        <v>318</v>
      </c>
      <c r="G1867" s="3" t="s">
        <v>1829</v>
      </c>
      <c r="H1867" s="2" t="s">
        <v>72</v>
      </c>
      <c r="I1867" s="2" t="s">
        <v>4867</v>
      </c>
      <c r="J1867" s="3" t="str">
        <f>HYPERLINK("https://www.boe.es/gazeta/dias/1815/02/23/pdfs/GMD-1815-23.pdf#page=8","Abrir facsímil")</f>
        <v>Abrir facsímil</v>
      </c>
      <c r="K1867" s="3" t="s">
        <v>74</v>
      </c>
    </row>
    <row r="1868" spans="1:11" ht="42" customHeight="1">
      <c r="A1868" s="2" t="s">
        <v>4853</v>
      </c>
      <c r="B1868" s="2" t="s">
        <v>4853</v>
      </c>
      <c r="C1868" s="2" t="s">
        <v>17</v>
      </c>
      <c r="D1868" s="2" t="s">
        <v>18</v>
      </c>
      <c r="E1868" s="5">
        <v>-30986</v>
      </c>
      <c r="F1868" s="3" t="s">
        <v>46</v>
      </c>
      <c r="G1868" s="3" t="s">
        <v>27</v>
      </c>
      <c r="H1868" s="2" t="s">
        <v>72</v>
      </c>
      <c r="I1868" s="2" t="s">
        <v>4868</v>
      </c>
      <c r="J1868" s="3" t="str">
        <f>HYPERLINK("https://www.boe.es/gazeta/dias/1815/02/28/pdfs/GMD-1815-25.pdf#page=6","Abrir facsímil")</f>
        <v>Abrir facsímil</v>
      </c>
      <c r="K1868" s="3" t="s">
        <v>74</v>
      </c>
    </row>
    <row r="1869" spans="1:11" ht="42" customHeight="1">
      <c r="A1869" s="2" t="s">
        <v>4853</v>
      </c>
      <c r="B1869" s="2" t="s">
        <v>4853</v>
      </c>
      <c r="C1869" s="2" t="s">
        <v>17</v>
      </c>
      <c r="D1869" s="2" t="s">
        <v>18</v>
      </c>
      <c r="E1869" s="5">
        <v>-30984</v>
      </c>
      <c r="F1869" s="3" t="s">
        <v>748</v>
      </c>
      <c r="G1869" s="3" t="s">
        <v>20</v>
      </c>
      <c r="H1869" s="2" t="s">
        <v>72</v>
      </c>
      <c r="I1869" s="2" t="s">
        <v>4869</v>
      </c>
      <c r="J1869" s="3" t="str">
        <f>HYPERLINK("https://www.boe.es/gazeta/dias/1815/03/02/pdfs/GMD-1815-26.pdf#page=4","Abrir facsímil")</f>
        <v>Abrir facsímil</v>
      </c>
      <c r="K1869" s="3" t="s">
        <v>74</v>
      </c>
    </row>
    <row r="1870" spans="1:11" ht="42" customHeight="1">
      <c r="A1870" s="2" t="s">
        <v>4853</v>
      </c>
      <c r="B1870" s="2" t="s">
        <v>4853</v>
      </c>
      <c r="C1870" s="2" t="s">
        <v>49</v>
      </c>
      <c r="D1870" s="2" t="s">
        <v>50</v>
      </c>
      <c r="E1870" s="5">
        <v>-30970</v>
      </c>
      <c r="F1870" s="3" t="s">
        <v>436</v>
      </c>
      <c r="G1870" s="3" t="s">
        <v>38</v>
      </c>
      <c r="H1870" s="2" t="s">
        <v>72</v>
      </c>
      <c r="I1870" s="2" t="s">
        <v>4870</v>
      </c>
      <c r="J1870" s="3" t="str">
        <f>HYPERLINK("https://www.boe.es/gazeta/dias/1815/03/16/pdfs/GMD-1815-32.pdf#page=8","Abrir facsímil")</f>
        <v>Abrir facsímil</v>
      </c>
      <c r="K1870" s="3" t="s">
        <v>74</v>
      </c>
    </row>
    <row r="1871" spans="1:11" ht="42" customHeight="1">
      <c r="A1871" s="2" t="s">
        <v>4853</v>
      </c>
      <c r="B1871" s="2" t="s">
        <v>4853</v>
      </c>
      <c r="C1871" s="2" t="s">
        <v>49</v>
      </c>
      <c r="D1871" s="2" t="s">
        <v>50</v>
      </c>
      <c r="E1871" s="5">
        <v>-30961</v>
      </c>
      <c r="F1871" s="3" t="s">
        <v>1176</v>
      </c>
      <c r="G1871" s="3" t="s">
        <v>27</v>
      </c>
      <c r="H1871" s="2" t="s">
        <v>72</v>
      </c>
      <c r="I1871" s="2" t="s">
        <v>4871</v>
      </c>
      <c r="J1871" s="3" t="str">
        <f>HYPERLINK("https://www.boe.es/gazeta/dias/1815/03/25/pdfs/GMD-1815-36.pdf#page=6","Abrir facsímil")</f>
        <v>Abrir facsímil</v>
      </c>
      <c r="K1871" s="3" t="s">
        <v>74</v>
      </c>
    </row>
    <row r="1872" spans="1:11" ht="42" customHeight="1">
      <c r="A1872" s="2" t="s">
        <v>4853</v>
      </c>
      <c r="B1872" s="2" t="s">
        <v>4853</v>
      </c>
      <c r="C1872" s="2" t="s">
        <v>31</v>
      </c>
      <c r="D1872" s="2" t="s">
        <v>32</v>
      </c>
      <c r="E1872" s="5">
        <v>-30947</v>
      </c>
      <c r="F1872" s="3" t="s">
        <v>159</v>
      </c>
      <c r="G1872" s="3" t="s">
        <v>4728</v>
      </c>
      <c r="H1872" s="2" t="s">
        <v>72</v>
      </c>
      <c r="I1872" s="2" t="s">
        <v>4872</v>
      </c>
      <c r="J1872" s="3" t="str">
        <f>HYPERLINK("https://www.boe.es/gazeta/dias/1815/04/08/pdfs/GMD-1815-43.pdf#page=4","Abrir facsímil")</f>
        <v>Abrir facsímil</v>
      </c>
      <c r="K1872" s="3" t="s">
        <v>74</v>
      </c>
    </row>
    <row r="1873" spans="1:11" ht="42" customHeight="1">
      <c r="A1873" s="2" t="s">
        <v>4853</v>
      </c>
      <c r="B1873" s="2" t="s">
        <v>4853</v>
      </c>
      <c r="C1873" s="2" t="s">
        <v>17</v>
      </c>
      <c r="D1873" s="2" t="s">
        <v>18</v>
      </c>
      <c r="E1873" s="5">
        <v>-30928</v>
      </c>
      <c r="F1873" s="3" t="s">
        <v>330</v>
      </c>
      <c r="G1873" s="3" t="s">
        <v>57</v>
      </c>
      <c r="H1873" s="2" t="s">
        <v>72</v>
      </c>
      <c r="I1873" s="2" t="s">
        <v>4873</v>
      </c>
      <c r="J1873" s="3" t="str">
        <f>HYPERLINK("https://www.boe.es/gazeta/dias/1815/04/27/pdfs/GMD-1815-51.pdf#page=5","Abrir facsímil")</f>
        <v>Abrir facsímil</v>
      </c>
      <c r="K1873" s="3" t="s">
        <v>74</v>
      </c>
    </row>
    <row r="1874" spans="1:11" ht="42" customHeight="1">
      <c r="A1874" s="2" t="s">
        <v>4853</v>
      </c>
      <c r="B1874" s="2" t="s">
        <v>4853</v>
      </c>
      <c r="C1874" s="2" t="s">
        <v>31</v>
      </c>
      <c r="D1874" s="2" t="s">
        <v>32</v>
      </c>
      <c r="E1874" s="5">
        <v>-30905</v>
      </c>
      <c r="F1874" s="3" t="s">
        <v>901</v>
      </c>
      <c r="G1874" s="3" t="s">
        <v>902</v>
      </c>
      <c r="H1874" s="2" t="s">
        <v>72</v>
      </c>
      <c r="I1874" s="2" t="s">
        <v>4874</v>
      </c>
      <c r="J1874" s="3" t="str">
        <f>HYPERLINK("https://www.boe.es/gazeta/dias/1815/05/20/pdfs/GMD-1815-61.pdf#page=8","Abrir facsímil")</f>
        <v>Abrir facsímil</v>
      </c>
      <c r="K1874" s="3" t="s">
        <v>74</v>
      </c>
    </row>
    <row r="1875" spans="1:11" ht="42" customHeight="1">
      <c r="A1875" s="2" t="s">
        <v>4853</v>
      </c>
      <c r="B1875" s="2" t="s">
        <v>4853</v>
      </c>
      <c r="C1875" s="2" t="s">
        <v>61</v>
      </c>
      <c r="D1875" s="2" t="s">
        <v>50</v>
      </c>
      <c r="E1875" s="5">
        <v>-30902</v>
      </c>
      <c r="F1875" s="3" t="s">
        <v>648</v>
      </c>
      <c r="G1875" s="3" t="s">
        <v>38</v>
      </c>
      <c r="H1875" s="2" t="s">
        <v>72</v>
      </c>
      <c r="I1875" s="2" t="s">
        <v>4875</v>
      </c>
      <c r="J1875" s="3" t="str">
        <f>HYPERLINK("https://www.boe.es/gazeta/dias/1815/05/23/pdfs/GMD-1815-62.pdf#page=8","Abrir facsímil")</f>
        <v>Abrir facsímil</v>
      </c>
      <c r="K1875" s="3" t="s">
        <v>74</v>
      </c>
    </row>
    <row r="1876" spans="1:11" ht="42" customHeight="1">
      <c r="A1876" s="2" t="s">
        <v>4853</v>
      </c>
      <c r="B1876" s="2" t="s">
        <v>4853</v>
      </c>
      <c r="C1876" s="2" t="s">
        <v>17</v>
      </c>
      <c r="D1876" s="2" t="s">
        <v>18</v>
      </c>
      <c r="E1876" s="5">
        <v>-30891</v>
      </c>
      <c r="F1876" s="3" t="s">
        <v>498</v>
      </c>
      <c r="G1876" s="3" t="s">
        <v>38</v>
      </c>
      <c r="H1876" s="2" t="s">
        <v>72</v>
      </c>
      <c r="I1876" s="2" t="s">
        <v>4876</v>
      </c>
      <c r="J1876" s="3" t="str">
        <f>HYPERLINK("https://www.boe.es/gazeta/dias/1815/06/03/pdfs/GMD-1815-67.pdf#page=8","Abrir facsímil")</f>
        <v>Abrir facsímil</v>
      </c>
      <c r="K1876" s="3" t="s">
        <v>74</v>
      </c>
    </row>
    <row r="1877" spans="1:11" ht="42" customHeight="1">
      <c r="A1877" s="2" t="s">
        <v>4853</v>
      </c>
      <c r="B1877" s="2" t="s">
        <v>4853</v>
      </c>
      <c r="C1877" s="2" t="s">
        <v>17</v>
      </c>
      <c r="D1877" s="2" t="s">
        <v>18</v>
      </c>
      <c r="E1877" s="5">
        <v>-30884</v>
      </c>
      <c r="F1877" s="3" t="s">
        <v>136</v>
      </c>
      <c r="G1877" s="3" t="s">
        <v>410</v>
      </c>
      <c r="H1877" s="2" t="s">
        <v>72</v>
      </c>
      <c r="I1877" s="2" t="s">
        <v>4877</v>
      </c>
      <c r="J1877" s="3" t="str">
        <f>HYPERLINK("https://www.boe.es/gazeta/dias/1815/06/10/pdfs/GMD-1815-70.pdf#page=1","Abrir facsímil")</f>
        <v>Abrir facsímil</v>
      </c>
      <c r="K1877" s="3" t="s">
        <v>74</v>
      </c>
    </row>
    <row r="1878" spans="1:11" ht="42" customHeight="1">
      <c r="A1878" s="2" t="s">
        <v>4853</v>
      </c>
      <c r="B1878" s="2" t="s">
        <v>4853</v>
      </c>
      <c r="C1878" s="2" t="s">
        <v>31</v>
      </c>
      <c r="D1878" s="2" t="s">
        <v>32</v>
      </c>
      <c r="E1878" s="5">
        <v>-30879</v>
      </c>
      <c r="F1878" s="3" t="s">
        <v>754</v>
      </c>
      <c r="G1878" s="3" t="s">
        <v>276</v>
      </c>
      <c r="H1878" s="2" t="s">
        <v>72</v>
      </c>
      <c r="I1878" s="2" t="s">
        <v>4878</v>
      </c>
      <c r="J1878" s="3" t="str">
        <f>HYPERLINK("https://www.boe.es/gazeta/dias/1815/06/15/pdfs/GMD-1815-72.pdf#page=12","Abrir facsímil")</f>
        <v>Abrir facsímil</v>
      </c>
      <c r="K1878" s="3" t="s">
        <v>74</v>
      </c>
    </row>
    <row r="1879" spans="1:11" ht="42" customHeight="1">
      <c r="A1879" s="2" t="s">
        <v>4853</v>
      </c>
      <c r="B1879" s="2" t="s">
        <v>4853</v>
      </c>
      <c r="C1879" s="2" t="s">
        <v>31</v>
      </c>
      <c r="D1879" s="2" t="s">
        <v>32</v>
      </c>
      <c r="E1879" s="5">
        <v>-30879</v>
      </c>
      <c r="F1879" s="3" t="s">
        <v>754</v>
      </c>
      <c r="G1879" s="3" t="s">
        <v>71</v>
      </c>
      <c r="H1879" s="2" t="s">
        <v>72</v>
      </c>
      <c r="I1879" s="2" t="s">
        <v>4879</v>
      </c>
      <c r="J1879" s="3" t="str">
        <f>HYPERLINK("https://www.boe.es/gazeta/dias/1815/06/15/pdfs/GMD-1815-72.pdf#page=7","Abrir facsímil")</f>
        <v>Abrir facsímil</v>
      </c>
      <c r="K1879" s="3" t="s">
        <v>74</v>
      </c>
    </row>
    <row r="1880" spans="1:11" ht="42" customHeight="1">
      <c r="A1880" s="2" t="s">
        <v>4853</v>
      </c>
      <c r="B1880" s="2" t="s">
        <v>4853</v>
      </c>
      <c r="C1880" s="2" t="s">
        <v>61</v>
      </c>
      <c r="D1880" s="2" t="s">
        <v>50</v>
      </c>
      <c r="E1880" s="5">
        <v>-30865</v>
      </c>
      <c r="F1880" s="3" t="s">
        <v>163</v>
      </c>
      <c r="G1880" s="3" t="s">
        <v>276</v>
      </c>
      <c r="H1880" s="2" t="s">
        <v>72</v>
      </c>
      <c r="I1880" s="2" t="s">
        <v>4880</v>
      </c>
      <c r="J1880" s="3" t="str">
        <f>HYPERLINK("https://www.boe.es/gazeta/dias/1815/06/29/pdfs/GMD-1815-78.pdf#page=12","Abrir facsímil")</f>
        <v>Abrir facsímil</v>
      </c>
      <c r="K1880" s="3" t="s">
        <v>74</v>
      </c>
    </row>
    <row r="1881" spans="1:11" ht="42" customHeight="1">
      <c r="A1881" s="2" t="s">
        <v>4853</v>
      </c>
      <c r="B1881" s="2" t="s">
        <v>4853</v>
      </c>
      <c r="C1881" s="2" t="s">
        <v>31</v>
      </c>
      <c r="D1881" s="2" t="s">
        <v>32</v>
      </c>
      <c r="E1881" s="5">
        <v>-30858</v>
      </c>
      <c r="F1881" s="3" t="s">
        <v>1928</v>
      </c>
      <c r="G1881" s="3" t="s">
        <v>1929</v>
      </c>
      <c r="H1881" s="2" t="s">
        <v>72</v>
      </c>
      <c r="I1881" s="2" t="s">
        <v>4881</v>
      </c>
      <c r="J1881" s="3" t="str">
        <f>HYPERLINK("https://www.boe.es/gazeta/dias/1815/07/06/pdfs/GMD-1815-83.pdf#page=3","Abrir facsímil")</f>
        <v>Abrir facsímil</v>
      </c>
      <c r="K1881" s="3" t="s">
        <v>74</v>
      </c>
    </row>
    <row r="1882" spans="1:11" ht="42" customHeight="1">
      <c r="A1882" s="2" t="s">
        <v>4853</v>
      </c>
      <c r="B1882" s="2" t="s">
        <v>4853</v>
      </c>
      <c r="C1882" s="2" t="s">
        <v>31</v>
      </c>
      <c r="D1882" s="2" t="s">
        <v>32</v>
      </c>
      <c r="E1882" s="5">
        <v>-30858</v>
      </c>
      <c r="F1882" s="3" t="s">
        <v>1928</v>
      </c>
      <c r="G1882" s="3" t="s">
        <v>377</v>
      </c>
      <c r="H1882" s="2" t="s">
        <v>72</v>
      </c>
      <c r="I1882" s="2" t="s">
        <v>4882</v>
      </c>
      <c r="J1882" s="3" t="str">
        <f>HYPERLINK("https://www.boe.es/gazeta/dias/1815/07/06/pdfs/GMD-1815-83.pdf#page=2","Abrir facsímil")</f>
        <v>Abrir facsímil</v>
      </c>
      <c r="K1882" s="3" t="s">
        <v>74</v>
      </c>
    </row>
    <row r="1883" spans="1:11" ht="42" customHeight="1">
      <c r="A1883" s="2" t="s">
        <v>4853</v>
      </c>
      <c r="B1883" s="2" t="s">
        <v>4853</v>
      </c>
      <c r="C1883" s="2" t="s">
        <v>31</v>
      </c>
      <c r="D1883" s="2" t="s">
        <v>32</v>
      </c>
      <c r="E1883" s="5">
        <v>-30844</v>
      </c>
      <c r="F1883" s="3" t="s">
        <v>114</v>
      </c>
      <c r="G1883" s="3" t="s">
        <v>38</v>
      </c>
      <c r="H1883" s="2" t="s">
        <v>72</v>
      </c>
      <c r="I1883" s="2" t="s">
        <v>4883</v>
      </c>
      <c r="J1883" s="3" t="str">
        <f>HYPERLINK("https://www.boe.es/gazeta/dias/1815/07/20/pdfs/GMD-1815-89.pdf#page=8","Abrir facsímil")</f>
        <v>Abrir facsímil</v>
      </c>
      <c r="K1883" s="3" t="s">
        <v>74</v>
      </c>
    </row>
    <row r="1884" spans="1:11" ht="42" customHeight="1">
      <c r="A1884" s="2" t="s">
        <v>4853</v>
      </c>
      <c r="B1884" s="2" t="s">
        <v>4853</v>
      </c>
      <c r="C1884" s="2" t="s">
        <v>31</v>
      </c>
      <c r="D1884" s="2" t="s">
        <v>32</v>
      </c>
      <c r="E1884" s="5">
        <v>-30839</v>
      </c>
      <c r="F1884" s="3" t="s">
        <v>616</v>
      </c>
      <c r="G1884" s="3" t="s">
        <v>617</v>
      </c>
      <c r="H1884" s="2" t="s">
        <v>72</v>
      </c>
      <c r="I1884" s="2" t="s">
        <v>4884</v>
      </c>
      <c r="J1884" s="3" t="str">
        <f>HYPERLINK("https://www.boe.es/gazeta/dias/1815/07/25/pdfs/GMD-1815-91.pdf#page=8","Abrir facsímil")</f>
        <v>Abrir facsímil</v>
      </c>
      <c r="K1884" s="3" t="s">
        <v>74</v>
      </c>
    </row>
    <row r="1885" spans="1:11" ht="42" customHeight="1">
      <c r="A1885" s="2" t="s">
        <v>4853</v>
      </c>
      <c r="B1885" s="2" t="s">
        <v>4853</v>
      </c>
      <c r="C1885" s="2" t="s">
        <v>61</v>
      </c>
      <c r="D1885" s="2" t="s">
        <v>50</v>
      </c>
      <c r="E1885" s="5">
        <v>-30835</v>
      </c>
      <c r="F1885" s="3" t="s">
        <v>544</v>
      </c>
      <c r="G1885" s="3" t="s">
        <v>276</v>
      </c>
      <c r="H1885" s="2" t="s">
        <v>72</v>
      </c>
      <c r="I1885" s="2" t="s">
        <v>4885</v>
      </c>
      <c r="J1885" s="3" t="str">
        <f>HYPERLINK("https://www.boe.es/gazeta/dias/1815/07/29/pdfs/GMD-1815-93.pdf#page=12","Abrir facsímil")</f>
        <v>Abrir facsímil</v>
      </c>
      <c r="K1885" s="3" t="s">
        <v>74</v>
      </c>
    </row>
    <row r="1886" spans="1:11" ht="42" customHeight="1">
      <c r="A1886" s="2" t="s">
        <v>4853</v>
      </c>
      <c r="B1886" s="2" t="s">
        <v>4853</v>
      </c>
      <c r="C1886" s="2" t="s">
        <v>31</v>
      </c>
      <c r="D1886" s="2" t="s">
        <v>32</v>
      </c>
      <c r="E1886" s="5">
        <v>-30825</v>
      </c>
      <c r="F1886" s="3" t="s">
        <v>669</v>
      </c>
      <c r="G1886" s="3" t="s">
        <v>27</v>
      </c>
      <c r="H1886" s="2" t="s">
        <v>72</v>
      </c>
      <c r="I1886" s="2" t="s">
        <v>4886</v>
      </c>
      <c r="J1886" s="3" t="str">
        <f>HYPERLINK("https://www.boe.es/gazeta/dias/1815/08/08/pdfs/GMD-1815-97.pdf#page=6","Abrir facsímil")</f>
        <v>Abrir facsímil</v>
      </c>
      <c r="K1886" s="3" t="s">
        <v>74</v>
      </c>
    </row>
    <row r="1887" spans="1:11" ht="42" customHeight="1">
      <c r="A1887" s="2" t="s">
        <v>4887</v>
      </c>
      <c r="B1887" s="2" t="s">
        <v>4887</v>
      </c>
      <c r="C1887" s="2" t="s">
        <v>31</v>
      </c>
      <c r="D1887" s="2" t="s">
        <v>32</v>
      </c>
      <c r="E1887" s="5">
        <v>-30783</v>
      </c>
      <c r="F1887" s="3" t="s">
        <v>423</v>
      </c>
      <c r="G1887" s="3" t="s">
        <v>97</v>
      </c>
      <c r="H1887" s="2" t="s">
        <v>72</v>
      </c>
      <c r="I1887" s="2" t="s">
        <v>4888</v>
      </c>
      <c r="J1887" s="3" t="str">
        <f>HYPERLINK("https://www.boe.es/gazeta/dias/1815/09/19/pdfs/GMD-1815-116.pdf#page=3","Abrir facsímil")</f>
        <v>Abrir facsímil</v>
      </c>
      <c r="K1887" s="3" t="s">
        <v>74</v>
      </c>
    </row>
    <row r="1888" spans="1:11" ht="42" customHeight="1">
      <c r="A1888" s="2" t="s">
        <v>4853</v>
      </c>
      <c r="B1888" s="2" t="s">
        <v>4853</v>
      </c>
      <c r="C1888" s="2" t="s">
        <v>31</v>
      </c>
      <c r="D1888" s="2" t="s">
        <v>32</v>
      </c>
      <c r="E1888" s="5">
        <v>-30755</v>
      </c>
      <c r="F1888" s="3" t="s">
        <v>598</v>
      </c>
      <c r="G1888" s="3" t="s">
        <v>20</v>
      </c>
      <c r="H1888" s="2" t="s">
        <v>72</v>
      </c>
      <c r="I1888" s="2" t="s">
        <v>4889</v>
      </c>
      <c r="J1888" s="3" t="str">
        <f>HYPERLINK("https://www.boe.es/gazeta/dias/1815/10/17/pdfs/GMD-1815-130.pdf#page=4","Abrir facsímil")</f>
        <v>Abrir facsímil</v>
      </c>
      <c r="K1888" s="3" t="s">
        <v>74</v>
      </c>
    </row>
    <row r="1889" spans="1:11" ht="42" customHeight="1">
      <c r="A1889" s="2" t="s">
        <v>4853</v>
      </c>
      <c r="B1889" s="2" t="s">
        <v>4853</v>
      </c>
      <c r="C1889" s="2" t="s">
        <v>31</v>
      </c>
      <c r="D1889" s="2" t="s">
        <v>32</v>
      </c>
      <c r="E1889" s="5">
        <v>-30725</v>
      </c>
      <c r="F1889" s="3" t="s">
        <v>1535</v>
      </c>
      <c r="G1889" s="3" t="s">
        <v>57</v>
      </c>
      <c r="H1889" s="2" t="s">
        <v>72</v>
      </c>
      <c r="I1889" s="2" t="s">
        <v>4890</v>
      </c>
      <c r="J1889" s="3" t="str">
        <f>HYPERLINK("https://www.boe.es/gazeta/dias/1815/11/16/pdfs/GMD-1815-143.pdf#page=5","Abrir facsímil")</f>
        <v>Abrir facsímil</v>
      </c>
      <c r="K1889" s="3" t="s">
        <v>74</v>
      </c>
    </row>
    <row r="1890" spans="1:11" ht="42" customHeight="1">
      <c r="A1890" s="2" t="s">
        <v>4853</v>
      </c>
      <c r="B1890" s="2" t="s">
        <v>4853</v>
      </c>
      <c r="C1890" s="2" t="s">
        <v>81</v>
      </c>
      <c r="D1890" s="2" t="s">
        <v>50</v>
      </c>
      <c r="E1890" s="5">
        <v>-30720</v>
      </c>
      <c r="F1890" s="3" t="s">
        <v>373</v>
      </c>
      <c r="G1890" s="3" t="s">
        <v>20</v>
      </c>
      <c r="H1890" s="2" t="s">
        <v>72</v>
      </c>
      <c r="I1890" s="2" t="s">
        <v>4891</v>
      </c>
      <c r="J1890" s="3" t="str">
        <f>HYPERLINK("https://www.boe.es/gazeta/dias/1815/11/21/pdfs/GMD-1815-145.pdf#page=4","Abrir facsímil")</f>
        <v>Abrir facsímil</v>
      </c>
      <c r="K1890" s="3" t="s">
        <v>74</v>
      </c>
    </row>
    <row r="1891" spans="1:11" ht="42" customHeight="1">
      <c r="A1891" s="2" t="s">
        <v>4853</v>
      </c>
      <c r="B1891" s="2" t="s">
        <v>4853</v>
      </c>
      <c r="C1891" s="2" t="s">
        <v>31</v>
      </c>
      <c r="D1891" s="2" t="s">
        <v>32</v>
      </c>
      <c r="E1891" s="5">
        <v>-30716</v>
      </c>
      <c r="F1891" s="3" t="s">
        <v>589</v>
      </c>
      <c r="G1891" s="3" t="s">
        <v>71</v>
      </c>
      <c r="H1891" s="2" t="s">
        <v>72</v>
      </c>
      <c r="I1891" s="2" t="s">
        <v>4892</v>
      </c>
      <c r="J1891" s="3" t="str">
        <f>HYPERLINK("https://www.boe.es/gazeta/dias/1815/11/25/pdfs/GMD-1815-147.pdf#page=7","Abrir facsímil")</f>
        <v>Abrir facsímil</v>
      </c>
      <c r="K1891" s="3" t="s">
        <v>74</v>
      </c>
    </row>
    <row r="1892" spans="1:11" ht="42" customHeight="1">
      <c r="A1892" s="2" t="s">
        <v>4853</v>
      </c>
      <c r="B1892" s="2" t="s">
        <v>4853</v>
      </c>
      <c r="C1892" s="2" t="s">
        <v>17</v>
      </c>
      <c r="D1892" s="2" t="s">
        <v>18</v>
      </c>
      <c r="E1892" s="5">
        <v>-30692</v>
      </c>
      <c r="F1892" s="3" t="s">
        <v>508</v>
      </c>
      <c r="G1892" s="3" t="s">
        <v>1353</v>
      </c>
      <c r="H1892" s="2" t="s">
        <v>72</v>
      </c>
      <c r="I1892" s="2" t="s">
        <v>4893</v>
      </c>
      <c r="J1892" s="3" t="str">
        <f>HYPERLINK("https://www.boe.es/gazeta/dias/1815/12/19/pdfs/GMD-1815-157.pdf#page=7","Abrir facsímil")</f>
        <v>Abrir facsímil</v>
      </c>
      <c r="K1892" s="3" t="s">
        <v>74</v>
      </c>
    </row>
    <row r="1893" spans="1:11" ht="42" customHeight="1">
      <c r="A1893" s="2" t="s">
        <v>4853</v>
      </c>
      <c r="B1893" s="2" t="s">
        <v>4853</v>
      </c>
      <c r="C1893" s="2" t="s">
        <v>17</v>
      </c>
      <c r="D1893" s="2" t="s">
        <v>18</v>
      </c>
      <c r="E1893" s="5">
        <v>-30692</v>
      </c>
      <c r="F1893" s="3" t="s">
        <v>508</v>
      </c>
      <c r="G1893" s="3" t="s">
        <v>38</v>
      </c>
      <c r="H1893" s="2" t="s">
        <v>72</v>
      </c>
      <c r="I1893" s="2" t="s">
        <v>4894</v>
      </c>
      <c r="J1893" s="3" t="str">
        <f>HYPERLINK("https://www.boe.es/gazeta/dias/1815/12/19/pdfs/GMD-1815-157.pdf#page=8","Abrir facsímil")</f>
        <v>Abrir facsímil</v>
      </c>
      <c r="K1893" s="3" t="s">
        <v>74</v>
      </c>
    </row>
    <row r="1894" spans="1:11" ht="42" customHeight="1">
      <c r="A1894" s="2" t="s">
        <v>4895</v>
      </c>
      <c r="B1894" s="2" t="s">
        <v>4895</v>
      </c>
      <c r="C1894" s="2" t="s">
        <v>195</v>
      </c>
      <c r="D1894" s="2" t="s">
        <v>50</v>
      </c>
      <c r="E1894" s="5">
        <v>-30879</v>
      </c>
      <c r="F1894" s="3" t="s">
        <v>754</v>
      </c>
      <c r="G1894" s="3" t="s">
        <v>88</v>
      </c>
      <c r="H1894" s="2" t="s">
        <v>72</v>
      </c>
      <c r="I1894" s="2" t="s">
        <v>4896</v>
      </c>
      <c r="J1894" s="3" t="str">
        <f>HYPERLINK("https://www.boe.es/gazeta/dias/1815/06/15/pdfs/GMD-1815-72.pdf#page=10","Abrir facsímil")</f>
        <v>Abrir facsímil</v>
      </c>
      <c r="K1894" s="3" t="s">
        <v>74</v>
      </c>
    </row>
    <row r="1895" spans="1:11" ht="42" customHeight="1">
      <c r="A1895" s="2" t="s">
        <v>4897</v>
      </c>
      <c r="B1895" s="2" t="s">
        <v>4898</v>
      </c>
      <c r="C1895" s="2" t="s">
        <v>17</v>
      </c>
      <c r="D1895" s="2" t="s">
        <v>18</v>
      </c>
      <c r="E1895" s="5">
        <v>-31038</v>
      </c>
      <c r="F1895" s="3" t="s">
        <v>395</v>
      </c>
      <c r="G1895" s="3" t="s">
        <v>71</v>
      </c>
      <c r="H1895" s="2" t="s">
        <v>72</v>
      </c>
      <c r="I1895" s="2" t="s">
        <v>4899</v>
      </c>
      <c r="J1895" s="3" t="str">
        <f>HYPERLINK("https://www.boe.es/gazeta/dias/1815/01/07/pdfs/GMD-1815-3.pdf#page=7","Abrir facsímil")</f>
        <v>Abrir facsímil</v>
      </c>
      <c r="K1895" s="3" t="s">
        <v>74</v>
      </c>
    </row>
    <row r="1896" spans="1:11" ht="42" customHeight="1">
      <c r="A1896" s="2" t="s">
        <v>4900</v>
      </c>
      <c r="B1896" s="2" t="s">
        <v>4900</v>
      </c>
      <c r="C1896" s="2" t="s">
        <v>49</v>
      </c>
      <c r="D1896" s="2" t="s">
        <v>50</v>
      </c>
      <c r="E1896" s="5">
        <v>-31031</v>
      </c>
      <c r="F1896" s="3" t="s">
        <v>105</v>
      </c>
      <c r="G1896" s="3" t="s">
        <v>97</v>
      </c>
      <c r="H1896" s="2" t="s">
        <v>72</v>
      </c>
      <c r="I1896" s="2" t="s">
        <v>4901</v>
      </c>
      <c r="J1896" s="3" t="str">
        <f>HYPERLINK("https://www.boe.es/gazeta/dias/1815/01/14/pdfs/GMD-1815-6.pdf#page=3","Abrir facsímil")</f>
        <v>Abrir facsímil</v>
      </c>
      <c r="K1896" s="3" t="s">
        <v>74</v>
      </c>
    </row>
    <row r="1897" spans="1:11" ht="42" customHeight="1">
      <c r="A1897" s="2" t="s">
        <v>4902</v>
      </c>
      <c r="B1897" s="2" t="s">
        <v>4902</v>
      </c>
      <c r="C1897" s="2" t="s">
        <v>195</v>
      </c>
      <c r="D1897" s="2" t="s">
        <v>50</v>
      </c>
      <c r="E1897" s="5">
        <v>-30781</v>
      </c>
      <c r="F1897" s="3" t="s">
        <v>685</v>
      </c>
      <c r="G1897" s="3" t="s">
        <v>38</v>
      </c>
      <c r="H1897" s="2" t="s">
        <v>72</v>
      </c>
      <c r="I1897" s="2" t="s">
        <v>4903</v>
      </c>
      <c r="J1897" s="3" t="str">
        <f>HYPERLINK("https://www.boe.es/gazeta/dias/1815/09/21/pdfs/GMD-1815-117.pdf#page=8","Abrir facsímil")</f>
        <v>Abrir facsímil</v>
      </c>
      <c r="K1897" s="3" t="s">
        <v>74</v>
      </c>
    </row>
    <row r="1898" spans="1:11" ht="42" customHeight="1">
      <c r="A1898" s="2" t="s">
        <v>4904</v>
      </c>
      <c r="B1898" s="2" t="s">
        <v>4905</v>
      </c>
      <c r="C1898" s="2" t="s">
        <v>17</v>
      </c>
      <c r="D1898" s="2" t="s">
        <v>18</v>
      </c>
      <c r="E1898" s="5">
        <v>-30954</v>
      </c>
      <c r="F1898" s="3" t="s">
        <v>409</v>
      </c>
      <c r="G1898" s="3" t="s">
        <v>71</v>
      </c>
      <c r="H1898" s="2" t="s">
        <v>72</v>
      </c>
      <c r="I1898" s="2" t="s">
        <v>4906</v>
      </c>
      <c r="J1898" s="3" t="str">
        <f>HYPERLINK("https://www.boe.es/gazeta/dias/1815/04/01/pdfs/GMD-1815-39.pdf#page=7","Abrir facsímil")</f>
        <v>Abrir facsímil</v>
      </c>
      <c r="K1898" s="3" t="s">
        <v>74</v>
      </c>
    </row>
    <row r="1899" spans="1:11" ht="42" customHeight="1">
      <c r="A1899" s="2" t="s">
        <v>4907</v>
      </c>
      <c r="B1899" s="2" t="s">
        <v>4908</v>
      </c>
      <c r="C1899" s="2" t="s">
        <v>17</v>
      </c>
      <c r="D1899" s="2" t="s">
        <v>18</v>
      </c>
      <c r="E1899" s="5">
        <v>-30970</v>
      </c>
      <c r="F1899" s="3" t="s">
        <v>436</v>
      </c>
      <c r="G1899" s="3" t="s">
        <v>71</v>
      </c>
      <c r="H1899" s="2" t="s">
        <v>72</v>
      </c>
      <c r="I1899" s="2" t="s">
        <v>4909</v>
      </c>
      <c r="J1899" s="3" t="str">
        <f>HYPERLINK("https://www.boe.es/gazeta/dias/1815/03/16/pdfs/GMD-1815-32.pdf#page=7","Abrir facsímil")</f>
        <v>Abrir facsímil</v>
      </c>
      <c r="K1899" s="3" t="s">
        <v>74</v>
      </c>
    </row>
    <row r="1900" spans="1:11" ht="42" customHeight="1">
      <c r="A1900" s="2" t="s">
        <v>4907</v>
      </c>
      <c r="B1900" s="2" t="s">
        <v>4908</v>
      </c>
      <c r="C1900" s="2" t="s">
        <v>31</v>
      </c>
      <c r="D1900" s="2" t="s">
        <v>32</v>
      </c>
      <c r="E1900" s="5">
        <v>-30958</v>
      </c>
      <c r="F1900" s="3" t="s">
        <v>297</v>
      </c>
      <c r="G1900" s="3" t="s">
        <v>71</v>
      </c>
      <c r="H1900" s="2" t="s">
        <v>72</v>
      </c>
      <c r="I1900" s="2" t="s">
        <v>4910</v>
      </c>
      <c r="J1900" s="3" t="str">
        <f>HYPERLINK("https://www.boe.es/gazeta/dias/1815/03/28/pdfs/GMD-1815-37.pdf#page=7","Abrir facsímil")</f>
        <v>Abrir facsímil</v>
      </c>
      <c r="K1900" s="3" t="s">
        <v>74</v>
      </c>
    </row>
    <row r="1901" spans="1:11" ht="42" customHeight="1">
      <c r="A1901" s="2" t="s">
        <v>4911</v>
      </c>
      <c r="B1901" s="2" t="s">
        <v>4911</v>
      </c>
      <c r="C1901" s="2" t="s">
        <v>31</v>
      </c>
      <c r="D1901" s="2" t="s">
        <v>32</v>
      </c>
      <c r="E1901" s="5">
        <v>-30751</v>
      </c>
      <c r="F1901" s="3" t="s">
        <v>819</v>
      </c>
      <c r="G1901" s="3" t="s">
        <v>97</v>
      </c>
      <c r="H1901" s="2" t="s">
        <v>72</v>
      </c>
      <c r="I1901" s="2" t="s">
        <v>4912</v>
      </c>
      <c r="J1901" s="3" t="str">
        <f>HYPERLINK("https://www.boe.es/gazeta/dias/1815/10/21/pdfs/GMD-1815-132.pdf#page=3","Abrir facsímil")</f>
        <v>Abrir facsímil</v>
      </c>
      <c r="K1901" s="3" t="s">
        <v>74</v>
      </c>
    </row>
    <row r="1902" spans="1:11" ht="42" customHeight="1">
      <c r="A1902" s="2" t="s">
        <v>4913</v>
      </c>
      <c r="B1902" s="2" t="s">
        <v>4914</v>
      </c>
      <c r="C1902" s="2" t="s">
        <v>17</v>
      </c>
      <c r="D1902" s="2" t="s">
        <v>18</v>
      </c>
      <c r="E1902" s="5">
        <v>-30865</v>
      </c>
      <c r="F1902" s="3" t="s">
        <v>163</v>
      </c>
      <c r="G1902" s="3" t="s">
        <v>71</v>
      </c>
      <c r="H1902" s="2" t="s">
        <v>72</v>
      </c>
      <c r="I1902" s="2" t="s">
        <v>4915</v>
      </c>
      <c r="J1902" s="3" t="str">
        <f>HYPERLINK("https://www.boe.es/gazeta/dias/1815/06/29/pdfs/GMD-1815-78.pdf#page=7","Abrir facsímil")</f>
        <v>Abrir facsímil</v>
      </c>
      <c r="K1902" s="3" t="s">
        <v>74</v>
      </c>
    </row>
    <row r="1903" spans="1:11" ht="42" customHeight="1">
      <c r="A1903" s="2" t="s">
        <v>4916</v>
      </c>
      <c r="B1903" s="2" t="s">
        <v>4917</v>
      </c>
      <c r="C1903" s="2" t="s">
        <v>31</v>
      </c>
      <c r="D1903" s="2" t="s">
        <v>32</v>
      </c>
      <c r="E1903" s="5">
        <v>-30942</v>
      </c>
      <c r="F1903" s="3" t="s">
        <v>730</v>
      </c>
      <c r="G1903" s="3" t="s">
        <v>862</v>
      </c>
      <c r="H1903" s="2" t="s">
        <v>72</v>
      </c>
      <c r="I1903" s="2" t="s">
        <v>4918</v>
      </c>
      <c r="J1903" s="3" t="str">
        <f>HYPERLINK("https://www.boe.es/gazeta/dias/1815/04/13/pdfs/GMD-1815-45.pdf#page=6","Abrir facsímil")</f>
        <v>Abrir facsímil</v>
      </c>
      <c r="K1903" s="3" t="s">
        <v>74</v>
      </c>
    </row>
    <row r="1904" spans="1:11" ht="42" customHeight="1">
      <c r="A1904" s="2" t="s">
        <v>4916</v>
      </c>
      <c r="B1904" s="2" t="s">
        <v>4917</v>
      </c>
      <c r="C1904" s="2" t="s">
        <v>195</v>
      </c>
      <c r="D1904" s="2" t="s">
        <v>50</v>
      </c>
      <c r="E1904" s="5">
        <v>-30788</v>
      </c>
      <c r="F1904" s="3" t="s">
        <v>96</v>
      </c>
      <c r="G1904" s="3" t="s">
        <v>38</v>
      </c>
      <c r="H1904" s="2" t="s">
        <v>72</v>
      </c>
      <c r="I1904" s="2" t="s">
        <v>4919</v>
      </c>
      <c r="J1904" s="3" t="str">
        <f>HYPERLINK("https://www.boe.es/gazeta/dias/1815/09/14/pdfs/GMD-1815-114.pdf#page=8","Abrir facsímil")</f>
        <v>Abrir facsímil</v>
      </c>
      <c r="K1904" s="3" t="s">
        <v>74</v>
      </c>
    </row>
    <row r="1905" spans="1:11" ht="42" customHeight="1">
      <c r="A1905" s="2" t="s">
        <v>4920</v>
      </c>
      <c r="B1905" s="2" t="s">
        <v>4921</v>
      </c>
      <c r="C1905" s="2" t="s">
        <v>61</v>
      </c>
      <c r="D1905" s="2" t="s">
        <v>50</v>
      </c>
      <c r="E1905" s="5">
        <v>-30891</v>
      </c>
      <c r="F1905" s="3" t="s">
        <v>498</v>
      </c>
      <c r="G1905" s="3" t="s">
        <v>38</v>
      </c>
      <c r="H1905" s="2" t="s">
        <v>72</v>
      </c>
      <c r="I1905" s="2" t="s">
        <v>4922</v>
      </c>
      <c r="J1905" s="3" t="str">
        <f>HYPERLINK("https://www.boe.es/gazeta/dias/1815/06/03/pdfs/GMD-1815-67.pdf#page=8","Abrir facsímil")</f>
        <v>Abrir facsímil</v>
      </c>
      <c r="K1905" s="3" t="s">
        <v>74</v>
      </c>
    </row>
    <row r="1906" spans="1:11" ht="42" customHeight="1">
      <c r="A1906" s="2" t="s">
        <v>4923</v>
      </c>
      <c r="B1906" s="2" t="s">
        <v>4924</v>
      </c>
      <c r="C1906" s="2" t="s">
        <v>31</v>
      </c>
      <c r="D1906" s="2" t="s">
        <v>32</v>
      </c>
      <c r="E1906" s="5">
        <v>-31038</v>
      </c>
      <c r="F1906" s="3" t="s">
        <v>395</v>
      </c>
      <c r="G1906" s="3" t="s">
        <v>396</v>
      </c>
      <c r="H1906" s="2" t="s">
        <v>72</v>
      </c>
      <c r="I1906" s="2" t="s">
        <v>4925</v>
      </c>
      <c r="J1906" s="3" t="str">
        <f>HYPERLINK("https://www.boe.es/gazeta/dias/1815/01/07/pdfs/GMD-1815-3.pdf#page=5","Abrir facsímil")</f>
        <v>Abrir facsímil</v>
      </c>
      <c r="K1906" s="3" t="s">
        <v>74</v>
      </c>
    </row>
    <row r="1907" spans="1:11" ht="42" customHeight="1">
      <c r="A1907" s="2" t="s">
        <v>4926</v>
      </c>
      <c r="B1907" s="2" t="s">
        <v>4927</v>
      </c>
      <c r="C1907" s="2" t="s">
        <v>31</v>
      </c>
      <c r="D1907" s="2" t="s">
        <v>32</v>
      </c>
      <c r="E1907" s="5">
        <v>-30863</v>
      </c>
      <c r="F1907" s="3" t="s">
        <v>110</v>
      </c>
      <c r="G1907" s="3" t="s">
        <v>224</v>
      </c>
      <c r="H1907" s="2" t="s">
        <v>72</v>
      </c>
      <c r="I1907" s="2" t="s">
        <v>4928</v>
      </c>
      <c r="J1907" s="3" t="str">
        <f>HYPERLINK("https://www.boe.es/gazeta/dias/1815/07/01/pdfs/GMD-1815-79.pdf#page=9","Abrir facsímil")</f>
        <v>Abrir facsímil</v>
      </c>
      <c r="K1907" s="3" t="s">
        <v>74</v>
      </c>
    </row>
    <row r="1908" spans="1:11" ht="42" customHeight="1">
      <c r="A1908" s="2" t="s">
        <v>4929</v>
      </c>
      <c r="B1908" s="2" t="s">
        <v>4930</v>
      </c>
      <c r="C1908" s="2" t="s">
        <v>49</v>
      </c>
      <c r="D1908" s="2" t="s">
        <v>50</v>
      </c>
      <c r="E1908" s="5">
        <v>-30900</v>
      </c>
      <c r="F1908" s="3" t="s">
        <v>921</v>
      </c>
      <c r="G1908" s="3" t="s">
        <v>88</v>
      </c>
      <c r="H1908" s="2" t="s">
        <v>21</v>
      </c>
      <c r="I1908" s="2" t="s">
        <v>4931</v>
      </c>
      <c r="J1908" s="3" t="str">
        <f>HYPERLINK("https://www.boe.es/gazeta/dias/1815/05/25/pdfs/GMD-1815-63.pdf#page=10","Abrir facsímil")</f>
        <v>Abrir facsímil</v>
      </c>
      <c r="K1908" s="3" t="s">
        <v>23</v>
      </c>
    </row>
    <row r="1909" spans="1:11" ht="42" customHeight="1">
      <c r="A1909" s="2" t="s">
        <v>4932</v>
      </c>
      <c r="B1909" s="2" t="s">
        <v>4933</v>
      </c>
      <c r="C1909" s="2" t="s">
        <v>195</v>
      </c>
      <c r="D1909" s="2" t="s">
        <v>50</v>
      </c>
      <c r="E1909" s="5">
        <v>-30781</v>
      </c>
      <c r="F1909" s="3" t="s">
        <v>685</v>
      </c>
      <c r="G1909" s="3" t="s">
        <v>38</v>
      </c>
      <c r="H1909" s="2" t="s">
        <v>72</v>
      </c>
      <c r="I1909" s="2" t="s">
        <v>4934</v>
      </c>
      <c r="J1909" s="3" t="str">
        <f>HYPERLINK("https://www.boe.es/gazeta/dias/1815/09/21/pdfs/GMD-1815-117.pdf#page=8","Abrir facsímil")</f>
        <v>Abrir facsímil</v>
      </c>
      <c r="K1909" s="3" t="s">
        <v>74</v>
      </c>
    </row>
    <row r="1910" spans="1:11" ht="42" customHeight="1">
      <c r="A1910" s="2" t="s">
        <v>4935</v>
      </c>
      <c r="B1910" s="2" t="s">
        <v>4936</v>
      </c>
      <c r="C1910" s="2" t="s">
        <v>31</v>
      </c>
      <c r="D1910" s="2" t="s">
        <v>32</v>
      </c>
      <c r="E1910" s="5">
        <v>-30781</v>
      </c>
      <c r="F1910" s="3" t="s">
        <v>685</v>
      </c>
      <c r="G1910" s="3" t="s">
        <v>38</v>
      </c>
      <c r="H1910" s="2" t="s">
        <v>72</v>
      </c>
      <c r="I1910" s="2" t="s">
        <v>4937</v>
      </c>
      <c r="J1910" s="3" t="str">
        <f>HYPERLINK("https://www.boe.es/gazeta/dias/1815/09/21/pdfs/GMD-1815-117.pdf#page=8","Abrir facsímil")</f>
        <v>Abrir facsímil</v>
      </c>
      <c r="K1910" s="3" t="s">
        <v>74</v>
      </c>
    </row>
    <row r="1911" spans="1:11" ht="42" customHeight="1">
      <c r="A1911" s="2" t="s">
        <v>4938</v>
      </c>
      <c r="B1911" s="2" t="s">
        <v>4938</v>
      </c>
      <c r="C1911" s="2" t="s">
        <v>31</v>
      </c>
      <c r="D1911" s="2" t="s">
        <v>32</v>
      </c>
      <c r="E1911" s="5">
        <v>-30867</v>
      </c>
      <c r="F1911" s="3" t="s">
        <v>3179</v>
      </c>
      <c r="G1911" s="3" t="s">
        <v>377</v>
      </c>
      <c r="H1911" s="2" t="s">
        <v>72</v>
      </c>
      <c r="I1911" s="2" t="s">
        <v>4939</v>
      </c>
      <c r="J1911" s="3" t="str">
        <f>HYPERLINK("https://www.boe.es/gazeta/dias/1815/06/27/pdfs/GMD-1815-77.pdf#page=2","Abrir facsímil")</f>
        <v>Abrir facsímil</v>
      </c>
      <c r="K1911" s="3" t="s">
        <v>74</v>
      </c>
    </row>
    <row r="1912" spans="1:11" ht="42" customHeight="1">
      <c r="A1912" s="2" t="s">
        <v>4938</v>
      </c>
      <c r="B1912" s="2" t="s">
        <v>4938</v>
      </c>
      <c r="C1912" s="2" t="s">
        <v>49</v>
      </c>
      <c r="D1912" s="2" t="s">
        <v>50</v>
      </c>
      <c r="E1912" s="5">
        <v>-30828</v>
      </c>
      <c r="F1912" s="3" t="s">
        <v>1402</v>
      </c>
      <c r="G1912" s="3" t="s">
        <v>20</v>
      </c>
      <c r="H1912" s="2" t="s">
        <v>72</v>
      </c>
      <c r="I1912" s="2" t="s">
        <v>4940</v>
      </c>
      <c r="J1912" s="3" t="str">
        <f>HYPERLINK("https://www.boe.es/gazeta/dias/1815/08/05/pdfs/GMD-1815-96.pdf#page=4","Abrir facsímil")</f>
        <v>Abrir facsímil</v>
      </c>
      <c r="K1912" s="3" t="s">
        <v>74</v>
      </c>
    </row>
    <row r="1913" spans="1:11" ht="42" customHeight="1">
      <c r="A1913" s="2" t="s">
        <v>4938</v>
      </c>
      <c r="B1913" s="2" t="s">
        <v>4938</v>
      </c>
      <c r="C1913" s="2" t="s">
        <v>31</v>
      </c>
      <c r="D1913" s="2" t="s">
        <v>32</v>
      </c>
      <c r="E1913" s="5">
        <v>-30821</v>
      </c>
      <c r="F1913" s="3" t="s">
        <v>915</v>
      </c>
      <c r="G1913" s="3" t="s">
        <v>97</v>
      </c>
      <c r="H1913" s="2" t="s">
        <v>72</v>
      </c>
      <c r="I1913" s="2" t="s">
        <v>4941</v>
      </c>
      <c r="J1913" s="3" t="str">
        <f>HYPERLINK("https://www.boe.es/gazeta/dias/1815/08/12/pdfs/GMD-1815-99.pdf#page=3","Abrir facsímil")</f>
        <v>Abrir facsímil</v>
      </c>
      <c r="K1913" s="3" t="s">
        <v>74</v>
      </c>
    </row>
    <row r="1914" spans="1:11" ht="42" customHeight="1">
      <c r="A1914" s="2" t="s">
        <v>4938</v>
      </c>
      <c r="B1914" s="2" t="s">
        <v>4938</v>
      </c>
      <c r="C1914" s="2" t="s">
        <v>31</v>
      </c>
      <c r="D1914" s="2" t="s">
        <v>32</v>
      </c>
      <c r="E1914" s="5">
        <v>-30816</v>
      </c>
      <c r="F1914" s="3" t="s">
        <v>1253</v>
      </c>
      <c r="G1914" s="3" t="s">
        <v>71</v>
      </c>
      <c r="H1914" s="2" t="s">
        <v>72</v>
      </c>
      <c r="I1914" s="2" t="s">
        <v>4942</v>
      </c>
      <c r="J1914" s="3" t="str">
        <f>HYPERLINK("https://www.boe.es/gazeta/dias/1815/08/17/pdfs/GMD-1815-101.pdf#page=7","Abrir facsímil")</f>
        <v>Abrir facsímil</v>
      </c>
      <c r="K1914" s="3" t="s">
        <v>74</v>
      </c>
    </row>
    <row r="1915" spans="1:11" ht="42" customHeight="1">
      <c r="A1915" s="2" t="s">
        <v>4938</v>
      </c>
      <c r="B1915" s="2" t="s">
        <v>4938</v>
      </c>
      <c r="C1915" s="2" t="s">
        <v>31</v>
      </c>
      <c r="D1915" s="2" t="s">
        <v>32</v>
      </c>
      <c r="E1915" s="5">
        <v>-30781</v>
      </c>
      <c r="F1915" s="3" t="s">
        <v>685</v>
      </c>
      <c r="G1915" s="3" t="s">
        <v>410</v>
      </c>
      <c r="H1915" s="2" t="s">
        <v>72</v>
      </c>
      <c r="I1915" s="2" t="s">
        <v>4943</v>
      </c>
      <c r="J1915" s="3" t="str">
        <f>HYPERLINK("https://www.boe.es/gazeta/dias/1815/09/21/pdfs/GMD-1815-117.pdf#page=1","Abrir facsímil")</f>
        <v>Abrir facsímil</v>
      </c>
      <c r="K1915" s="3" t="s">
        <v>74</v>
      </c>
    </row>
    <row r="1916" spans="1:11" ht="42" customHeight="1">
      <c r="A1916" s="2" t="s">
        <v>4944</v>
      </c>
      <c r="B1916" s="2" t="s">
        <v>4944</v>
      </c>
      <c r="C1916" s="2" t="s">
        <v>61</v>
      </c>
      <c r="D1916" s="2" t="s">
        <v>50</v>
      </c>
      <c r="E1916" s="5">
        <v>-30825</v>
      </c>
      <c r="F1916" s="3" t="s">
        <v>669</v>
      </c>
      <c r="G1916" s="3" t="s">
        <v>52</v>
      </c>
      <c r="H1916" s="2" t="s">
        <v>72</v>
      </c>
      <c r="I1916" s="2" t="s">
        <v>4945</v>
      </c>
      <c r="J1916" s="3" t="str">
        <f>HYPERLINK("https://www.boe.es/gazeta/dias/1815/08/08/pdfs/GMD-1815-97.pdf#page=11","Abrir facsímil")</f>
        <v>Abrir facsímil</v>
      </c>
      <c r="K1916" s="3" t="s">
        <v>74</v>
      </c>
    </row>
    <row r="1917" spans="1:11" ht="42" customHeight="1">
      <c r="A1917" s="2" t="s">
        <v>4946</v>
      </c>
      <c r="B1917" s="2" t="s">
        <v>4947</v>
      </c>
      <c r="C1917" s="2" t="s">
        <v>195</v>
      </c>
      <c r="D1917" s="2" t="s">
        <v>50</v>
      </c>
      <c r="E1917" s="5">
        <v>-31024</v>
      </c>
      <c r="F1917" s="3" t="s">
        <v>101</v>
      </c>
      <c r="G1917" s="3" t="s">
        <v>258</v>
      </c>
      <c r="H1917" s="2" t="s">
        <v>72</v>
      </c>
      <c r="I1917" s="2" t="s">
        <v>4948</v>
      </c>
      <c r="J1917" s="3" t="str">
        <f>HYPERLINK("https://www.boe.es/gazeta/dias/1815/01/21/pdfs/GMD-1815-9.pdf#page=6","Abrir facsímil")</f>
        <v>Abrir facsímil</v>
      </c>
      <c r="K1917" s="3" t="s">
        <v>74</v>
      </c>
    </row>
    <row r="1918" spans="1:11" ht="42" customHeight="1">
      <c r="A1918" s="2" t="s">
        <v>4949</v>
      </c>
      <c r="B1918" s="2" t="s">
        <v>4950</v>
      </c>
      <c r="C1918" s="2" t="s">
        <v>31</v>
      </c>
      <c r="D1918" s="2" t="s">
        <v>32</v>
      </c>
      <c r="E1918" s="5">
        <v>-30695</v>
      </c>
      <c r="F1918" s="3" t="s">
        <v>824</v>
      </c>
      <c r="G1918" s="3" t="s">
        <v>3758</v>
      </c>
      <c r="H1918" s="2" t="s">
        <v>21</v>
      </c>
      <c r="I1918" s="2" t="s">
        <v>4951</v>
      </c>
      <c r="J1918" s="3" t="str">
        <f>HYPERLINK("https://www.boe.es/gazeta/dias/1815/12/16/pdfs/GMD-1815-156.pdf#page=6","Abrir facsímil")</f>
        <v>Abrir facsímil</v>
      </c>
      <c r="K1918" s="3" t="s">
        <v>23</v>
      </c>
    </row>
    <row r="1919" spans="1:11" ht="42" customHeight="1">
      <c r="A1919" s="2" t="s">
        <v>4952</v>
      </c>
      <c r="B1919" s="2" t="s">
        <v>4953</v>
      </c>
      <c r="C1919" s="2" t="s">
        <v>31</v>
      </c>
      <c r="D1919" s="2" t="s">
        <v>32</v>
      </c>
      <c r="E1919" s="5">
        <v>-30951</v>
      </c>
      <c r="F1919" s="3" t="s">
        <v>87</v>
      </c>
      <c r="G1919" s="3" t="s">
        <v>88</v>
      </c>
      <c r="H1919" s="2" t="s">
        <v>72</v>
      </c>
      <c r="I1919" s="2" t="s">
        <v>4954</v>
      </c>
      <c r="J1919" s="3" t="str">
        <f>HYPERLINK("https://www.boe.es/gazeta/dias/1815/04/04/pdfs/GMD-1815-41.pdf#page=10","Abrir facsímil")</f>
        <v>Abrir facsímil</v>
      </c>
      <c r="K1919" s="3" t="s">
        <v>74</v>
      </c>
    </row>
    <row r="1920" spans="1:11" ht="42" customHeight="1">
      <c r="A1920" s="2" t="s">
        <v>4955</v>
      </c>
      <c r="B1920" s="2" t="s">
        <v>4955</v>
      </c>
      <c r="C1920" s="2" t="s">
        <v>31</v>
      </c>
      <c r="D1920" s="2" t="s">
        <v>32</v>
      </c>
      <c r="E1920" s="5">
        <v>-30912</v>
      </c>
      <c r="F1920" s="3" t="s">
        <v>579</v>
      </c>
      <c r="G1920" s="3" t="s">
        <v>20</v>
      </c>
      <c r="H1920" s="2" t="s">
        <v>72</v>
      </c>
      <c r="I1920" s="2" t="s">
        <v>4956</v>
      </c>
      <c r="J1920" s="3" t="str">
        <f>HYPERLINK("https://www.boe.es/gazeta/dias/1815/05/13/pdfs/GMD-1815-58.pdf#page=4","Abrir facsímil")</f>
        <v>Abrir facsímil</v>
      </c>
      <c r="K1920" s="3" t="s">
        <v>74</v>
      </c>
    </row>
    <row r="1921" spans="1:11" ht="42" customHeight="1">
      <c r="A1921" s="2" t="s">
        <v>4957</v>
      </c>
      <c r="B1921" s="2" t="s">
        <v>4957</v>
      </c>
      <c r="C1921" s="2" t="s">
        <v>49</v>
      </c>
      <c r="D1921" s="2" t="s">
        <v>50</v>
      </c>
      <c r="E1921" s="5">
        <v>-30996</v>
      </c>
      <c r="F1921" s="3" t="s">
        <v>289</v>
      </c>
      <c r="G1921" s="3" t="s">
        <v>377</v>
      </c>
      <c r="H1921" s="2" t="s">
        <v>72</v>
      </c>
      <c r="I1921" s="2" t="s">
        <v>4958</v>
      </c>
      <c r="J1921" s="3" t="str">
        <f>HYPERLINK("https://www.boe.es/gazeta/dias/1815/02/18/pdfs/GMD-1815-21.pdf#page=2","Abrir facsímil")</f>
        <v>Abrir facsímil</v>
      </c>
      <c r="K1921" s="3" t="s">
        <v>74</v>
      </c>
    </row>
    <row r="1922" spans="1:11" ht="42" customHeight="1">
      <c r="A1922" s="2" t="s">
        <v>4959</v>
      </c>
      <c r="B1922" s="2" t="s">
        <v>4959</v>
      </c>
      <c r="C1922" s="2" t="s">
        <v>17</v>
      </c>
      <c r="D1922" s="2" t="s">
        <v>18</v>
      </c>
      <c r="E1922" s="5">
        <v>-31007</v>
      </c>
      <c r="F1922" s="3" t="s">
        <v>200</v>
      </c>
      <c r="G1922" s="3" t="s">
        <v>377</v>
      </c>
      <c r="H1922" s="2" t="s">
        <v>72</v>
      </c>
      <c r="I1922" s="2" t="s">
        <v>4960</v>
      </c>
      <c r="J1922" s="3" t="str">
        <f>HYPERLINK("https://www.boe.es/gazeta/dias/1815/02/07/pdfs/GMD-1815-16.pdf#page=2","Abrir facsímil")</f>
        <v>Abrir facsímil</v>
      </c>
      <c r="K1922" s="3" t="s">
        <v>74</v>
      </c>
    </row>
    <row r="1923" spans="1:11" ht="42" customHeight="1">
      <c r="A1923" s="2" t="s">
        <v>4961</v>
      </c>
      <c r="B1923" s="2" t="s">
        <v>4962</v>
      </c>
      <c r="C1923" s="2" t="s">
        <v>31</v>
      </c>
      <c r="D1923" s="2" t="s">
        <v>32</v>
      </c>
      <c r="E1923" s="5">
        <v>-30709</v>
      </c>
      <c r="F1923" s="3" t="s">
        <v>314</v>
      </c>
      <c r="G1923" s="3" t="s">
        <v>71</v>
      </c>
      <c r="H1923" s="2" t="s">
        <v>21</v>
      </c>
      <c r="I1923" s="2" t="s">
        <v>4963</v>
      </c>
      <c r="J1923" s="3" t="str">
        <f>HYPERLINK("https://www.boe.es/gazeta/dias/1815/12/02/pdfs/GMD-1815-150.pdf#page=7","Abrir facsímil")</f>
        <v>Abrir facsímil</v>
      </c>
      <c r="K1923" s="3" t="s">
        <v>23</v>
      </c>
    </row>
    <row r="1924" spans="1:11" ht="42" customHeight="1">
      <c r="A1924" s="2" t="s">
        <v>4964</v>
      </c>
      <c r="B1924" s="2" t="s">
        <v>4964</v>
      </c>
      <c r="C1924" s="2" t="s">
        <v>17</v>
      </c>
      <c r="D1924" s="2" t="s">
        <v>18</v>
      </c>
      <c r="E1924" s="5">
        <v>-30795</v>
      </c>
      <c r="F1924" s="3" t="s">
        <v>172</v>
      </c>
      <c r="G1924" s="3" t="s">
        <v>3581</v>
      </c>
      <c r="H1924" s="2" t="s">
        <v>72</v>
      </c>
      <c r="I1924" s="2" t="s">
        <v>4965</v>
      </c>
      <c r="J1924" s="3" t="str">
        <f>HYPERLINK("https://www.boe.es/gazeta/dias/1815/09/07/pdfs/GMD-1815-111.pdf#page=10","Abrir facsímil")</f>
        <v>Abrir facsímil</v>
      </c>
      <c r="K1924" s="3" t="s">
        <v>74</v>
      </c>
    </row>
    <row r="1925" spans="1:11" ht="42" customHeight="1">
      <c r="A1925" s="2" t="s">
        <v>4964</v>
      </c>
      <c r="B1925" s="2" t="s">
        <v>4964</v>
      </c>
      <c r="C1925" s="2" t="s">
        <v>31</v>
      </c>
      <c r="D1925" s="2" t="s">
        <v>32</v>
      </c>
      <c r="E1925" s="5">
        <v>-30772</v>
      </c>
      <c r="F1925" s="3" t="s">
        <v>216</v>
      </c>
      <c r="G1925" s="3" t="s">
        <v>71</v>
      </c>
      <c r="H1925" s="2" t="s">
        <v>72</v>
      </c>
      <c r="I1925" s="2" t="s">
        <v>4966</v>
      </c>
      <c r="J1925" s="3" t="str">
        <f>HYPERLINK("https://www.boe.es/gazeta/dias/1815/09/30/pdfs/GMD-1815-123.pdf#page=7","Abrir facsímil")</f>
        <v>Abrir facsímil</v>
      </c>
      <c r="K1925" s="3" t="s">
        <v>74</v>
      </c>
    </row>
    <row r="1926" spans="1:11" ht="42" customHeight="1">
      <c r="A1926" s="2" t="s">
        <v>4964</v>
      </c>
      <c r="B1926" s="2" t="s">
        <v>4964</v>
      </c>
      <c r="C1926" s="2" t="s">
        <v>31</v>
      </c>
      <c r="D1926" s="2" t="s">
        <v>32</v>
      </c>
      <c r="E1926" s="5">
        <v>-30751</v>
      </c>
      <c r="F1926" s="3" t="s">
        <v>819</v>
      </c>
      <c r="G1926" s="3" t="s">
        <v>2654</v>
      </c>
      <c r="H1926" s="2" t="s">
        <v>72</v>
      </c>
      <c r="I1926" s="2" t="s">
        <v>4967</v>
      </c>
      <c r="J1926" s="3" t="str">
        <f>HYPERLINK("https://www.boe.es/gazeta/dias/1815/10/21/pdfs/GMD-1815-132.pdf#page=7","Abrir facsímil")</f>
        <v>Abrir facsímil</v>
      </c>
      <c r="K1926" s="3" t="s">
        <v>74</v>
      </c>
    </row>
    <row r="1927" spans="1:11" ht="42" customHeight="1">
      <c r="A1927" s="2" t="s">
        <v>4964</v>
      </c>
      <c r="B1927" s="2" t="s">
        <v>4964</v>
      </c>
      <c r="C1927" s="2" t="s">
        <v>31</v>
      </c>
      <c r="D1927" s="2" t="s">
        <v>32</v>
      </c>
      <c r="E1927" s="5">
        <v>-30683</v>
      </c>
      <c r="F1927" s="3" t="s">
        <v>1693</v>
      </c>
      <c r="G1927" s="3" t="s">
        <v>27</v>
      </c>
      <c r="H1927" s="2" t="s">
        <v>72</v>
      </c>
      <c r="I1927" s="2" t="s">
        <v>4968</v>
      </c>
      <c r="J1927" s="3" t="str">
        <f>HYPERLINK("https://www.boe.es/gazeta/dias/1815/12/28/pdfs/GMD-1815-161.pdf#page=6","Abrir facsímil")</f>
        <v>Abrir facsímil</v>
      </c>
      <c r="K1927" s="3" t="s">
        <v>74</v>
      </c>
    </row>
    <row r="1928" spans="1:11" ht="42" customHeight="1">
      <c r="A1928" s="2" t="s">
        <v>4964</v>
      </c>
      <c r="B1928" s="2" t="s">
        <v>4964</v>
      </c>
      <c r="C1928" s="2" t="s">
        <v>17</v>
      </c>
      <c r="D1928" s="2" t="s">
        <v>18</v>
      </c>
      <c r="E1928" s="5">
        <v>-30681</v>
      </c>
      <c r="F1928" s="3" t="s">
        <v>2093</v>
      </c>
      <c r="G1928" s="3" t="s">
        <v>71</v>
      </c>
      <c r="H1928" s="2" t="s">
        <v>72</v>
      </c>
      <c r="I1928" s="2" t="s">
        <v>4969</v>
      </c>
      <c r="J1928" s="3" t="str">
        <f>HYPERLINK("https://www.boe.es/gazeta/dias/1815/12/30/pdfs/GMD-1815-162.pdf#page=7","Abrir facsímil")</f>
        <v>Abrir facsímil</v>
      </c>
      <c r="K1928" s="3" t="s">
        <v>74</v>
      </c>
    </row>
    <row r="1929" spans="1:11" ht="42" customHeight="1">
      <c r="A1929" s="2" t="s">
        <v>4970</v>
      </c>
      <c r="B1929" s="2" t="s">
        <v>4971</v>
      </c>
      <c r="C1929" s="2" t="s">
        <v>17</v>
      </c>
      <c r="D1929" s="2" t="s">
        <v>18</v>
      </c>
      <c r="E1929" s="5">
        <v>-30853</v>
      </c>
      <c r="F1929" s="3" t="s">
        <v>1473</v>
      </c>
      <c r="G1929" s="3" t="s">
        <v>38</v>
      </c>
      <c r="H1929" s="2" t="s">
        <v>72</v>
      </c>
      <c r="I1929" s="2" t="s">
        <v>4972</v>
      </c>
      <c r="J1929" s="3" t="str">
        <f>HYPERLINK("https://www.boe.es/gazeta/dias/1815/07/11/pdfs/GMD-1815-85.pdf#page=8","Abrir facsímil")</f>
        <v>Abrir facsímil</v>
      </c>
      <c r="K1929" s="3" t="s">
        <v>74</v>
      </c>
    </row>
    <row r="1930" spans="1:11" ht="42" customHeight="1">
      <c r="A1930" s="2" t="s">
        <v>4973</v>
      </c>
      <c r="B1930" s="2" t="s">
        <v>4973</v>
      </c>
      <c r="C1930" s="2" t="s">
        <v>17</v>
      </c>
      <c r="D1930" s="2" t="s">
        <v>18</v>
      </c>
      <c r="E1930" s="5">
        <v>-30954</v>
      </c>
      <c r="F1930" s="3" t="s">
        <v>409</v>
      </c>
      <c r="G1930" s="3" t="s">
        <v>97</v>
      </c>
      <c r="H1930" s="2" t="s">
        <v>72</v>
      </c>
      <c r="I1930" s="2" t="s">
        <v>4974</v>
      </c>
      <c r="J1930" s="3" t="str">
        <f>HYPERLINK("https://www.boe.es/gazeta/dias/1815/04/01/pdfs/GMD-1815-39.pdf#page=3","Abrir facsímil")</f>
        <v>Abrir facsímil</v>
      </c>
      <c r="K1930" s="3" t="s">
        <v>74</v>
      </c>
    </row>
    <row r="1931" spans="1:11" ht="42" customHeight="1">
      <c r="A1931" s="2" t="s">
        <v>4975</v>
      </c>
      <c r="B1931" s="2" t="s">
        <v>4976</v>
      </c>
      <c r="C1931" s="2" t="s">
        <v>49</v>
      </c>
      <c r="D1931" s="2" t="s">
        <v>50</v>
      </c>
      <c r="E1931" s="5">
        <v>-30921</v>
      </c>
      <c r="F1931" s="3" t="s">
        <v>191</v>
      </c>
      <c r="G1931" s="3" t="s">
        <v>71</v>
      </c>
      <c r="H1931" s="2" t="s">
        <v>72</v>
      </c>
      <c r="I1931" s="2" t="s">
        <v>4977</v>
      </c>
      <c r="J1931" s="3" t="str">
        <f>HYPERLINK("https://www.boe.es/gazeta/dias/1815/05/04/pdfs/GMD-1815-54.pdf#page=7","Abrir facsímil")</f>
        <v>Abrir facsímil</v>
      </c>
      <c r="K1931" s="3" t="s">
        <v>74</v>
      </c>
    </row>
    <row r="1932" spans="1:11" ht="42" customHeight="1">
      <c r="A1932" s="2" t="s">
        <v>4978</v>
      </c>
      <c r="B1932" s="2" t="s">
        <v>4979</v>
      </c>
      <c r="C1932" s="2" t="s">
        <v>49</v>
      </c>
      <c r="D1932" s="2" t="s">
        <v>50</v>
      </c>
      <c r="E1932" s="5">
        <v>-30865</v>
      </c>
      <c r="F1932" s="3" t="s">
        <v>163</v>
      </c>
      <c r="G1932" s="3" t="s">
        <v>71</v>
      </c>
      <c r="H1932" s="2" t="s">
        <v>72</v>
      </c>
      <c r="I1932" s="2" t="s">
        <v>4980</v>
      </c>
      <c r="J1932" s="3" t="str">
        <f>HYPERLINK("https://www.boe.es/gazeta/dias/1815/06/29/pdfs/GMD-1815-78.pdf#page=7","Abrir facsímil")</f>
        <v>Abrir facsímil</v>
      </c>
      <c r="K1932" s="3" t="s">
        <v>74</v>
      </c>
    </row>
    <row r="1933" spans="1:11" ht="42" customHeight="1">
      <c r="A1933" s="2" t="s">
        <v>4981</v>
      </c>
      <c r="B1933" s="2" t="s">
        <v>4982</v>
      </c>
      <c r="C1933" s="2" t="s">
        <v>31</v>
      </c>
      <c r="D1933" s="2" t="s">
        <v>32</v>
      </c>
      <c r="E1933" s="5">
        <v>-31038</v>
      </c>
      <c r="F1933" s="3" t="s">
        <v>395</v>
      </c>
      <c r="G1933" s="3" t="s">
        <v>396</v>
      </c>
      <c r="H1933" s="2" t="s">
        <v>72</v>
      </c>
      <c r="I1933" s="2" t="s">
        <v>4983</v>
      </c>
      <c r="J1933" s="3" t="str">
        <f>HYPERLINK("https://www.boe.es/gazeta/dias/1815/01/07/pdfs/GMD-1815-3.pdf#page=5","Abrir facsímil")</f>
        <v>Abrir facsímil</v>
      </c>
      <c r="K1933" s="3" t="s">
        <v>74</v>
      </c>
    </row>
    <row r="1934" spans="1:11" ht="42" customHeight="1">
      <c r="A1934" s="2" t="s">
        <v>4984</v>
      </c>
      <c r="B1934" s="2" t="s">
        <v>4985</v>
      </c>
      <c r="C1934" s="2" t="s">
        <v>49</v>
      </c>
      <c r="D1934" s="2" t="s">
        <v>50</v>
      </c>
      <c r="E1934" s="5">
        <v>-30916</v>
      </c>
      <c r="F1934" s="3" t="s">
        <v>147</v>
      </c>
      <c r="G1934" s="3" t="s">
        <v>38</v>
      </c>
      <c r="H1934" s="2" t="s">
        <v>72</v>
      </c>
      <c r="I1934" s="2" t="s">
        <v>4986</v>
      </c>
      <c r="J1934" s="3" t="str">
        <f>HYPERLINK("https://www.boe.es/gazeta/dias/1815/05/09/pdfs/GMD-1815-56.pdf#page=8","Abrir facsímil")</f>
        <v>Abrir facsímil</v>
      </c>
      <c r="K1934" s="3" t="s">
        <v>74</v>
      </c>
    </row>
    <row r="1935" spans="1:11" ht="42" customHeight="1">
      <c r="A1935" s="2" t="s">
        <v>4987</v>
      </c>
      <c r="B1935" s="2" t="s">
        <v>4988</v>
      </c>
      <c r="C1935" s="2" t="s">
        <v>49</v>
      </c>
      <c r="D1935" s="2" t="s">
        <v>50</v>
      </c>
      <c r="E1935" s="5">
        <v>-30849</v>
      </c>
      <c r="F1935" s="3" t="s">
        <v>501</v>
      </c>
      <c r="G1935" s="3" t="s">
        <v>52</v>
      </c>
      <c r="H1935" s="2" t="s">
        <v>72</v>
      </c>
      <c r="I1935" s="2" t="s">
        <v>4989</v>
      </c>
      <c r="J1935" s="3" t="str">
        <f>HYPERLINK("https://www.boe.es/gazeta/dias/1815/07/15/pdfs/GMD-1815-87.pdf#page=11","Abrir facsímil")</f>
        <v>Abrir facsímil</v>
      </c>
      <c r="K1935" s="3" t="s">
        <v>74</v>
      </c>
    </row>
    <row r="1936" spans="1:11" ht="42" customHeight="1">
      <c r="A1936" s="2" t="s">
        <v>4990</v>
      </c>
      <c r="B1936" s="2" t="s">
        <v>4991</v>
      </c>
      <c r="C1936" s="2" t="s">
        <v>31</v>
      </c>
      <c r="D1936" s="2" t="s">
        <v>32</v>
      </c>
      <c r="E1936" s="5">
        <v>-30942</v>
      </c>
      <c r="F1936" s="3" t="s">
        <v>730</v>
      </c>
      <c r="G1936" s="3" t="s">
        <v>71</v>
      </c>
      <c r="H1936" s="2" t="s">
        <v>72</v>
      </c>
      <c r="I1936" s="2" t="s">
        <v>4992</v>
      </c>
      <c r="J1936" s="3" t="str">
        <f>HYPERLINK("https://www.boe.es/gazeta/dias/1815/04/13/pdfs/GMD-1815-45.pdf#page=7","Abrir facsímil")</f>
        <v>Abrir facsímil</v>
      </c>
      <c r="K1936" s="3" t="s">
        <v>74</v>
      </c>
    </row>
    <row r="1937" spans="1:11" ht="42" customHeight="1">
      <c r="A1937" s="2" t="s">
        <v>4993</v>
      </c>
      <c r="B1937" s="2" t="s">
        <v>4994</v>
      </c>
      <c r="C1937" s="2" t="s">
        <v>31</v>
      </c>
      <c r="D1937" s="2" t="s">
        <v>32</v>
      </c>
      <c r="E1937" s="5">
        <v>-30737</v>
      </c>
      <c r="F1937" s="3" t="s">
        <v>1932</v>
      </c>
      <c r="G1937" s="3" t="s">
        <v>71</v>
      </c>
      <c r="H1937" s="2" t="s">
        <v>72</v>
      </c>
      <c r="I1937" s="2" t="s">
        <v>4995</v>
      </c>
      <c r="J1937" s="3" t="str">
        <f>HYPERLINK("https://www.boe.es/gazeta/dias/1815/11/04/pdfs/GMD-1815-138.pdf#page=7","Abrir facsímil")</f>
        <v>Abrir facsímil</v>
      </c>
      <c r="K1937" s="3" t="s">
        <v>74</v>
      </c>
    </row>
    <row r="1938" spans="1:11" ht="42" customHeight="1">
      <c r="A1938" s="2" t="s">
        <v>4996</v>
      </c>
      <c r="B1938" s="2" t="s">
        <v>4997</v>
      </c>
      <c r="C1938" s="2" t="s">
        <v>49</v>
      </c>
      <c r="D1938" s="2" t="s">
        <v>50</v>
      </c>
      <c r="E1938" s="5">
        <v>-30863</v>
      </c>
      <c r="F1938" s="3" t="s">
        <v>110</v>
      </c>
      <c r="G1938" s="3" t="s">
        <v>224</v>
      </c>
      <c r="H1938" s="2" t="s">
        <v>72</v>
      </c>
      <c r="I1938" s="2" t="s">
        <v>4998</v>
      </c>
      <c r="J1938" s="3" t="str">
        <f>HYPERLINK("https://www.boe.es/gazeta/dias/1815/07/01/pdfs/GMD-1815-79.pdf#page=9","Abrir facsímil")</f>
        <v>Abrir facsímil</v>
      </c>
      <c r="K1938" s="3" t="s">
        <v>74</v>
      </c>
    </row>
    <row r="1939" spans="1:11" ht="42" customHeight="1">
      <c r="A1939" s="2" t="s">
        <v>4999</v>
      </c>
      <c r="B1939" s="2" t="s">
        <v>5000</v>
      </c>
      <c r="C1939" s="2" t="s">
        <v>195</v>
      </c>
      <c r="D1939" s="2" t="s">
        <v>50</v>
      </c>
      <c r="E1939" s="5">
        <v>-30739</v>
      </c>
      <c r="F1939" s="3" t="s">
        <v>254</v>
      </c>
      <c r="G1939" s="3" t="s">
        <v>52</v>
      </c>
      <c r="H1939" s="2" t="s">
        <v>72</v>
      </c>
      <c r="I1939" s="2" t="s">
        <v>5001</v>
      </c>
      <c r="J1939" s="3" t="str">
        <f>HYPERLINK("https://www.boe.es/gazeta/dias/1815/11/02/pdfs/GMD-1815-137.pdf#page=11","Abrir facsímil")</f>
        <v>Abrir facsímil</v>
      </c>
      <c r="K1939" s="3" t="s">
        <v>74</v>
      </c>
    </row>
    <row r="1940" spans="1:11" ht="42" customHeight="1">
      <c r="A1940" s="2" t="s">
        <v>5002</v>
      </c>
      <c r="B1940" s="2" t="s">
        <v>5003</v>
      </c>
      <c r="C1940" s="2" t="s">
        <v>17</v>
      </c>
      <c r="D1940" s="2" t="s">
        <v>18</v>
      </c>
      <c r="E1940" s="5">
        <v>-31003</v>
      </c>
      <c r="F1940" s="3" t="s">
        <v>405</v>
      </c>
      <c r="G1940" s="3" t="s">
        <v>27</v>
      </c>
      <c r="H1940" s="2" t="s">
        <v>72</v>
      </c>
      <c r="I1940" s="2" t="s">
        <v>5004</v>
      </c>
      <c r="J1940" s="3" t="str">
        <f>HYPERLINK("https://www.boe.es/gazeta/dias/1815/02/11/pdfs/GMD-1815-18.pdf#page=6","Abrir facsímil")</f>
        <v>Abrir facsímil</v>
      </c>
      <c r="K1940" s="3" t="s">
        <v>74</v>
      </c>
    </row>
    <row r="1941" spans="1:11" ht="42" customHeight="1">
      <c r="A1941" s="2" t="s">
        <v>5005</v>
      </c>
      <c r="B1941" s="2" t="s">
        <v>5006</v>
      </c>
      <c r="C1941" s="2" t="s">
        <v>49</v>
      </c>
      <c r="D1941" s="2" t="s">
        <v>50</v>
      </c>
      <c r="E1941" s="5">
        <v>-30865</v>
      </c>
      <c r="F1941" s="3" t="s">
        <v>163</v>
      </c>
      <c r="G1941" s="3" t="s">
        <v>71</v>
      </c>
      <c r="H1941" s="2" t="s">
        <v>72</v>
      </c>
      <c r="I1941" s="2" t="s">
        <v>5007</v>
      </c>
      <c r="J1941" s="3" t="str">
        <f>HYPERLINK("https://www.boe.es/gazeta/dias/1815/06/29/pdfs/GMD-1815-78.pdf#page=7","Abrir facsímil")</f>
        <v>Abrir facsímil</v>
      </c>
      <c r="K1941" s="3" t="s">
        <v>74</v>
      </c>
    </row>
    <row r="1942" spans="1:11" ht="42" customHeight="1">
      <c r="A1942" s="2" t="s">
        <v>5008</v>
      </c>
      <c r="B1942" s="2" t="s">
        <v>5009</v>
      </c>
      <c r="C1942" s="2" t="s">
        <v>31</v>
      </c>
      <c r="D1942" s="2" t="s">
        <v>32</v>
      </c>
      <c r="E1942" s="5">
        <v>-31042</v>
      </c>
      <c r="F1942" s="3" t="s">
        <v>512</v>
      </c>
      <c r="G1942" s="3" t="s">
        <v>57</v>
      </c>
      <c r="H1942" s="2" t="s">
        <v>21</v>
      </c>
      <c r="I1942" s="2" t="s">
        <v>5010</v>
      </c>
      <c r="J1942" s="3" t="str">
        <f>HYPERLINK("https://www.boe.es/gazeta/dias/1815/01/03/pdfs/GMD-1815-1.pdf#page=5","Abrir facsímil")</f>
        <v>Abrir facsímil</v>
      </c>
      <c r="K1942" s="3" t="s">
        <v>23</v>
      </c>
    </row>
    <row r="1943" spans="1:11" ht="42" customHeight="1">
      <c r="A1943" s="2" t="s">
        <v>5011</v>
      </c>
      <c r="B1943" s="2" t="s">
        <v>5012</v>
      </c>
      <c r="C1943" s="2" t="s">
        <v>195</v>
      </c>
      <c r="D1943" s="2" t="s">
        <v>50</v>
      </c>
      <c r="E1943" s="5">
        <v>-30949</v>
      </c>
      <c r="F1943" s="3" t="s">
        <v>420</v>
      </c>
      <c r="G1943" s="3" t="s">
        <v>27</v>
      </c>
      <c r="H1943" s="2" t="s">
        <v>72</v>
      </c>
      <c r="I1943" s="2" t="s">
        <v>5013</v>
      </c>
      <c r="J1943" s="3" t="str">
        <f>HYPERLINK("https://www.boe.es/gazeta/dias/1815/04/06/pdfs/GMD-1815-42.pdf#page=6","Abrir facsímil")</f>
        <v>Abrir facsímil</v>
      </c>
      <c r="K1943" s="3" t="s">
        <v>74</v>
      </c>
    </row>
    <row r="1944" spans="1:11" ht="42" customHeight="1">
      <c r="A1944" s="2" t="s">
        <v>5014</v>
      </c>
      <c r="B1944" s="2" t="s">
        <v>5014</v>
      </c>
      <c r="C1944" s="2" t="s">
        <v>31</v>
      </c>
      <c r="D1944" s="2" t="s">
        <v>32</v>
      </c>
      <c r="E1944" s="5">
        <v>-30991</v>
      </c>
      <c r="F1944" s="3" t="s">
        <v>318</v>
      </c>
      <c r="G1944" s="3" t="s">
        <v>5015</v>
      </c>
      <c r="H1944" s="2" t="s">
        <v>72</v>
      </c>
      <c r="I1944" s="2" t="s">
        <v>5016</v>
      </c>
      <c r="J1944" s="3" t="str">
        <f>HYPERLINK("https://www.boe.es/gazeta/dias/1815/02/23/pdfs/GMD-1815-23.pdf#page=2","Abrir facsímil")</f>
        <v>Abrir facsímil</v>
      </c>
      <c r="K1944" s="3" t="s">
        <v>74</v>
      </c>
    </row>
    <row r="1945" spans="1:11" ht="42" customHeight="1">
      <c r="A1945" s="2" t="s">
        <v>5017</v>
      </c>
      <c r="B1945" s="2" t="s">
        <v>5017</v>
      </c>
      <c r="C1945" s="2" t="s">
        <v>49</v>
      </c>
      <c r="D1945" s="2" t="s">
        <v>50</v>
      </c>
      <c r="E1945" s="5">
        <v>-30751</v>
      </c>
      <c r="F1945" s="3" t="s">
        <v>819</v>
      </c>
      <c r="G1945" s="3" t="s">
        <v>820</v>
      </c>
      <c r="H1945" s="2" t="s">
        <v>72</v>
      </c>
      <c r="I1945" s="2" t="s">
        <v>5018</v>
      </c>
      <c r="J1945" s="3" t="str">
        <f>HYPERLINK("https://www.boe.es/gazeta/dias/1815/10/21/pdfs/GMD-1815-132.pdf#page=4","Abrir facsímil")</f>
        <v>Abrir facsímil</v>
      </c>
      <c r="K1945" s="3" t="s">
        <v>74</v>
      </c>
    </row>
    <row r="1946" spans="1:11" ht="42" customHeight="1">
      <c r="A1946" s="2" t="s">
        <v>5019</v>
      </c>
      <c r="B1946" s="2" t="s">
        <v>5020</v>
      </c>
      <c r="C1946" s="2" t="s">
        <v>17</v>
      </c>
      <c r="D1946" s="2" t="s">
        <v>18</v>
      </c>
      <c r="E1946" s="5">
        <v>-31038</v>
      </c>
      <c r="F1946" s="3" t="s">
        <v>395</v>
      </c>
      <c r="G1946" s="3" t="s">
        <v>27</v>
      </c>
      <c r="H1946" s="2" t="s">
        <v>72</v>
      </c>
      <c r="I1946" s="2" t="s">
        <v>5021</v>
      </c>
      <c r="J1946" s="3" t="str">
        <f>HYPERLINK("https://www.boe.es/gazeta/dias/1815/01/07/pdfs/GMD-1815-3.pdf#page=6","Abrir facsímil")</f>
        <v>Abrir facsímil</v>
      </c>
      <c r="K1946" s="3" t="s">
        <v>74</v>
      </c>
    </row>
    <row r="1947" spans="1:11" ht="42" customHeight="1">
      <c r="A1947" s="2" t="s">
        <v>5022</v>
      </c>
      <c r="B1947" s="2" t="s">
        <v>5023</v>
      </c>
      <c r="C1947" s="2" t="s">
        <v>49</v>
      </c>
      <c r="D1947" s="2" t="s">
        <v>50</v>
      </c>
      <c r="E1947" s="5">
        <v>-30865</v>
      </c>
      <c r="F1947" s="3" t="s">
        <v>163</v>
      </c>
      <c r="G1947" s="3" t="s">
        <v>38</v>
      </c>
      <c r="H1947" s="2" t="s">
        <v>72</v>
      </c>
      <c r="I1947" s="2" t="s">
        <v>5024</v>
      </c>
      <c r="J1947" s="3" t="str">
        <f>HYPERLINK("https://www.boe.es/gazeta/dias/1815/06/29/pdfs/GMD-1815-78.pdf#page=8","Abrir facsímil")</f>
        <v>Abrir facsímil</v>
      </c>
      <c r="K1947" s="3" t="s">
        <v>74</v>
      </c>
    </row>
    <row r="1948" spans="1:11" ht="42" customHeight="1">
      <c r="A1948" s="2" t="s">
        <v>5025</v>
      </c>
      <c r="B1948" s="2" t="s">
        <v>5026</v>
      </c>
      <c r="C1948" s="2" t="s">
        <v>131</v>
      </c>
      <c r="D1948" s="2" t="s">
        <v>50</v>
      </c>
      <c r="E1948" s="5">
        <v>-30783</v>
      </c>
      <c r="F1948" s="3" t="s">
        <v>423</v>
      </c>
      <c r="G1948" s="3" t="s">
        <v>38</v>
      </c>
      <c r="H1948" s="2" t="s">
        <v>72</v>
      </c>
      <c r="I1948" s="2" t="s">
        <v>5027</v>
      </c>
      <c r="J1948" s="3" t="str">
        <f>HYPERLINK("https://www.boe.es/gazeta/dias/1815/09/19/pdfs/GMD-1815-116.pdf#page=8","Abrir facsímil")</f>
        <v>Abrir facsímil</v>
      </c>
      <c r="K1948" s="3" t="s">
        <v>74</v>
      </c>
    </row>
    <row r="1949" spans="1:11" ht="42" customHeight="1">
      <c r="A1949" s="2" t="s">
        <v>5028</v>
      </c>
      <c r="B1949" s="2" t="s">
        <v>5029</v>
      </c>
      <c r="C1949" s="2" t="s">
        <v>195</v>
      </c>
      <c r="D1949" s="2" t="s">
        <v>50</v>
      </c>
      <c r="E1949" s="5">
        <v>-30821</v>
      </c>
      <c r="F1949" s="3" t="s">
        <v>915</v>
      </c>
      <c r="G1949" s="3" t="s">
        <v>38</v>
      </c>
      <c r="H1949" s="2" t="s">
        <v>72</v>
      </c>
      <c r="I1949" s="2" t="s">
        <v>5030</v>
      </c>
      <c r="J1949" s="3" t="str">
        <f>HYPERLINK("https://www.boe.es/gazeta/dias/1815/08/12/pdfs/GMD-1815-99.pdf#page=8","Abrir facsímil")</f>
        <v>Abrir facsímil</v>
      </c>
      <c r="K1949" s="3" t="s">
        <v>74</v>
      </c>
    </row>
    <row r="1950" spans="1:11" ht="42" customHeight="1">
      <c r="A1950" s="2" t="s">
        <v>5031</v>
      </c>
      <c r="B1950" s="2" t="s">
        <v>5032</v>
      </c>
      <c r="C1950" s="2" t="s">
        <v>195</v>
      </c>
      <c r="D1950" s="2" t="s">
        <v>50</v>
      </c>
      <c r="E1950" s="5">
        <v>-30874</v>
      </c>
      <c r="F1950" s="3" t="s">
        <v>208</v>
      </c>
      <c r="G1950" s="3" t="s">
        <v>71</v>
      </c>
      <c r="H1950" s="2" t="s">
        <v>72</v>
      </c>
      <c r="I1950" s="2" t="s">
        <v>5033</v>
      </c>
      <c r="J1950" s="3" t="str">
        <f>HYPERLINK("https://www.boe.es/gazeta/dias/1815/06/20/pdfs/GMD-1815-74.pdf#page=7","Abrir facsímil")</f>
        <v>Abrir facsímil</v>
      </c>
      <c r="K1950" s="3" t="s">
        <v>74</v>
      </c>
    </row>
    <row r="1951" spans="1:11" ht="42" customHeight="1">
      <c r="A1951" s="2" t="s">
        <v>5034</v>
      </c>
      <c r="B1951" s="2" t="s">
        <v>5035</v>
      </c>
      <c r="C1951" s="2" t="s">
        <v>49</v>
      </c>
      <c r="D1951" s="2" t="s">
        <v>50</v>
      </c>
      <c r="E1951" s="5">
        <v>-30993</v>
      </c>
      <c r="F1951" s="3" t="s">
        <v>66</v>
      </c>
      <c r="G1951" s="3" t="s">
        <v>20</v>
      </c>
      <c r="H1951" s="2" t="s">
        <v>72</v>
      </c>
      <c r="I1951" s="2" t="s">
        <v>5036</v>
      </c>
      <c r="J1951" s="3" t="str">
        <f>HYPERLINK("https://www.boe.es/gazeta/dias/1815/02/21/pdfs/GMD-1815-22.pdf#page=4","Abrir facsímil")</f>
        <v>Abrir facsímil</v>
      </c>
      <c r="K1951" s="3" t="s">
        <v>74</v>
      </c>
    </row>
    <row r="1952" spans="1:11" ht="42" customHeight="1">
      <c r="A1952" s="2" t="s">
        <v>5037</v>
      </c>
      <c r="B1952" s="2" t="s">
        <v>5037</v>
      </c>
      <c r="C1952" s="2" t="s">
        <v>17</v>
      </c>
      <c r="D1952" s="2" t="s">
        <v>18</v>
      </c>
      <c r="E1952" s="5">
        <v>-31012</v>
      </c>
      <c r="F1952" s="3" t="s">
        <v>529</v>
      </c>
      <c r="G1952" s="3" t="s">
        <v>38</v>
      </c>
      <c r="H1952" s="2" t="s">
        <v>72</v>
      </c>
      <c r="I1952" s="2" t="s">
        <v>5038</v>
      </c>
      <c r="J1952" s="3" t="str">
        <f>HYPERLINK("https://www.boe.es/gazeta/dias/1815/02/02/pdfs/GMD-1815-14.pdf#page=8","Abrir facsímil")</f>
        <v>Abrir facsímil</v>
      </c>
      <c r="K1952" s="3" t="s">
        <v>74</v>
      </c>
    </row>
    <row r="1953" spans="1:11" ht="42" customHeight="1">
      <c r="A1953" s="2" t="s">
        <v>5037</v>
      </c>
      <c r="B1953" s="2" t="s">
        <v>5037</v>
      </c>
      <c r="C1953" s="2" t="s">
        <v>195</v>
      </c>
      <c r="D1953" s="2" t="s">
        <v>50</v>
      </c>
      <c r="E1953" s="5">
        <v>-30949</v>
      </c>
      <c r="F1953" s="3" t="s">
        <v>420</v>
      </c>
      <c r="G1953" s="3" t="s">
        <v>27</v>
      </c>
      <c r="H1953" s="2" t="s">
        <v>72</v>
      </c>
      <c r="I1953" s="2" t="s">
        <v>5039</v>
      </c>
      <c r="J1953" s="3" t="str">
        <f>HYPERLINK("https://www.boe.es/gazeta/dias/1815/04/06/pdfs/GMD-1815-42.pdf#page=6","Abrir facsímil")</f>
        <v>Abrir facsímil</v>
      </c>
      <c r="K1953" s="3" t="s">
        <v>74</v>
      </c>
    </row>
    <row r="1954" spans="1:11" ht="42" customHeight="1">
      <c r="A1954" s="2" t="s">
        <v>5037</v>
      </c>
      <c r="B1954" s="2" t="s">
        <v>5037</v>
      </c>
      <c r="C1954" s="2" t="s">
        <v>49</v>
      </c>
      <c r="D1954" s="2" t="s">
        <v>50</v>
      </c>
      <c r="E1954" s="5">
        <v>-30839</v>
      </c>
      <c r="F1954" s="3" t="s">
        <v>616</v>
      </c>
      <c r="G1954" s="3" t="s">
        <v>20</v>
      </c>
      <c r="H1954" s="2" t="s">
        <v>72</v>
      </c>
      <c r="I1954" s="2" t="s">
        <v>5040</v>
      </c>
      <c r="J1954" s="3" t="str">
        <f>HYPERLINK("https://www.boe.es/gazeta/dias/1815/07/25/pdfs/GMD-1815-91.pdf#page=4","Abrir facsímil")</f>
        <v>Abrir facsímil</v>
      </c>
      <c r="K1954" s="3" t="s">
        <v>74</v>
      </c>
    </row>
    <row r="1955" spans="1:11" ht="42" customHeight="1">
      <c r="A1955" s="2" t="s">
        <v>5037</v>
      </c>
      <c r="B1955" s="2" t="s">
        <v>5037</v>
      </c>
      <c r="C1955" s="2" t="s">
        <v>49</v>
      </c>
      <c r="D1955" s="2" t="s">
        <v>50</v>
      </c>
      <c r="E1955" s="5">
        <v>-30807</v>
      </c>
      <c r="F1955" s="3" t="s">
        <v>586</v>
      </c>
      <c r="G1955" s="3" t="s">
        <v>27</v>
      </c>
      <c r="H1955" s="2" t="s">
        <v>72</v>
      </c>
      <c r="I1955" s="2" t="s">
        <v>5041</v>
      </c>
      <c r="J1955" s="3" t="str">
        <f>HYPERLINK("https://www.boe.es/gazeta/dias/1815/08/26/pdfs/GMD-1815-105.pdf#page=6","Abrir facsímil")</f>
        <v>Abrir facsímil</v>
      </c>
      <c r="K1955" s="3" t="s">
        <v>74</v>
      </c>
    </row>
    <row r="1956" spans="1:11" ht="42" customHeight="1">
      <c r="A1956" s="2" t="s">
        <v>5037</v>
      </c>
      <c r="B1956" s="2" t="s">
        <v>5037</v>
      </c>
      <c r="C1956" s="2" t="s">
        <v>49</v>
      </c>
      <c r="D1956" s="2" t="s">
        <v>50</v>
      </c>
      <c r="E1956" s="5">
        <v>-30774</v>
      </c>
      <c r="F1956" s="3" t="s">
        <v>1143</v>
      </c>
      <c r="G1956" s="3" t="s">
        <v>20</v>
      </c>
      <c r="H1956" s="2" t="s">
        <v>72</v>
      </c>
      <c r="I1956" s="2" t="s">
        <v>5042</v>
      </c>
      <c r="J1956" s="3" t="str">
        <f>HYPERLINK("https://www.boe.es/gazeta/dias/1815/09/28/pdfs/GMD-1815-121.pdf#page=4","Abrir facsímil")</f>
        <v>Abrir facsímil</v>
      </c>
      <c r="K1956" s="3" t="s">
        <v>74</v>
      </c>
    </row>
    <row r="1957" spans="1:11" ht="42" customHeight="1">
      <c r="A1957" s="2" t="s">
        <v>5037</v>
      </c>
      <c r="B1957" s="2" t="s">
        <v>5037</v>
      </c>
      <c r="C1957" s="2" t="s">
        <v>49</v>
      </c>
      <c r="D1957" s="2" t="s">
        <v>50</v>
      </c>
      <c r="E1957" s="5">
        <v>-30720</v>
      </c>
      <c r="F1957" s="3" t="s">
        <v>373</v>
      </c>
      <c r="G1957" s="3" t="s">
        <v>224</v>
      </c>
      <c r="H1957" s="2" t="s">
        <v>72</v>
      </c>
      <c r="I1957" s="2" t="s">
        <v>5043</v>
      </c>
      <c r="J1957" s="3" t="str">
        <f>HYPERLINK("https://www.boe.es/gazeta/dias/1815/11/21/pdfs/GMD-1815-145.pdf#page=9","Abrir facsímil")</f>
        <v>Abrir facsímil</v>
      </c>
      <c r="K1957" s="3" t="s">
        <v>74</v>
      </c>
    </row>
    <row r="1958" spans="1:11" ht="42" customHeight="1">
      <c r="A1958" s="2" t="s">
        <v>5044</v>
      </c>
      <c r="B1958" s="2" t="s">
        <v>5045</v>
      </c>
      <c r="C1958" s="2" t="s">
        <v>31</v>
      </c>
      <c r="D1958" s="2" t="s">
        <v>32</v>
      </c>
      <c r="E1958" s="5">
        <v>-31038</v>
      </c>
      <c r="F1958" s="3" t="s">
        <v>395</v>
      </c>
      <c r="G1958" s="3" t="s">
        <v>396</v>
      </c>
      <c r="H1958" s="2" t="s">
        <v>72</v>
      </c>
      <c r="I1958" s="2" t="s">
        <v>5046</v>
      </c>
      <c r="J1958" s="3" t="str">
        <f>HYPERLINK("https://www.boe.es/gazeta/dias/1815/01/07/pdfs/GMD-1815-3.pdf#page=5","Abrir facsímil")</f>
        <v>Abrir facsímil</v>
      </c>
      <c r="K1958" s="3" t="s">
        <v>74</v>
      </c>
    </row>
    <row r="1959" spans="1:11" ht="42" customHeight="1">
      <c r="A1959" s="2" t="s">
        <v>5047</v>
      </c>
      <c r="B1959" s="2" t="s">
        <v>5047</v>
      </c>
      <c r="C1959" s="2" t="s">
        <v>17</v>
      </c>
      <c r="D1959" s="2" t="s">
        <v>18</v>
      </c>
      <c r="E1959" s="5">
        <v>-30685</v>
      </c>
      <c r="F1959" s="3" t="s">
        <v>1453</v>
      </c>
      <c r="G1959" s="3" t="s">
        <v>71</v>
      </c>
      <c r="H1959" s="2" t="s">
        <v>72</v>
      </c>
      <c r="I1959" s="2" t="s">
        <v>5048</v>
      </c>
      <c r="J1959" s="3" t="str">
        <f>HYPERLINK("https://www.boe.es/gazeta/dias/1815/12/26/pdfs/GMD-1815-160.pdf#page=7","Abrir facsímil")</f>
        <v>Abrir facsímil</v>
      </c>
      <c r="K1959" s="3" t="s">
        <v>74</v>
      </c>
    </row>
    <row r="1960" spans="1:11" ht="42" customHeight="1">
      <c r="A1960" s="2" t="s">
        <v>5049</v>
      </c>
      <c r="B1960" s="2" t="s">
        <v>5049</v>
      </c>
      <c r="C1960" s="2" t="s">
        <v>17</v>
      </c>
      <c r="D1960" s="2" t="s">
        <v>18</v>
      </c>
      <c r="E1960" s="5">
        <v>-31038</v>
      </c>
      <c r="F1960" s="3" t="s">
        <v>395</v>
      </c>
      <c r="G1960" s="3" t="s">
        <v>27</v>
      </c>
      <c r="H1960" s="2" t="s">
        <v>72</v>
      </c>
      <c r="I1960" s="2" t="s">
        <v>5050</v>
      </c>
      <c r="J1960" s="3" t="str">
        <f>HYPERLINK("https://www.boe.es/gazeta/dias/1815/01/07/pdfs/GMD-1815-3.pdf#page=6","Abrir facsímil")</f>
        <v>Abrir facsímil</v>
      </c>
      <c r="K1960" s="3" t="s">
        <v>74</v>
      </c>
    </row>
    <row r="1961" spans="1:11" ht="42" customHeight="1">
      <c r="A1961" s="2" t="s">
        <v>5049</v>
      </c>
      <c r="B1961" s="2" t="s">
        <v>5049</v>
      </c>
      <c r="C1961" s="2" t="s">
        <v>31</v>
      </c>
      <c r="D1961" s="2" t="s">
        <v>32</v>
      </c>
      <c r="E1961" s="5">
        <v>-31017</v>
      </c>
      <c r="F1961" s="3" t="s">
        <v>456</v>
      </c>
      <c r="G1961" s="3" t="s">
        <v>57</v>
      </c>
      <c r="H1961" s="2" t="s">
        <v>72</v>
      </c>
      <c r="I1961" s="2" t="s">
        <v>5051</v>
      </c>
      <c r="J1961" s="3" t="str">
        <f>HYPERLINK("https://www.boe.es/gazeta/dias/1815/01/28/pdfs/GMD-1815-12.pdf#page=5","Abrir facsímil")</f>
        <v>Abrir facsímil</v>
      </c>
      <c r="K1961" s="3" t="s">
        <v>74</v>
      </c>
    </row>
    <row r="1962" spans="1:11" ht="42" customHeight="1">
      <c r="A1962" s="2" t="s">
        <v>5049</v>
      </c>
      <c r="B1962" s="2" t="s">
        <v>5049</v>
      </c>
      <c r="C1962" s="2" t="s">
        <v>195</v>
      </c>
      <c r="D1962" s="2" t="s">
        <v>50</v>
      </c>
      <c r="E1962" s="5">
        <v>-31003</v>
      </c>
      <c r="F1962" s="3" t="s">
        <v>405</v>
      </c>
      <c r="G1962" s="3" t="s">
        <v>27</v>
      </c>
      <c r="H1962" s="2" t="s">
        <v>72</v>
      </c>
      <c r="I1962" s="2" t="s">
        <v>5052</v>
      </c>
      <c r="J1962" s="3" t="str">
        <f>HYPERLINK("https://www.boe.es/gazeta/dias/1815/02/11/pdfs/GMD-1815-18.pdf#page=6","Abrir facsímil")</f>
        <v>Abrir facsímil</v>
      </c>
      <c r="K1962" s="3" t="s">
        <v>74</v>
      </c>
    </row>
    <row r="1963" spans="1:11" ht="42" customHeight="1">
      <c r="A1963" s="2" t="s">
        <v>5049</v>
      </c>
      <c r="B1963" s="2" t="s">
        <v>5049</v>
      </c>
      <c r="C1963" s="2" t="s">
        <v>17</v>
      </c>
      <c r="D1963" s="2" t="s">
        <v>18</v>
      </c>
      <c r="E1963" s="5">
        <v>-31000</v>
      </c>
      <c r="F1963" s="3" t="s">
        <v>70</v>
      </c>
      <c r="G1963" s="3" t="s">
        <v>71</v>
      </c>
      <c r="H1963" s="2" t="s">
        <v>72</v>
      </c>
      <c r="I1963" s="2" t="s">
        <v>5053</v>
      </c>
      <c r="J1963" s="3" t="str">
        <f>HYPERLINK("https://www.boe.es/gazeta/dias/1815/02/14/pdfs/GMD-1815-19.pdf#page=7","Abrir facsímil")</f>
        <v>Abrir facsímil</v>
      </c>
      <c r="K1963" s="3" t="s">
        <v>74</v>
      </c>
    </row>
    <row r="1964" spans="1:11" ht="42" customHeight="1">
      <c r="A1964" s="2" t="s">
        <v>5049</v>
      </c>
      <c r="B1964" s="2" t="s">
        <v>5049</v>
      </c>
      <c r="C1964" s="2" t="s">
        <v>31</v>
      </c>
      <c r="D1964" s="2" t="s">
        <v>32</v>
      </c>
      <c r="E1964" s="5">
        <v>-30968</v>
      </c>
      <c r="F1964" s="3" t="s">
        <v>2695</v>
      </c>
      <c r="G1964" s="3" t="s">
        <v>57</v>
      </c>
      <c r="H1964" s="2" t="s">
        <v>72</v>
      </c>
      <c r="I1964" s="2" t="s">
        <v>5054</v>
      </c>
      <c r="J1964" s="3" t="str">
        <f>HYPERLINK("https://www.boe.es/gazeta/dias/1815/03/18/pdfs/GMD-1815-33.pdf#page=5","Abrir facsímil")</f>
        <v>Abrir facsímil</v>
      </c>
      <c r="K1964" s="3" t="s">
        <v>74</v>
      </c>
    </row>
    <row r="1965" spans="1:11" ht="42" customHeight="1">
      <c r="A1965" s="2" t="s">
        <v>5049</v>
      </c>
      <c r="B1965" s="2" t="s">
        <v>5049</v>
      </c>
      <c r="C1965" s="2" t="s">
        <v>31</v>
      </c>
      <c r="D1965" s="2" t="s">
        <v>32</v>
      </c>
      <c r="E1965" s="5">
        <v>-30951</v>
      </c>
      <c r="F1965" s="3" t="s">
        <v>87</v>
      </c>
      <c r="G1965" s="3" t="s">
        <v>88</v>
      </c>
      <c r="H1965" s="2" t="s">
        <v>72</v>
      </c>
      <c r="I1965" s="2" t="s">
        <v>5055</v>
      </c>
      <c r="J1965" s="3" t="str">
        <f>HYPERLINK("https://www.boe.es/gazeta/dias/1815/04/04/pdfs/GMD-1815-41.pdf#page=10","Abrir facsímil")</f>
        <v>Abrir facsímil</v>
      </c>
      <c r="K1965" s="3" t="s">
        <v>74</v>
      </c>
    </row>
    <row r="1966" spans="1:11" ht="42" customHeight="1">
      <c r="A1966" s="2" t="s">
        <v>5049</v>
      </c>
      <c r="B1966" s="2" t="s">
        <v>5049</v>
      </c>
      <c r="C1966" s="2" t="s">
        <v>195</v>
      </c>
      <c r="D1966" s="2" t="s">
        <v>50</v>
      </c>
      <c r="E1966" s="5">
        <v>-30949</v>
      </c>
      <c r="F1966" s="3" t="s">
        <v>420</v>
      </c>
      <c r="G1966" s="3" t="s">
        <v>27</v>
      </c>
      <c r="H1966" s="2" t="s">
        <v>72</v>
      </c>
      <c r="I1966" s="2" t="s">
        <v>5056</v>
      </c>
      <c r="J1966" s="3" t="str">
        <f>HYPERLINK("https://www.boe.es/gazeta/dias/1815/04/06/pdfs/GMD-1815-42.pdf#page=6","Abrir facsímil")</f>
        <v>Abrir facsímil</v>
      </c>
      <c r="K1966" s="3" t="s">
        <v>74</v>
      </c>
    </row>
    <row r="1967" spans="1:11" ht="42" customHeight="1">
      <c r="A1967" s="2" t="s">
        <v>5049</v>
      </c>
      <c r="B1967" s="2" t="s">
        <v>5049</v>
      </c>
      <c r="C1967" s="2" t="s">
        <v>195</v>
      </c>
      <c r="D1967" s="2" t="s">
        <v>50</v>
      </c>
      <c r="E1967" s="5">
        <v>-30940</v>
      </c>
      <c r="F1967" s="3" t="s">
        <v>610</v>
      </c>
      <c r="G1967" s="3" t="s">
        <v>71</v>
      </c>
      <c r="H1967" s="2" t="s">
        <v>72</v>
      </c>
      <c r="I1967" s="2" t="s">
        <v>5057</v>
      </c>
      <c r="J1967" s="3" t="str">
        <f>HYPERLINK("https://www.boe.es/gazeta/dias/1815/04/15/pdfs/GMD-1815-46.pdf#page=7","Abrir facsímil")</f>
        <v>Abrir facsímil</v>
      </c>
      <c r="K1967" s="3" t="s">
        <v>74</v>
      </c>
    </row>
    <row r="1968" spans="1:11" ht="42" customHeight="1">
      <c r="A1968" s="2" t="s">
        <v>5049</v>
      </c>
      <c r="B1968" s="2" t="s">
        <v>5049</v>
      </c>
      <c r="C1968" s="2" t="s">
        <v>195</v>
      </c>
      <c r="D1968" s="2" t="s">
        <v>50</v>
      </c>
      <c r="E1968" s="5">
        <v>-30888</v>
      </c>
      <c r="F1968" s="3" t="s">
        <v>368</v>
      </c>
      <c r="G1968" s="3" t="s">
        <v>224</v>
      </c>
      <c r="H1968" s="2" t="s">
        <v>72</v>
      </c>
      <c r="I1968" s="2" t="s">
        <v>5058</v>
      </c>
      <c r="J1968" s="3" t="str">
        <f>HYPERLINK("https://www.boe.es/gazeta/dias/1815/06/06/pdfs/GMD-1815-68.pdf#page=9","Abrir facsímil")</f>
        <v>Abrir facsímil</v>
      </c>
      <c r="K1968" s="3" t="s">
        <v>74</v>
      </c>
    </row>
    <row r="1969" spans="1:11" ht="42" customHeight="1">
      <c r="A1969" s="2" t="s">
        <v>5049</v>
      </c>
      <c r="B1969" s="2" t="s">
        <v>5049</v>
      </c>
      <c r="C1969" s="2" t="s">
        <v>49</v>
      </c>
      <c r="D1969" s="2" t="s">
        <v>50</v>
      </c>
      <c r="E1969" s="5">
        <v>-30886</v>
      </c>
      <c r="F1969" s="3" t="s">
        <v>140</v>
      </c>
      <c r="G1969" s="3" t="s">
        <v>224</v>
      </c>
      <c r="H1969" s="2" t="s">
        <v>72</v>
      </c>
      <c r="I1969" s="2" t="s">
        <v>5059</v>
      </c>
      <c r="J1969" s="3" t="str">
        <f>HYPERLINK("https://www.boe.es/gazeta/dias/1815/06/08/pdfs/GMD-1815-69.pdf#page=9","Abrir facsímil")</f>
        <v>Abrir facsímil</v>
      </c>
      <c r="K1969" s="3" t="s">
        <v>74</v>
      </c>
    </row>
    <row r="1970" spans="1:11" ht="42" customHeight="1">
      <c r="A1970" s="2" t="s">
        <v>5049</v>
      </c>
      <c r="B1970" s="2" t="s">
        <v>5049</v>
      </c>
      <c r="C1970" s="2" t="s">
        <v>17</v>
      </c>
      <c r="D1970" s="2" t="s">
        <v>18</v>
      </c>
      <c r="E1970" s="5">
        <v>-30877</v>
      </c>
      <c r="F1970" s="3" t="s">
        <v>548</v>
      </c>
      <c r="G1970" s="3" t="s">
        <v>2965</v>
      </c>
      <c r="H1970" s="2" t="s">
        <v>72</v>
      </c>
      <c r="I1970" s="2" t="s">
        <v>5060</v>
      </c>
      <c r="J1970" s="3" t="str">
        <f>HYPERLINK("https://www.boe.es/gazeta/dias/1815/06/17/pdfs/GMD-1815-73.pdf#page=6","Abrir facsímil")</f>
        <v>Abrir facsímil</v>
      </c>
      <c r="K1970" s="3" t="s">
        <v>74</v>
      </c>
    </row>
    <row r="1971" spans="1:11" ht="42" customHeight="1">
      <c r="A1971" s="2" t="s">
        <v>5049</v>
      </c>
      <c r="B1971" s="2" t="s">
        <v>5049</v>
      </c>
      <c r="C1971" s="2" t="s">
        <v>17</v>
      </c>
      <c r="D1971" s="2" t="s">
        <v>18</v>
      </c>
      <c r="E1971" s="5">
        <v>-30872</v>
      </c>
      <c r="F1971" s="3" t="s">
        <v>167</v>
      </c>
      <c r="G1971" s="3" t="s">
        <v>342</v>
      </c>
      <c r="H1971" s="2" t="s">
        <v>72</v>
      </c>
      <c r="I1971" s="2" t="s">
        <v>5061</v>
      </c>
      <c r="J1971" s="3" t="str">
        <f>HYPERLINK("https://www.boe.es/gazeta/dias/1815/06/22/pdfs/GMD-1815-75.pdf#page=8","Abrir facsímil")</f>
        <v>Abrir facsímil</v>
      </c>
      <c r="K1971" s="3" t="s">
        <v>74</v>
      </c>
    </row>
    <row r="1972" spans="1:11" ht="42" customHeight="1">
      <c r="A1972" s="2" t="s">
        <v>5049</v>
      </c>
      <c r="B1972" s="2" t="s">
        <v>5049</v>
      </c>
      <c r="C1972" s="2" t="s">
        <v>31</v>
      </c>
      <c r="D1972" s="2" t="s">
        <v>32</v>
      </c>
      <c r="E1972" s="5">
        <v>-30872</v>
      </c>
      <c r="F1972" s="3" t="s">
        <v>167</v>
      </c>
      <c r="G1972" s="3" t="s">
        <v>71</v>
      </c>
      <c r="H1972" s="2" t="s">
        <v>72</v>
      </c>
      <c r="I1972" s="2" t="s">
        <v>5062</v>
      </c>
      <c r="J1972" s="3" t="str">
        <f>HYPERLINK("https://www.boe.es/gazeta/dias/1815/06/22/pdfs/GMD-1815-75.pdf#page=7","Abrir facsímil")</f>
        <v>Abrir facsímil</v>
      </c>
      <c r="K1972" s="3" t="s">
        <v>74</v>
      </c>
    </row>
    <row r="1973" spans="1:11" ht="42" customHeight="1">
      <c r="A1973" s="2" t="s">
        <v>5049</v>
      </c>
      <c r="B1973" s="2" t="s">
        <v>5049</v>
      </c>
      <c r="C1973" s="2" t="s">
        <v>49</v>
      </c>
      <c r="D1973" s="2" t="s">
        <v>50</v>
      </c>
      <c r="E1973" s="5">
        <v>-30865</v>
      </c>
      <c r="F1973" s="3" t="s">
        <v>163</v>
      </c>
      <c r="G1973" s="3" t="s">
        <v>38</v>
      </c>
      <c r="H1973" s="2" t="s">
        <v>72</v>
      </c>
      <c r="I1973" s="2" t="s">
        <v>5063</v>
      </c>
      <c r="J1973" s="3" t="str">
        <f>HYPERLINK("https://www.boe.es/gazeta/dias/1815/06/29/pdfs/GMD-1815-78.pdf#page=8","Abrir facsímil")</f>
        <v>Abrir facsímil</v>
      </c>
      <c r="K1973" s="3" t="s">
        <v>74</v>
      </c>
    </row>
    <row r="1974" spans="1:11" ht="42" customHeight="1">
      <c r="A1974" s="2" t="s">
        <v>5049</v>
      </c>
      <c r="B1974" s="2" t="s">
        <v>5049</v>
      </c>
      <c r="C1974" s="2" t="s">
        <v>49</v>
      </c>
      <c r="D1974" s="2" t="s">
        <v>50</v>
      </c>
      <c r="E1974" s="5">
        <v>-30863</v>
      </c>
      <c r="F1974" s="3" t="s">
        <v>110</v>
      </c>
      <c r="G1974" s="3" t="s">
        <v>224</v>
      </c>
      <c r="H1974" s="2" t="s">
        <v>72</v>
      </c>
      <c r="I1974" s="2" t="s">
        <v>5064</v>
      </c>
      <c r="J1974" s="3" t="str">
        <f>HYPERLINK("https://www.boe.es/gazeta/dias/1815/07/01/pdfs/GMD-1815-79.pdf#page=9","Abrir facsímil")</f>
        <v>Abrir facsímil</v>
      </c>
      <c r="K1974" s="3" t="s">
        <v>74</v>
      </c>
    </row>
    <row r="1975" spans="1:11" ht="42" customHeight="1">
      <c r="A1975" s="2" t="s">
        <v>5049</v>
      </c>
      <c r="B1975" s="2" t="s">
        <v>5049</v>
      </c>
      <c r="C1975" s="2" t="s">
        <v>17</v>
      </c>
      <c r="D1975" s="2" t="s">
        <v>18</v>
      </c>
      <c r="E1975" s="5">
        <v>-30851</v>
      </c>
      <c r="F1975" s="3" t="s">
        <v>442</v>
      </c>
      <c r="G1975" s="3" t="s">
        <v>71</v>
      </c>
      <c r="H1975" s="2" t="s">
        <v>72</v>
      </c>
      <c r="I1975" s="2" t="s">
        <v>5065</v>
      </c>
      <c r="J1975" s="3" t="str">
        <f>HYPERLINK("https://www.boe.es/gazeta/dias/1815/07/13/pdfs/GMD-1815-86.pdf#page=7","Abrir facsímil")</f>
        <v>Abrir facsímil</v>
      </c>
      <c r="K1975" s="3" t="s">
        <v>74</v>
      </c>
    </row>
    <row r="1976" spans="1:11" ht="42" customHeight="1">
      <c r="A1976" s="2" t="s">
        <v>5049</v>
      </c>
      <c r="B1976" s="2" t="s">
        <v>5049</v>
      </c>
      <c r="C1976" s="2" t="s">
        <v>195</v>
      </c>
      <c r="D1976" s="2" t="s">
        <v>50</v>
      </c>
      <c r="E1976" s="5">
        <v>-30814</v>
      </c>
      <c r="F1976" s="3" t="s">
        <v>644</v>
      </c>
      <c r="G1976" s="3" t="s">
        <v>38</v>
      </c>
      <c r="H1976" s="2" t="s">
        <v>72</v>
      </c>
      <c r="I1976" s="2" t="s">
        <v>5066</v>
      </c>
      <c r="J1976" s="3" t="str">
        <f>HYPERLINK("https://www.boe.es/gazeta/dias/1815/08/19/pdfs/GMD-1815-102.pdf#page=8","Abrir facsímil")</f>
        <v>Abrir facsímil</v>
      </c>
      <c r="K1976" s="3" t="s">
        <v>74</v>
      </c>
    </row>
    <row r="1977" spans="1:11" ht="42" customHeight="1">
      <c r="A1977" s="2" t="s">
        <v>5049</v>
      </c>
      <c r="B1977" s="2" t="s">
        <v>5049</v>
      </c>
      <c r="C1977" s="2" t="s">
        <v>31</v>
      </c>
      <c r="D1977" s="2" t="s">
        <v>32</v>
      </c>
      <c r="E1977" s="5">
        <v>-30732</v>
      </c>
      <c r="F1977" s="3" t="s">
        <v>554</v>
      </c>
      <c r="G1977" s="3" t="s">
        <v>27</v>
      </c>
      <c r="H1977" s="2" t="s">
        <v>72</v>
      </c>
      <c r="I1977" s="2" t="s">
        <v>5067</v>
      </c>
      <c r="J1977" s="3" t="str">
        <f>HYPERLINK("https://www.boe.es/gazeta/dias/1815/11/09/pdfs/GMD-1815-140.pdf#page=6","Abrir facsímil")</f>
        <v>Abrir facsímil</v>
      </c>
      <c r="K1977" s="3" t="s">
        <v>74</v>
      </c>
    </row>
    <row r="1978" spans="1:11" ht="42" customHeight="1">
      <c r="A1978" s="2" t="s">
        <v>5068</v>
      </c>
      <c r="B1978" s="2" t="s">
        <v>5069</v>
      </c>
      <c r="C1978" s="2" t="s">
        <v>49</v>
      </c>
      <c r="D1978" s="2" t="s">
        <v>50</v>
      </c>
      <c r="E1978" s="5">
        <v>-30767</v>
      </c>
      <c r="F1978" s="3" t="s">
        <v>228</v>
      </c>
      <c r="G1978" s="3" t="s">
        <v>88</v>
      </c>
      <c r="H1978" s="2" t="s">
        <v>72</v>
      </c>
      <c r="I1978" s="2" t="s">
        <v>5070</v>
      </c>
      <c r="J1978" s="3" t="str">
        <f>HYPERLINK("https://www.boe.es/gazeta/dias/1815/10/05/pdfs/GMD-1815-125.pdf#page=10","Abrir facsímil")</f>
        <v>Abrir facsímil</v>
      </c>
      <c r="K1978" s="3" t="s">
        <v>74</v>
      </c>
    </row>
    <row r="1979" spans="1:11" ht="42" customHeight="1">
      <c r="A1979" s="2" t="s">
        <v>5071</v>
      </c>
      <c r="B1979" s="2" t="s">
        <v>5072</v>
      </c>
      <c r="C1979" s="2" t="s">
        <v>49</v>
      </c>
      <c r="D1979" s="2" t="s">
        <v>50</v>
      </c>
      <c r="E1979" s="5">
        <v>-30886</v>
      </c>
      <c r="F1979" s="3" t="s">
        <v>140</v>
      </c>
      <c r="G1979" s="3" t="s">
        <v>38</v>
      </c>
      <c r="H1979" s="2" t="s">
        <v>72</v>
      </c>
      <c r="I1979" s="2" t="s">
        <v>5073</v>
      </c>
      <c r="J1979" s="3" t="str">
        <f>HYPERLINK("https://www.boe.es/gazeta/dias/1815/06/08/pdfs/GMD-1815-69.pdf#page=8","Abrir facsímil")</f>
        <v>Abrir facsímil</v>
      </c>
      <c r="K1979" s="3" t="s">
        <v>74</v>
      </c>
    </row>
    <row r="1980" spans="1:11" ht="42" customHeight="1">
      <c r="A1980" s="2" t="s">
        <v>5074</v>
      </c>
      <c r="B1980" s="2" t="s">
        <v>5074</v>
      </c>
      <c r="C1980" s="2" t="s">
        <v>897</v>
      </c>
      <c r="D1980" s="2" t="s">
        <v>50</v>
      </c>
      <c r="E1980" s="5">
        <v>-30851</v>
      </c>
      <c r="F1980" s="3" t="s">
        <v>442</v>
      </c>
      <c r="G1980" s="3" t="s">
        <v>38</v>
      </c>
      <c r="H1980" s="2" t="s">
        <v>72</v>
      </c>
      <c r="I1980" s="2" t="s">
        <v>5075</v>
      </c>
      <c r="J1980" s="3" t="str">
        <f>HYPERLINK("https://www.boe.es/gazeta/dias/1815/07/13/pdfs/GMD-1815-86.pdf#page=8","Abrir facsímil")</f>
        <v>Abrir facsímil</v>
      </c>
      <c r="K1980" s="3" t="s">
        <v>74</v>
      </c>
    </row>
    <row r="1981" spans="1:11" ht="42" customHeight="1">
      <c r="A1981" s="2" t="s">
        <v>5076</v>
      </c>
      <c r="B1981" s="2" t="s">
        <v>5077</v>
      </c>
      <c r="C1981" s="2" t="s">
        <v>17</v>
      </c>
      <c r="D1981" s="2" t="s">
        <v>18</v>
      </c>
      <c r="E1981" s="5">
        <v>-31040</v>
      </c>
      <c r="F1981" s="3" t="s">
        <v>326</v>
      </c>
      <c r="G1981" s="3" t="s">
        <v>27</v>
      </c>
      <c r="H1981" s="2" t="s">
        <v>72</v>
      </c>
      <c r="I1981" s="2" t="s">
        <v>5078</v>
      </c>
      <c r="J1981" s="3" t="str">
        <f>HYPERLINK("https://www.boe.es/gazeta/dias/1815/01/05/pdfs/GMD-1815-2.pdf#page=6","Abrir facsímil")</f>
        <v>Abrir facsímil</v>
      </c>
      <c r="K1981" s="3" t="s">
        <v>74</v>
      </c>
    </row>
    <row r="1982" spans="1:11" ht="42" customHeight="1">
      <c r="A1982" s="2" t="s">
        <v>5079</v>
      </c>
      <c r="B1982" s="2" t="s">
        <v>5079</v>
      </c>
      <c r="C1982" s="2" t="s">
        <v>49</v>
      </c>
      <c r="D1982" s="2" t="s">
        <v>50</v>
      </c>
      <c r="E1982" s="5">
        <v>-30886</v>
      </c>
      <c r="F1982" s="3" t="s">
        <v>140</v>
      </c>
      <c r="G1982" s="3" t="s">
        <v>224</v>
      </c>
      <c r="H1982" s="2" t="s">
        <v>72</v>
      </c>
      <c r="I1982" s="2" t="s">
        <v>5080</v>
      </c>
      <c r="J1982" s="3" t="str">
        <f>HYPERLINK("https://www.boe.es/gazeta/dias/1815/06/08/pdfs/GMD-1815-69.pdf#page=9","Abrir facsímil")</f>
        <v>Abrir facsímil</v>
      </c>
      <c r="K1982" s="3" t="s">
        <v>74</v>
      </c>
    </row>
    <row r="1983" spans="1:11" ht="42" customHeight="1">
      <c r="A1983" s="2" t="s">
        <v>5081</v>
      </c>
      <c r="B1983" s="2" t="s">
        <v>5082</v>
      </c>
      <c r="C1983" s="2" t="s">
        <v>49</v>
      </c>
      <c r="D1983" s="2" t="s">
        <v>50</v>
      </c>
      <c r="E1983" s="5">
        <v>-30865</v>
      </c>
      <c r="F1983" s="3" t="s">
        <v>163</v>
      </c>
      <c r="G1983" s="3" t="s">
        <v>27</v>
      </c>
      <c r="H1983" s="2" t="s">
        <v>72</v>
      </c>
      <c r="I1983" s="2" t="s">
        <v>5083</v>
      </c>
      <c r="J1983" s="3" t="str">
        <f>HYPERLINK("https://www.boe.es/gazeta/dias/1815/06/29/pdfs/GMD-1815-78.pdf#page=6","Abrir facsímil")</f>
        <v>Abrir facsímil</v>
      </c>
      <c r="K1983" s="3" t="s">
        <v>74</v>
      </c>
    </row>
    <row r="1984" spans="1:11" ht="42" customHeight="1">
      <c r="A1984" s="2" t="s">
        <v>5084</v>
      </c>
      <c r="B1984" s="2" t="s">
        <v>5084</v>
      </c>
      <c r="C1984" s="2" t="s">
        <v>31</v>
      </c>
      <c r="D1984" s="2" t="s">
        <v>32</v>
      </c>
      <c r="E1984" s="5">
        <v>-30725</v>
      </c>
      <c r="F1984" s="3" t="s">
        <v>1535</v>
      </c>
      <c r="G1984" s="3" t="s">
        <v>97</v>
      </c>
      <c r="H1984" s="2" t="s">
        <v>72</v>
      </c>
      <c r="I1984" s="2" t="s">
        <v>5085</v>
      </c>
      <c r="J1984" s="3" t="str">
        <f>HYPERLINK("https://www.boe.es/gazeta/dias/1815/11/16/pdfs/GMD-1815-143.pdf#page=3","Abrir facsímil")</f>
        <v>Abrir facsímil</v>
      </c>
      <c r="K1984" s="3" t="s">
        <v>74</v>
      </c>
    </row>
    <row r="1985" spans="1:11" ht="42" customHeight="1">
      <c r="A1985" s="2" t="s">
        <v>5086</v>
      </c>
      <c r="B1985" s="2" t="s">
        <v>5086</v>
      </c>
      <c r="C1985" s="2" t="s">
        <v>31</v>
      </c>
      <c r="D1985" s="2" t="s">
        <v>32</v>
      </c>
      <c r="E1985" s="5">
        <v>-30916</v>
      </c>
      <c r="F1985" s="3" t="s">
        <v>147</v>
      </c>
      <c r="G1985" s="3" t="s">
        <v>38</v>
      </c>
      <c r="H1985" s="2" t="s">
        <v>72</v>
      </c>
      <c r="I1985" s="2" t="s">
        <v>5087</v>
      </c>
      <c r="J1985" s="3" t="str">
        <f>HYPERLINK("https://www.boe.es/gazeta/dias/1815/05/09/pdfs/GMD-1815-56.pdf#page=8","Abrir facsímil")</f>
        <v>Abrir facsímil</v>
      </c>
      <c r="K1985" s="3" t="s">
        <v>74</v>
      </c>
    </row>
    <row r="1986" spans="1:11" ht="42" customHeight="1">
      <c r="A1986" s="2" t="s">
        <v>5086</v>
      </c>
      <c r="B1986" s="2" t="s">
        <v>5086</v>
      </c>
      <c r="C1986" s="2" t="s">
        <v>61</v>
      </c>
      <c r="D1986" s="2" t="s">
        <v>50</v>
      </c>
      <c r="E1986" s="5">
        <v>-30912</v>
      </c>
      <c r="F1986" s="3" t="s">
        <v>579</v>
      </c>
      <c r="G1986" s="3" t="s">
        <v>38</v>
      </c>
      <c r="H1986" s="2" t="s">
        <v>72</v>
      </c>
      <c r="I1986" s="2" t="s">
        <v>5088</v>
      </c>
      <c r="J1986" s="3" t="str">
        <f>HYPERLINK("https://www.boe.es/gazeta/dias/1815/05/13/pdfs/GMD-1815-58.pdf#page=8","Abrir facsímil")</f>
        <v>Abrir facsímil</v>
      </c>
      <c r="K1986" s="3" t="s">
        <v>74</v>
      </c>
    </row>
    <row r="1987" spans="1:11" ht="42" customHeight="1">
      <c r="A1987" s="2" t="s">
        <v>5086</v>
      </c>
      <c r="B1987" s="2" t="s">
        <v>5086</v>
      </c>
      <c r="C1987" s="2" t="s">
        <v>17</v>
      </c>
      <c r="D1987" s="2" t="s">
        <v>18</v>
      </c>
      <c r="E1987" s="5">
        <v>-30865</v>
      </c>
      <c r="F1987" s="3" t="s">
        <v>163</v>
      </c>
      <c r="G1987" s="3" t="s">
        <v>71</v>
      </c>
      <c r="H1987" s="2" t="s">
        <v>72</v>
      </c>
      <c r="I1987" s="2" t="s">
        <v>5089</v>
      </c>
      <c r="J1987" s="3" t="str">
        <f>HYPERLINK("https://www.boe.es/gazeta/dias/1815/06/29/pdfs/GMD-1815-78.pdf#page=7","Abrir facsímil")</f>
        <v>Abrir facsímil</v>
      </c>
      <c r="K1987" s="3" t="s">
        <v>74</v>
      </c>
    </row>
    <row r="1988" spans="1:11" ht="42" customHeight="1">
      <c r="A1988" s="2" t="s">
        <v>5086</v>
      </c>
      <c r="B1988" s="2" t="s">
        <v>5086</v>
      </c>
      <c r="C1988" s="2" t="s">
        <v>49</v>
      </c>
      <c r="D1988" s="2" t="s">
        <v>50</v>
      </c>
      <c r="E1988" s="5">
        <v>-30863</v>
      </c>
      <c r="F1988" s="3" t="s">
        <v>110</v>
      </c>
      <c r="G1988" s="3" t="s">
        <v>224</v>
      </c>
      <c r="H1988" s="2" t="s">
        <v>72</v>
      </c>
      <c r="I1988" s="2" t="s">
        <v>5090</v>
      </c>
      <c r="J1988" s="3" t="str">
        <f>HYPERLINK("https://www.boe.es/gazeta/dias/1815/07/01/pdfs/GMD-1815-79.pdf#page=9","Abrir facsímil")</f>
        <v>Abrir facsímil</v>
      </c>
      <c r="K1988" s="3" t="s">
        <v>74</v>
      </c>
    </row>
    <row r="1989" spans="1:11" ht="42" customHeight="1">
      <c r="A1989" s="2" t="s">
        <v>5086</v>
      </c>
      <c r="B1989" s="2" t="s">
        <v>5086</v>
      </c>
      <c r="C1989" s="2" t="s">
        <v>31</v>
      </c>
      <c r="D1989" s="2" t="s">
        <v>32</v>
      </c>
      <c r="E1989" s="5">
        <v>-30811</v>
      </c>
      <c r="F1989" s="3" t="s">
        <v>293</v>
      </c>
      <c r="G1989" s="3" t="s">
        <v>5091</v>
      </c>
      <c r="H1989" s="2" t="s">
        <v>72</v>
      </c>
      <c r="I1989" s="2" t="s">
        <v>5092</v>
      </c>
      <c r="J1989" s="3" t="str">
        <f>HYPERLINK("https://www.boe.es/gazeta/dias/1815/08/22/pdfs/GMD-1815-103.pdf#page=8","Abrir facsímil")</f>
        <v>Abrir facsímil</v>
      </c>
      <c r="K1989" s="3" t="s">
        <v>74</v>
      </c>
    </row>
    <row r="1990" spans="1:11" ht="42" customHeight="1">
      <c r="A1990" s="2" t="s">
        <v>5086</v>
      </c>
      <c r="B1990" s="2" t="s">
        <v>5086</v>
      </c>
      <c r="C1990" s="2" t="s">
        <v>195</v>
      </c>
      <c r="D1990" s="2" t="s">
        <v>50</v>
      </c>
      <c r="E1990" s="5">
        <v>-30772</v>
      </c>
      <c r="F1990" s="3" t="s">
        <v>216</v>
      </c>
      <c r="G1990" s="3" t="s">
        <v>990</v>
      </c>
      <c r="H1990" s="2" t="s">
        <v>72</v>
      </c>
      <c r="I1990" s="2" t="s">
        <v>5093</v>
      </c>
      <c r="J1990" s="3" t="str">
        <f>HYPERLINK("https://www.boe.es/gazeta/dias/1815/09/30/pdfs/GMD-1815-123.pdf#page=8","Abrir facsímil")</f>
        <v>Abrir facsímil</v>
      </c>
      <c r="K1990" s="3" t="s">
        <v>74</v>
      </c>
    </row>
    <row r="1991" spans="1:11" ht="42" customHeight="1">
      <c r="A1991" s="2" t="s">
        <v>5094</v>
      </c>
      <c r="B1991" s="2" t="s">
        <v>5094</v>
      </c>
      <c r="C1991" s="2" t="s">
        <v>17</v>
      </c>
      <c r="D1991" s="2" t="s">
        <v>18</v>
      </c>
      <c r="E1991" s="5">
        <v>-30972</v>
      </c>
      <c r="F1991" s="3" t="s">
        <v>1382</v>
      </c>
      <c r="G1991" s="3" t="s">
        <v>38</v>
      </c>
      <c r="H1991" s="2" t="s">
        <v>72</v>
      </c>
      <c r="I1991" s="2" t="s">
        <v>5095</v>
      </c>
      <c r="J1991" s="3" t="str">
        <f>HYPERLINK("https://www.boe.es/gazeta/dias/1815/03/14/pdfs/GMD-1815-31.pdf#page=8","Abrir facsímil")</f>
        <v>Abrir facsímil</v>
      </c>
      <c r="K1991" s="3" t="s">
        <v>74</v>
      </c>
    </row>
    <row r="1992" spans="1:11" ht="42" customHeight="1">
      <c r="A1992" s="2" t="s">
        <v>5094</v>
      </c>
      <c r="B1992" s="2" t="s">
        <v>5094</v>
      </c>
      <c r="C1992" s="2" t="s">
        <v>17</v>
      </c>
      <c r="D1992" s="2" t="s">
        <v>18</v>
      </c>
      <c r="E1992" s="5">
        <v>-30968</v>
      </c>
      <c r="F1992" s="3" t="s">
        <v>2695</v>
      </c>
      <c r="G1992" s="3" t="s">
        <v>20</v>
      </c>
      <c r="H1992" s="2" t="s">
        <v>72</v>
      </c>
      <c r="I1992" s="2" t="s">
        <v>5096</v>
      </c>
      <c r="J1992" s="3" t="str">
        <f>HYPERLINK("https://www.boe.es/gazeta/dias/1815/03/18/pdfs/GMD-1815-33.pdf#page=4","Abrir facsímil")</f>
        <v>Abrir facsímil</v>
      </c>
      <c r="K1992" s="3" t="s">
        <v>74</v>
      </c>
    </row>
    <row r="1993" spans="1:11" ht="42" customHeight="1">
      <c r="A1993" s="2" t="s">
        <v>5094</v>
      </c>
      <c r="B1993" s="2" t="s">
        <v>5094</v>
      </c>
      <c r="C1993" s="2" t="s">
        <v>31</v>
      </c>
      <c r="D1993" s="2" t="s">
        <v>32</v>
      </c>
      <c r="E1993" s="5">
        <v>-30965</v>
      </c>
      <c r="F1993" s="3" t="s">
        <v>1679</v>
      </c>
      <c r="G1993" s="3" t="s">
        <v>20</v>
      </c>
      <c r="H1993" s="2" t="s">
        <v>72</v>
      </c>
      <c r="I1993" s="2" t="s">
        <v>5097</v>
      </c>
      <c r="J1993" s="3" t="str">
        <f>HYPERLINK("https://www.boe.es/gazeta/dias/1815/03/21/pdfs/GMD-1815-34.pdf#page=4","Abrir facsímil")</f>
        <v>Abrir facsímil</v>
      </c>
      <c r="K1993" s="3" t="s">
        <v>74</v>
      </c>
    </row>
    <row r="1994" spans="1:11" ht="42" customHeight="1">
      <c r="A1994" s="2" t="s">
        <v>5094</v>
      </c>
      <c r="B1994" s="2" t="s">
        <v>5094</v>
      </c>
      <c r="C1994" s="2" t="s">
        <v>81</v>
      </c>
      <c r="D1994" s="2" t="s">
        <v>50</v>
      </c>
      <c r="E1994" s="5">
        <v>-30965</v>
      </c>
      <c r="F1994" s="3" t="s">
        <v>1679</v>
      </c>
      <c r="G1994" s="3" t="s">
        <v>27</v>
      </c>
      <c r="H1994" s="2" t="s">
        <v>72</v>
      </c>
      <c r="I1994" s="2" t="s">
        <v>5098</v>
      </c>
      <c r="J1994" s="3" t="str">
        <f>HYPERLINK("https://www.boe.es/gazeta/dias/1815/03/21/pdfs/GMD-1815-34.pdf#page=6","Abrir facsímil")</f>
        <v>Abrir facsímil</v>
      </c>
      <c r="K1994" s="3" t="s">
        <v>74</v>
      </c>
    </row>
    <row r="1995" spans="1:11" ht="42" customHeight="1">
      <c r="A1995" s="2" t="s">
        <v>5094</v>
      </c>
      <c r="B1995" s="2" t="s">
        <v>5094</v>
      </c>
      <c r="C1995" s="2" t="s">
        <v>31</v>
      </c>
      <c r="D1995" s="2" t="s">
        <v>32</v>
      </c>
      <c r="E1995" s="5">
        <v>-30961</v>
      </c>
      <c r="F1995" s="3" t="s">
        <v>1176</v>
      </c>
      <c r="G1995" s="3" t="s">
        <v>410</v>
      </c>
      <c r="H1995" s="2" t="s">
        <v>72</v>
      </c>
      <c r="I1995" s="2" t="s">
        <v>5099</v>
      </c>
      <c r="J1995" s="3" t="str">
        <f>HYPERLINK("https://www.boe.es/gazeta/dias/1815/03/25/pdfs/GMD-1815-36.pdf#page=1","Abrir facsímil")</f>
        <v>Abrir facsímil</v>
      </c>
      <c r="K1995" s="3" t="s">
        <v>74</v>
      </c>
    </row>
    <row r="1996" spans="1:11" ht="42" customHeight="1">
      <c r="A1996" s="2" t="s">
        <v>5094</v>
      </c>
      <c r="B1996" s="2" t="s">
        <v>5094</v>
      </c>
      <c r="C1996" s="2" t="s">
        <v>31</v>
      </c>
      <c r="D1996" s="2" t="s">
        <v>32</v>
      </c>
      <c r="E1996" s="5">
        <v>-30958</v>
      </c>
      <c r="F1996" s="3" t="s">
        <v>297</v>
      </c>
      <c r="G1996" s="3" t="s">
        <v>71</v>
      </c>
      <c r="H1996" s="2" t="s">
        <v>72</v>
      </c>
      <c r="I1996" s="2" t="s">
        <v>5100</v>
      </c>
      <c r="J1996" s="3" t="str">
        <f>HYPERLINK("https://www.boe.es/gazeta/dias/1815/03/28/pdfs/GMD-1815-37.pdf#page=7","Abrir facsímil")</f>
        <v>Abrir facsímil</v>
      </c>
      <c r="K1996" s="3" t="s">
        <v>74</v>
      </c>
    </row>
    <row r="1997" spans="1:11" ht="42" customHeight="1">
      <c r="A1997" s="2" t="s">
        <v>5094</v>
      </c>
      <c r="B1997" s="2" t="s">
        <v>5094</v>
      </c>
      <c r="C1997" s="2" t="s">
        <v>31</v>
      </c>
      <c r="D1997" s="2" t="s">
        <v>32</v>
      </c>
      <c r="E1997" s="5">
        <v>-30937</v>
      </c>
      <c r="F1997" s="3" t="s">
        <v>322</v>
      </c>
      <c r="G1997" s="3" t="s">
        <v>5101</v>
      </c>
      <c r="H1997" s="2" t="s">
        <v>72</v>
      </c>
      <c r="I1997" s="2" t="s">
        <v>5102</v>
      </c>
      <c r="J1997" s="3" t="str">
        <f>HYPERLINK("https://www.boe.es/gazeta/dias/1815/04/18/pdfs/GMD-1815-47.pdf#page=7","Abrir facsímil")</f>
        <v>Abrir facsímil</v>
      </c>
      <c r="K1997" s="3" t="s">
        <v>74</v>
      </c>
    </row>
    <row r="1998" spans="1:11" ht="42" customHeight="1">
      <c r="A1998" s="2" t="s">
        <v>5094</v>
      </c>
      <c r="B1998" s="2" t="s">
        <v>5094</v>
      </c>
      <c r="C1998" s="2" t="s">
        <v>31</v>
      </c>
      <c r="D1998" s="2" t="s">
        <v>32</v>
      </c>
      <c r="E1998" s="5">
        <v>-30928</v>
      </c>
      <c r="F1998" s="3" t="s">
        <v>330</v>
      </c>
      <c r="G1998" s="3" t="s">
        <v>377</v>
      </c>
      <c r="H1998" s="2" t="s">
        <v>72</v>
      </c>
      <c r="I1998" s="2" t="s">
        <v>5103</v>
      </c>
      <c r="J1998" s="3" t="str">
        <f>HYPERLINK("https://www.boe.es/gazeta/dias/1815/04/27/pdfs/GMD-1815-51.pdf#page=2","Abrir facsímil")</f>
        <v>Abrir facsímil</v>
      </c>
      <c r="K1998" s="3" t="s">
        <v>74</v>
      </c>
    </row>
    <row r="1999" spans="1:11" ht="42" customHeight="1">
      <c r="A1999" s="2" t="s">
        <v>5094</v>
      </c>
      <c r="B1999" s="2" t="s">
        <v>5094</v>
      </c>
      <c r="C1999" s="2" t="s">
        <v>31</v>
      </c>
      <c r="D1999" s="2" t="s">
        <v>32</v>
      </c>
      <c r="E1999" s="5">
        <v>-30914</v>
      </c>
      <c r="F1999" s="3" t="s">
        <v>338</v>
      </c>
      <c r="G1999" s="3" t="s">
        <v>52</v>
      </c>
      <c r="H1999" s="2" t="s">
        <v>72</v>
      </c>
      <c r="I1999" s="2" t="s">
        <v>5104</v>
      </c>
      <c r="J1999" s="3" t="str">
        <f>HYPERLINK("https://www.boe.es/gazeta/dias/1815/05/11/pdfs/GMD-1815-57.pdf#page=11","Abrir facsímil")</f>
        <v>Abrir facsímil</v>
      </c>
      <c r="K1999" s="3" t="s">
        <v>74</v>
      </c>
    </row>
    <row r="2000" spans="1:11" ht="42" customHeight="1">
      <c r="A2000" s="2" t="s">
        <v>5094</v>
      </c>
      <c r="B2000" s="2" t="s">
        <v>5094</v>
      </c>
      <c r="C2000" s="2" t="s">
        <v>131</v>
      </c>
      <c r="D2000" s="2" t="s">
        <v>50</v>
      </c>
      <c r="E2000" s="5">
        <v>-30914</v>
      </c>
      <c r="F2000" s="3" t="s">
        <v>338</v>
      </c>
      <c r="G2000" s="3" t="s">
        <v>276</v>
      </c>
      <c r="H2000" s="2" t="s">
        <v>72</v>
      </c>
      <c r="I2000" s="2" t="s">
        <v>5105</v>
      </c>
      <c r="J2000" s="3" t="str">
        <f>HYPERLINK("https://www.boe.es/gazeta/dias/1815/05/11/pdfs/GMD-1815-57.pdf#page=12","Abrir facsímil")</f>
        <v>Abrir facsímil</v>
      </c>
      <c r="K2000" s="3" t="s">
        <v>74</v>
      </c>
    </row>
    <row r="2001" spans="1:11" ht="42" customHeight="1">
      <c r="A2001" s="2" t="s">
        <v>5094</v>
      </c>
      <c r="B2001" s="2" t="s">
        <v>5094</v>
      </c>
      <c r="C2001" s="2" t="s">
        <v>897</v>
      </c>
      <c r="D2001" s="2" t="s">
        <v>50</v>
      </c>
      <c r="E2001" s="5">
        <v>-30907</v>
      </c>
      <c r="F2001" s="3" t="s">
        <v>301</v>
      </c>
      <c r="G2001" s="3" t="s">
        <v>97</v>
      </c>
      <c r="H2001" s="2" t="s">
        <v>72</v>
      </c>
      <c r="I2001" s="2" t="s">
        <v>5106</v>
      </c>
      <c r="J2001" s="3" t="str">
        <f>HYPERLINK("https://www.boe.es/gazeta/dias/1815/05/18/pdfs/GMD-1815-60.pdf#page=3","Abrir facsímil")</f>
        <v>Abrir facsímil</v>
      </c>
      <c r="K2001" s="3" t="s">
        <v>74</v>
      </c>
    </row>
    <row r="2002" spans="1:11" ht="42" customHeight="1">
      <c r="A2002" s="2" t="s">
        <v>5094</v>
      </c>
      <c r="B2002" s="2" t="s">
        <v>5094</v>
      </c>
      <c r="C2002" s="2" t="s">
        <v>31</v>
      </c>
      <c r="D2002" s="2" t="s">
        <v>32</v>
      </c>
      <c r="E2002" s="5">
        <v>-30891</v>
      </c>
      <c r="F2002" s="3" t="s">
        <v>498</v>
      </c>
      <c r="G2002" s="3" t="s">
        <v>71</v>
      </c>
      <c r="H2002" s="2" t="s">
        <v>72</v>
      </c>
      <c r="I2002" s="2" t="s">
        <v>5107</v>
      </c>
      <c r="J2002" s="3" t="str">
        <f>HYPERLINK("https://www.boe.es/gazeta/dias/1815/06/03/pdfs/GMD-1815-67.pdf#page=7","Abrir facsímil")</f>
        <v>Abrir facsímil</v>
      </c>
      <c r="K2002" s="3" t="s">
        <v>74</v>
      </c>
    </row>
    <row r="2003" spans="1:11" ht="42" customHeight="1">
      <c r="A2003" s="2" t="s">
        <v>5108</v>
      </c>
      <c r="B2003" s="2" t="s">
        <v>5108</v>
      </c>
      <c r="C2003" s="2" t="s">
        <v>17</v>
      </c>
      <c r="D2003" s="2" t="s">
        <v>18</v>
      </c>
      <c r="E2003" s="5">
        <v>-30886</v>
      </c>
      <c r="F2003" s="3" t="s">
        <v>140</v>
      </c>
      <c r="G2003" s="3" t="s">
        <v>52</v>
      </c>
      <c r="H2003" s="2" t="s">
        <v>72</v>
      </c>
      <c r="I2003" s="2" t="s">
        <v>5109</v>
      </c>
      <c r="J2003" s="3" t="str">
        <f>HYPERLINK("https://www.boe.es/gazeta/dias/1815/06/08/pdfs/GMD-1815-69.pdf#page=11","Abrir facsímil")</f>
        <v>Abrir facsímil</v>
      </c>
      <c r="K2003" s="3" t="s">
        <v>74</v>
      </c>
    </row>
    <row r="2004" spans="1:11" ht="42" customHeight="1">
      <c r="A2004" s="2" t="s">
        <v>5094</v>
      </c>
      <c r="B2004" s="2" t="s">
        <v>5094</v>
      </c>
      <c r="C2004" s="2" t="s">
        <v>49</v>
      </c>
      <c r="D2004" s="2" t="s">
        <v>50</v>
      </c>
      <c r="E2004" s="5">
        <v>-30886</v>
      </c>
      <c r="F2004" s="3" t="s">
        <v>140</v>
      </c>
      <c r="G2004" s="3" t="s">
        <v>224</v>
      </c>
      <c r="H2004" s="2" t="s">
        <v>72</v>
      </c>
      <c r="I2004" s="2" t="s">
        <v>5110</v>
      </c>
      <c r="J2004" s="3" t="str">
        <f>HYPERLINK("https://www.boe.es/gazeta/dias/1815/06/08/pdfs/GMD-1815-69.pdf#page=9","Abrir facsímil")</f>
        <v>Abrir facsímil</v>
      </c>
      <c r="K2004" s="3" t="s">
        <v>74</v>
      </c>
    </row>
    <row r="2005" spans="1:11" ht="42" customHeight="1">
      <c r="A2005" s="2" t="s">
        <v>5094</v>
      </c>
      <c r="B2005" s="2" t="s">
        <v>5094</v>
      </c>
      <c r="C2005" s="2" t="s">
        <v>17</v>
      </c>
      <c r="D2005" s="2" t="s">
        <v>18</v>
      </c>
      <c r="E2005" s="5">
        <v>-30874</v>
      </c>
      <c r="F2005" s="3" t="s">
        <v>208</v>
      </c>
      <c r="G2005" s="3" t="s">
        <v>410</v>
      </c>
      <c r="H2005" s="2" t="s">
        <v>72</v>
      </c>
      <c r="I2005" s="2" t="s">
        <v>5111</v>
      </c>
      <c r="J2005" s="3" t="str">
        <f>HYPERLINK("https://www.boe.es/gazeta/dias/1815/06/20/pdfs/GMD-1815-74.pdf#page=1","Abrir facsímil")</f>
        <v>Abrir facsímil</v>
      </c>
      <c r="K2005" s="3" t="s">
        <v>74</v>
      </c>
    </row>
    <row r="2006" spans="1:11" ht="42" customHeight="1">
      <c r="A2006" s="2" t="s">
        <v>5094</v>
      </c>
      <c r="B2006" s="2" t="s">
        <v>5094</v>
      </c>
      <c r="C2006" s="2" t="s">
        <v>31</v>
      </c>
      <c r="D2006" s="2" t="s">
        <v>32</v>
      </c>
      <c r="E2006" s="5">
        <v>-30874</v>
      </c>
      <c r="F2006" s="3" t="s">
        <v>208</v>
      </c>
      <c r="G2006" s="3" t="s">
        <v>27</v>
      </c>
      <c r="H2006" s="2" t="s">
        <v>72</v>
      </c>
      <c r="I2006" s="2" t="s">
        <v>5112</v>
      </c>
      <c r="J2006" s="3" t="str">
        <f>HYPERLINK("https://www.boe.es/gazeta/dias/1815/06/20/pdfs/GMD-1815-74.pdf#page=6","Abrir facsímil")</f>
        <v>Abrir facsímil</v>
      </c>
      <c r="K2006" s="3" t="s">
        <v>74</v>
      </c>
    </row>
    <row r="2007" spans="1:11" ht="42" customHeight="1">
      <c r="A2007" s="2" t="s">
        <v>5094</v>
      </c>
      <c r="B2007" s="2" t="s">
        <v>5094</v>
      </c>
      <c r="C2007" s="2" t="s">
        <v>61</v>
      </c>
      <c r="D2007" s="2" t="s">
        <v>50</v>
      </c>
      <c r="E2007" s="5">
        <v>-30874</v>
      </c>
      <c r="F2007" s="3" t="s">
        <v>208</v>
      </c>
      <c r="G2007" s="3" t="s">
        <v>38</v>
      </c>
      <c r="H2007" s="2" t="s">
        <v>72</v>
      </c>
      <c r="I2007" s="2" t="s">
        <v>5113</v>
      </c>
      <c r="J2007" s="3" t="str">
        <f>HYPERLINK("https://www.boe.es/gazeta/dias/1815/06/20/pdfs/GMD-1815-74.pdf#page=8","Abrir facsímil")</f>
        <v>Abrir facsímil</v>
      </c>
      <c r="K2007" s="3" t="s">
        <v>74</v>
      </c>
    </row>
    <row r="2008" spans="1:11" ht="42" customHeight="1">
      <c r="A2008" s="2" t="s">
        <v>5094</v>
      </c>
      <c r="B2008" s="2" t="s">
        <v>5094</v>
      </c>
      <c r="C2008" s="2" t="s">
        <v>31</v>
      </c>
      <c r="D2008" s="2" t="s">
        <v>32</v>
      </c>
      <c r="E2008" s="5">
        <v>-30870</v>
      </c>
      <c r="F2008" s="3" t="s">
        <v>122</v>
      </c>
      <c r="G2008" s="3" t="s">
        <v>20</v>
      </c>
      <c r="H2008" s="2" t="s">
        <v>72</v>
      </c>
      <c r="I2008" s="2" t="s">
        <v>5114</v>
      </c>
      <c r="J2008" s="3" t="str">
        <f>HYPERLINK("https://www.boe.es/gazeta/dias/1815/06/24/pdfs/GMD-1815-76.pdf#page=4","Abrir facsímil")</f>
        <v>Abrir facsímil</v>
      </c>
      <c r="K2008" s="3" t="s">
        <v>74</v>
      </c>
    </row>
    <row r="2009" spans="1:11" ht="42" customHeight="1">
      <c r="A2009" s="2" t="s">
        <v>5094</v>
      </c>
      <c r="B2009" s="2" t="s">
        <v>5094</v>
      </c>
      <c r="C2009" s="2" t="s">
        <v>49</v>
      </c>
      <c r="D2009" s="2" t="s">
        <v>50</v>
      </c>
      <c r="E2009" s="5">
        <v>-30865</v>
      </c>
      <c r="F2009" s="3" t="s">
        <v>163</v>
      </c>
      <c r="G2009" s="3" t="s">
        <v>71</v>
      </c>
      <c r="H2009" s="2" t="s">
        <v>72</v>
      </c>
      <c r="I2009" s="2" t="s">
        <v>5115</v>
      </c>
      <c r="J2009" s="3" t="str">
        <f>HYPERLINK("https://www.boe.es/gazeta/dias/1815/06/29/pdfs/GMD-1815-78.pdf#page=7","Abrir facsímil")</f>
        <v>Abrir facsímil</v>
      </c>
      <c r="K2009" s="3" t="s">
        <v>74</v>
      </c>
    </row>
    <row r="2010" spans="1:11" ht="42" customHeight="1">
      <c r="A2010" s="2" t="s">
        <v>5094</v>
      </c>
      <c r="B2010" s="2" t="s">
        <v>5094</v>
      </c>
      <c r="C2010" s="2" t="s">
        <v>49</v>
      </c>
      <c r="D2010" s="2" t="s">
        <v>50</v>
      </c>
      <c r="E2010" s="5">
        <v>-30860</v>
      </c>
      <c r="F2010" s="3" t="s">
        <v>184</v>
      </c>
      <c r="G2010" s="3" t="s">
        <v>20</v>
      </c>
      <c r="H2010" s="2" t="s">
        <v>72</v>
      </c>
      <c r="I2010" s="2" t="s">
        <v>5116</v>
      </c>
      <c r="J2010" s="3" t="str">
        <f>HYPERLINK("https://www.boe.es/gazeta/dias/1815/07/04/pdfs/GMD-1815-81.pdf#page=4","Abrir facsímil")</f>
        <v>Abrir facsímil</v>
      </c>
      <c r="K2010" s="3" t="s">
        <v>74</v>
      </c>
    </row>
    <row r="2011" spans="1:11" ht="42" customHeight="1">
      <c r="A2011" s="2" t="s">
        <v>5094</v>
      </c>
      <c r="B2011" s="2" t="s">
        <v>5094</v>
      </c>
      <c r="C2011" s="2" t="s">
        <v>31</v>
      </c>
      <c r="D2011" s="2" t="s">
        <v>32</v>
      </c>
      <c r="E2011" s="5">
        <v>-30846</v>
      </c>
      <c r="F2011" s="3" t="s">
        <v>858</v>
      </c>
      <c r="G2011" s="3" t="s">
        <v>38</v>
      </c>
      <c r="H2011" s="2" t="s">
        <v>72</v>
      </c>
      <c r="I2011" s="2" t="s">
        <v>5117</v>
      </c>
      <c r="J2011" s="3" t="str">
        <f>HYPERLINK("https://www.boe.es/gazeta/dias/1815/07/18/pdfs/GMD-1815-88.pdf#page=8","Abrir facsímil")</f>
        <v>Abrir facsímil</v>
      </c>
      <c r="K2011" s="3" t="s">
        <v>74</v>
      </c>
    </row>
    <row r="2012" spans="1:11" ht="42" customHeight="1">
      <c r="A2012" s="2" t="s">
        <v>5094</v>
      </c>
      <c r="B2012" s="2" t="s">
        <v>5094</v>
      </c>
      <c r="C2012" s="2" t="s">
        <v>49</v>
      </c>
      <c r="D2012" s="2" t="s">
        <v>50</v>
      </c>
      <c r="E2012" s="5">
        <v>-30835</v>
      </c>
      <c r="F2012" s="3" t="s">
        <v>544</v>
      </c>
      <c r="G2012" s="3" t="s">
        <v>88</v>
      </c>
      <c r="H2012" s="2" t="s">
        <v>72</v>
      </c>
      <c r="I2012" s="2" t="s">
        <v>5118</v>
      </c>
      <c r="J2012" s="3" t="str">
        <f>HYPERLINK("https://www.boe.es/gazeta/dias/1815/07/29/pdfs/GMD-1815-93.pdf#page=10","Abrir facsímil")</f>
        <v>Abrir facsímil</v>
      </c>
      <c r="K2012" s="3" t="s">
        <v>74</v>
      </c>
    </row>
    <row r="2013" spans="1:11" ht="42" customHeight="1">
      <c r="A2013" s="2" t="s">
        <v>5094</v>
      </c>
      <c r="B2013" s="2" t="s">
        <v>5094</v>
      </c>
      <c r="C2013" s="2" t="s">
        <v>49</v>
      </c>
      <c r="D2013" s="2" t="s">
        <v>50</v>
      </c>
      <c r="E2013" s="5">
        <v>-30832</v>
      </c>
      <c r="F2013" s="3" t="s">
        <v>266</v>
      </c>
      <c r="G2013" s="3" t="s">
        <v>88</v>
      </c>
      <c r="H2013" s="2" t="s">
        <v>72</v>
      </c>
      <c r="I2013" s="2" t="s">
        <v>5119</v>
      </c>
      <c r="J2013" s="3" t="str">
        <f>HYPERLINK("https://www.boe.es/gazeta/dias/1815/08/01/pdfs/GMD-1815-94.pdf#page=10","Abrir facsímil")</f>
        <v>Abrir facsímil</v>
      </c>
      <c r="K2013" s="3" t="s">
        <v>74</v>
      </c>
    </row>
    <row r="2014" spans="1:11" ht="42" customHeight="1">
      <c r="A2014" s="2" t="s">
        <v>5094</v>
      </c>
      <c r="B2014" s="2" t="s">
        <v>5094</v>
      </c>
      <c r="C2014" s="2" t="s">
        <v>31</v>
      </c>
      <c r="D2014" s="2" t="s">
        <v>32</v>
      </c>
      <c r="E2014" s="5">
        <v>-30795</v>
      </c>
      <c r="F2014" s="3" t="s">
        <v>172</v>
      </c>
      <c r="G2014" s="3" t="s">
        <v>97</v>
      </c>
      <c r="H2014" s="2" t="s">
        <v>72</v>
      </c>
      <c r="I2014" s="2" t="s">
        <v>5120</v>
      </c>
      <c r="J2014" s="3" t="str">
        <f>HYPERLINK("https://www.boe.es/gazeta/dias/1815/09/07/pdfs/GMD-1815-111.pdf#page=3","Abrir facsímil")</f>
        <v>Abrir facsímil</v>
      </c>
      <c r="K2014" s="3" t="s">
        <v>74</v>
      </c>
    </row>
    <row r="2015" spans="1:11" ht="42" customHeight="1">
      <c r="A2015" s="2" t="s">
        <v>5094</v>
      </c>
      <c r="B2015" s="2" t="s">
        <v>5094</v>
      </c>
      <c r="C2015" s="2" t="s">
        <v>31</v>
      </c>
      <c r="D2015" s="2" t="s">
        <v>32</v>
      </c>
      <c r="E2015" s="5">
        <v>-30783</v>
      </c>
      <c r="F2015" s="3" t="s">
        <v>423</v>
      </c>
      <c r="G2015" s="3" t="s">
        <v>97</v>
      </c>
      <c r="H2015" s="2" t="s">
        <v>72</v>
      </c>
      <c r="I2015" s="2" t="s">
        <v>5121</v>
      </c>
      <c r="J2015" s="3" t="str">
        <f>HYPERLINK("https://www.boe.es/gazeta/dias/1815/09/19/pdfs/GMD-1815-116.pdf#page=3","Abrir facsímil")</f>
        <v>Abrir facsímil</v>
      </c>
      <c r="K2015" s="3" t="s">
        <v>74</v>
      </c>
    </row>
    <row r="2016" spans="1:11" ht="42" customHeight="1">
      <c r="A2016" s="2" t="s">
        <v>5094</v>
      </c>
      <c r="B2016" s="2" t="s">
        <v>5094</v>
      </c>
      <c r="C2016" s="2" t="s">
        <v>31</v>
      </c>
      <c r="D2016" s="2" t="s">
        <v>32</v>
      </c>
      <c r="E2016" s="5">
        <v>-30727</v>
      </c>
      <c r="F2016" s="3" t="s">
        <v>262</v>
      </c>
      <c r="G2016" s="3" t="s">
        <v>5122</v>
      </c>
      <c r="H2016" s="2" t="s">
        <v>72</v>
      </c>
      <c r="I2016" s="2" t="s">
        <v>5123</v>
      </c>
      <c r="J2016" s="3" t="str">
        <f>HYPERLINK("https://www.boe.es/gazeta/dias/1815/11/14/pdfs/GMD-1815-142.pdf#page=5","Abrir facsímil")</f>
        <v>Abrir facsímil</v>
      </c>
      <c r="K2016" s="3" t="s">
        <v>74</v>
      </c>
    </row>
    <row r="2017" spans="1:11" ht="42" customHeight="1">
      <c r="A2017" s="2" t="s">
        <v>5094</v>
      </c>
      <c r="B2017" s="2" t="s">
        <v>5094</v>
      </c>
      <c r="C2017" s="2" t="s">
        <v>195</v>
      </c>
      <c r="D2017" s="2" t="s">
        <v>50</v>
      </c>
      <c r="E2017" s="5">
        <v>-30720</v>
      </c>
      <c r="F2017" s="3" t="s">
        <v>373</v>
      </c>
      <c r="G2017" s="3" t="s">
        <v>276</v>
      </c>
      <c r="H2017" s="2" t="s">
        <v>72</v>
      </c>
      <c r="I2017" s="2" t="s">
        <v>5124</v>
      </c>
      <c r="J2017" s="3" t="str">
        <f>HYPERLINK("https://www.boe.es/gazeta/dias/1815/11/21/pdfs/GMD-1815-145.pdf#page=12","Abrir facsímil")</f>
        <v>Abrir facsímil</v>
      </c>
      <c r="K2017" s="3" t="s">
        <v>74</v>
      </c>
    </row>
    <row r="2018" spans="1:11" ht="42" customHeight="1">
      <c r="A2018" s="2" t="s">
        <v>5094</v>
      </c>
      <c r="B2018" s="2" t="s">
        <v>5094</v>
      </c>
      <c r="C2018" s="2" t="s">
        <v>49</v>
      </c>
      <c r="D2018" s="2" t="s">
        <v>50</v>
      </c>
      <c r="E2018" s="5">
        <v>-30692</v>
      </c>
      <c r="F2018" s="3" t="s">
        <v>508</v>
      </c>
      <c r="G2018" s="3" t="s">
        <v>509</v>
      </c>
      <c r="H2018" s="2" t="s">
        <v>72</v>
      </c>
      <c r="I2018" s="2" t="s">
        <v>5125</v>
      </c>
      <c r="J2018" s="3" t="str">
        <f>HYPERLINK("https://www.boe.es/gazeta/dias/1815/12/19/pdfs/GMD-1815-157.pdf#page=6","Abrir facsímil")</f>
        <v>Abrir facsímil</v>
      </c>
      <c r="K2018" s="3" t="s">
        <v>74</v>
      </c>
    </row>
    <row r="2019" spans="1:11" ht="42" customHeight="1">
      <c r="A2019" s="2" t="s">
        <v>5126</v>
      </c>
      <c r="B2019" s="2" t="s">
        <v>5126</v>
      </c>
      <c r="C2019" s="2" t="s">
        <v>49</v>
      </c>
      <c r="D2019" s="2" t="s">
        <v>50</v>
      </c>
      <c r="E2019" s="5">
        <v>-30979</v>
      </c>
      <c r="F2019" s="3" t="s">
        <v>56</v>
      </c>
      <c r="G2019" s="3" t="s">
        <v>27</v>
      </c>
      <c r="H2019" s="2" t="s">
        <v>72</v>
      </c>
      <c r="I2019" s="2" t="s">
        <v>5127</v>
      </c>
      <c r="J2019" s="3" t="str">
        <f>HYPERLINK("https://www.boe.es/gazeta/dias/1815/03/07/pdfs/GMD-1815-28.pdf#page=6","Abrir facsímil")</f>
        <v>Abrir facsímil</v>
      </c>
      <c r="K2019" s="3" t="s">
        <v>74</v>
      </c>
    </row>
    <row r="2020" spans="1:11" ht="42" customHeight="1">
      <c r="A2020" s="2" t="s">
        <v>5128</v>
      </c>
      <c r="B2020" s="2" t="s">
        <v>5128</v>
      </c>
      <c r="C2020" s="2" t="s">
        <v>49</v>
      </c>
      <c r="D2020" s="2" t="s">
        <v>50</v>
      </c>
      <c r="E2020" s="5">
        <v>-30818</v>
      </c>
      <c r="F2020" s="3" t="s">
        <v>334</v>
      </c>
      <c r="G2020" s="3" t="s">
        <v>224</v>
      </c>
      <c r="H2020" s="2" t="s">
        <v>72</v>
      </c>
      <c r="I2020" s="2" t="s">
        <v>5129</v>
      </c>
      <c r="J2020" s="3" t="str">
        <f>HYPERLINK("https://www.boe.es/gazeta/dias/1815/08/15/pdfs/GMD-1815-100.pdf#page=9","Abrir facsímil")</f>
        <v>Abrir facsímil</v>
      </c>
      <c r="K2020" s="3" t="s">
        <v>74</v>
      </c>
    </row>
    <row r="2021" spans="1:11" ht="42" customHeight="1">
      <c r="A2021" s="2" t="s">
        <v>5130</v>
      </c>
      <c r="B2021" s="2" t="s">
        <v>5131</v>
      </c>
      <c r="C2021" s="2" t="s">
        <v>17</v>
      </c>
      <c r="D2021" s="2" t="s">
        <v>18</v>
      </c>
      <c r="E2021" s="5">
        <v>-30870</v>
      </c>
      <c r="F2021" s="3" t="s">
        <v>122</v>
      </c>
      <c r="G2021" s="3" t="s">
        <v>276</v>
      </c>
      <c r="H2021" s="2" t="s">
        <v>72</v>
      </c>
      <c r="I2021" s="2" t="s">
        <v>5132</v>
      </c>
      <c r="J2021" s="3" t="str">
        <f>HYPERLINK("https://www.boe.es/gazeta/dias/1815/06/24/pdfs/GMD-1815-76.pdf#page=12","Abrir facsímil")</f>
        <v>Abrir facsímil</v>
      </c>
      <c r="K2021" s="3" t="s">
        <v>74</v>
      </c>
    </row>
    <row r="2022" spans="1:11" ht="42" customHeight="1">
      <c r="A2022" s="2" t="s">
        <v>5133</v>
      </c>
      <c r="B2022" s="2" t="s">
        <v>5134</v>
      </c>
      <c r="C2022" s="2" t="s">
        <v>17</v>
      </c>
      <c r="D2022" s="2" t="s">
        <v>18</v>
      </c>
      <c r="E2022" s="5">
        <v>-30944</v>
      </c>
      <c r="F2022" s="3" t="s">
        <v>412</v>
      </c>
      <c r="G2022" s="3" t="s">
        <v>38</v>
      </c>
      <c r="H2022" s="2" t="s">
        <v>72</v>
      </c>
      <c r="I2022" s="2" t="s">
        <v>5135</v>
      </c>
      <c r="J2022" s="3" t="str">
        <f>HYPERLINK("https://www.boe.es/gazeta/dias/1815/04/11/pdfs/GMD-1815-44.pdf#page=8","Abrir facsímil")</f>
        <v>Abrir facsímil</v>
      </c>
      <c r="K2022" s="3" t="s">
        <v>74</v>
      </c>
    </row>
    <row r="2023" spans="1:11" ht="42" customHeight="1">
      <c r="A2023" s="2" t="s">
        <v>5136</v>
      </c>
      <c r="B2023" s="2" t="s">
        <v>5136</v>
      </c>
      <c r="C2023" s="2" t="s">
        <v>31</v>
      </c>
      <c r="D2023" s="2" t="s">
        <v>32</v>
      </c>
      <c r="E2023" s="5">
        <v>-31038</v>
      </c>
      <c r="F2023" s="3" t="s">
        <v>395</v>
      </c>
      <c r="G2023" s="3" t="s">
        <v>396</v>
      </c>
      <c r="H2023" s="2" t="s">
        <v>72</v>
      </c>
      <c r="I2023" s="2" t="s">
        <v>5137</v>
      </c>
      <c r="J2023" s="3" t="str">
        <f>HYPERLINK("https://www.boe.es/gazeta/dias/1815/01/07/pdfs/GMD-1815-3.pdf#page=5","Abrir facsímil")</f>
        <v>Abrir facsímil</v>
      </c>
      <c r="K2023" s="3" t="s">
        <v>74</v>
      </c>
    </row>
    <row r="2024" spans="1:11" ht="42" customHeight="1">
      <c r="A2024" s="2" t="s">
        <v>5138</v>
      </c>
      <c r="B2024" s="2" t="s">
        <v>5139</v>
      </c>
      <c r="C2024" s="2" t="s">
        <v>17</v>
      </c>
      <c r="D2024" s="2" t="s">
        <v>18</v>
      </c>
      <c r="E2024" s="5">
        <v>-30949</v>
      </c>
      <c r="F2024" s="3" t="s">
        <v>420</v>
      </c>
      <c r="G2024" s="3" t="s">
        <v>377</v>
      </c>
      <c r="H2024" s="2" t="s">
        <v>72</v>
      </c>
      <c r="I2024" s="2" t="s">
        <v>5140</v>
      </c>
      <c r="J2024" s="3" t="str">
        <f>HYPERLINK("https://www.boe.es/gazeta/dias/1815/04/06/pdfs/GMD-1815-42.pdf#page=2","Abrir facsímil")</f>
        <v>Abrir facsímil</v>
      </c>
      <c r="K2024" s="3" t="s">
        <v>74</v>
      </c>
    </row>
    <row r="2025" spans="1:11" ht="42" customHeight="1">
      <c r="A2025" s="2" t="s">
        <v>5141</v>
      </c>
      <c r="B2025" s="2" t="s">
        <v>5142</v>
      </c>
      <c r="C2025" s="2" t="s">
        <v>17</v>
      </c>
      <c r="D2025" s="2" t="s">
        <v>18</v>
      </c>
      <c r="E2025" s="5">
        <v>-30825</v>
      </c>
      <c r="F2025" s="3" t="s">
        <v>669</v>
      </c>
      <c r="G2025" s="3" t="s">
        <v>38</v>
      </c>
      <c r="H2025" s="2" t="s">
        <v>21</v>
      </c>
      <c r="I2025" s="2" t="s">
        <v>5143</v>
      </c>
      <c r="J2025" s="3" t="str">
        <f>HYPERLINK("https://www.boe.es/gazeta/dias/1815/08/08/pdfs/GMD-1815-97.pdf#page=8","Abrir facsímil")</f>
        <v>Abrir facsímil</v>
      </c>
      <c r="K2025" s="3" t="s">
        <v>23</v>
      </c>
    </row>
    <row r="2026" spans="1:11" ht="42" customHeight="1">
      <c r="A2026" s="2" t="s">
        <v>5144</v>
      </c>
      <c r="B2026" s="2" t="s">
        <v>5144</v>
      </c>
      <c r="C2026" s="2" t="s">
        <v>49</v>
      </c>
      <c r="D2026" s="2" t="s">
        <v>50</v>
      </c>
      <c r="E2026" s="5">
        <v>-30914</v>
      </c>
      <c r="F2026" s="3" t="s">
        <v>338</v>
      </c>
      <c r="G2026" s="3" t="s">
        <v>224</v>
      </c>
      <c r="H2026" s="2" t="s">
        <v>72</v>
      </c>
      <c r="I2026" s="2" t="s">
        <v>5145</v>
      </c>
      <c r="J2026" s="3" t="str">
        <f>HYPERLINK("https://www.boe.es/gazeta/dias/1815/05/11/pdfs/GMD-1815-57.pdf#page=9","Abrir facsímil")</f>
        <v>Abrir facsímil</v>
      </c>
      <c r="K2026" s="3" t="s">
        <v>74</v>
      </c>
    </row>
    <row r="2027" spans="1:11" ht="42" customHeight="1">
      <c r="A2027" s="2" t="s">
        <v>5146</v>
      </c>
      <c r="B2027" s="2" t="s">
        <v>5146</v>
      </c>
      <c r="C2027" s="2" t="s">
        <v>31</v>
      </c>
      <c r="D2027" s="2" t="s">
        <v>32</v>
      </c>
      <c r="E2027" s="5">
        <v>-30823</v>
      </c>
      <c r="F2027" s="3" t="s">
        <v>305</v>
      </c>
      <c r="G2027" s="3" t="s">
        <v>57</v>
      </c>
      <c r="H2027" s="2" t="s">
        <v>72</v>
      </c>
      <c r="I2027" s="2" t="s">
        <v>5147</v>
      </c>
      <c r="J2027" s="3" t="str">
        <f>HYPERLINK("https://www.boe.es/gazeta/dias/1815/08/10/pdfs/GMD-1815-98.pdf#page=5","Abrir facsímil")</f>
        <v>Abrir facsímil</v>
      </c>
      <c r="K2027" s="3" t="s">
        <v>74</v>
      </c>
    </row>
    <row r="2028" spans="1:11" ht="42" customHeight="1">
      <c r="A2028" s="2" t="s">
        <v>5148</v>
      </c>
      <c r="B2028" s="2" t="s">
        <v>5149</v>
      </c>
      <c r="C2028" s="2" t="s">
        <v>31</v>
      </c>
      <c r="D2028" s="2" t="s">
        <v>32</v>
      </c>
      <c r="E2028" s="5">
        <v>-30748</v>
      </c>
      <c r="F2028" s="3" t="s">
        <v>2077</v>
      </c>
      <c r="G2028" s="3" t="s">
        <v>410</v>
      </c>
      <c r="H2028" s="2" t="s">
        <v>72</v>
      </c>
      <c r="I2028" s="2" t="s">
        <v>5150</v>
      </c>
      <c r="J2028" s="3" t="str">
        <f>HYPERLINK("https://www.boe.es/gazeta/dias/1815/10/24/pdfs/GMD-1815-133.pdf#page=1","Abrir facsímil")</f>
        <v>Abrir facsímil</v>
      </c>
      <c r="K2028" s="3" t="s">
        <v>74</v>
      </c>
    </row>
    <row r="2029" spans="1:11" ht="42" customHeight="1">
      <c r="A2029" s="2" t="s">
        <v>5151</v>
      </c>
      <c r="B2029" s="2" t="s">
        <v>5152</v>
      </c>
      <c r="C2029" s="2" t="s">
        <v>17</v>
      </c>
      <c r="D2029" s="2" t="s">
        <v>18</v>
      </c>
      <c r="E2029" s="5">
        <v>-30818</v>
      </c>
      <c r="F2029" s="3" t="s">
        <v>334</v>
      </c>
      <c r="G2029" s="3" t="s">
        <v>20</v>
      </c>
      <c r="H2029" s="2" t="s">
        <v>72</v>
      </c>
      <c r="I2029" s="2" t="s">
        <v>5153</v>
      </c>
      <c r="J2029" s="3" t="str">
        <f>HYPERLINK("https://www.boe.es/gazeta/dias/1815/08/15/pdfs/GMD-1815-100.pdf#page=4","Abrir facsímil")</f>
        <v>Abrir facsímil</v>
      </c>
      <c r="K2029" s="3" t="s">
        <v>74</v>
      </c>
    </row>
    <row r="2030" spans="1:11" ht="42" customHeight="1">
      <c r="A2030" s="2" t="s">
        <v>5154</v>
      </c>
      <c r="B2030" s="2" t="s">
        <v>5154</v>
      </c>
      <c r="C2030" s="2" t="s">
        <v>31</v>
      </c>
      <c r="D2030" s="2" t="s">
        <v>32</v>
      </c>
      <c r="E2030" s="5">
        <v>-30951</v>
      </c>
      <c r="F2030" s="3" t="s">
        <v>87</v>
      </c>
      <c r="G2030" s="3" t="s">
        <v>71</v>
      </c>
      <c r="H2030" s="2" t="s">
        <v>72</v>
      </c>
      <c r="I2030" s="2" t="s">
        <v>5155</v>
      </c>
      <c r="J2030" s="3" t="str">
        <f>HYPERLINK("https://www.boe.es/gazeta/dias/1815/04/04/pdfs/GMD-1815-41.pdf#page=7","Abrir facsímil")</f>
        <v>Abrir facsímil</v>
      </c>
      <c r="K2030" s="3" t="s">
        <v>74</v>
      </c>
    </row>
    <row r="2031" spans="1:11" ht="42" customHeight="1">
      <c r="A2031" s="2" t="s">
        <v>5156</v>
      </c>
      <c r="B2031" s="2" t="s">
        <v>5157</v>
      </c>
      <c r="C2031" s="2" t="s">
        <v>131</v>
      </c>
      <c r="D2031" s="2" t="s">
        <v>50</v>
      </c>
      <c r="E2031" s="5">
        <v>-30965</v>
      </c>
      <c r="F2031" s="3" t="s">
        <v>1679</v>
      </c>
      <c r="G2031" s="3" t="s">
        <v>38</v>
      </c>
      <c r="H2031" s="2" t="s">
        <v>72</v>
      </c>
      <c r="I2031" s="2" t="s">
        <v>5158</v>
      </c>
      <c r="J2031" s="3" t="str">
        <f>HYPERLINK("https://www.boe.es/gazeta/dias/1815/03/21/pdfs/GMD-1815-34.pdf#page=8","Abrir facsímil")</f>
        <v>Abrir facsímil</v>
      </c>
      <c r="K2031" s="3" t="s">
        <v>74</v>
      </c>
    </row>
    <row r="2032" spans="1:11" ht="42" customHeight="1">
      <c r="A2032" s="2" t="s">
        <v>5159</v>
      </c>
      <c r="B2032" s="2" t="s">
        <v>5160</v>
      </c>
      <c r="C2032" s="2" t="s">
        <v>31</v>
      </c>
      <c r="D2032" s="2" t="s">
        <v>32</v>
      </c>
      <c r="E2032" s="5">
        <v>-30870</v>
      </c>
      <c r="F2032" s="3" t="s">
        <v>122</v>
      </c>
      <c r="G2032" s="3" t="s">
        <v>276</v>
      </c>
      <c r="H2032" s="2" t="s">
        <v>21</v>
      </c>
      <c r="I2032" s="2" t="s">
        <v>5161</v>
      </c>
      <c r="J2032" s="3" t="str">
        <f>HYPERLINK("https://www.boe.es/gazeta/dias/1815/06/24/pdfs/GMD-1815-76.pdf#page=12","Abrir facsímil")</f>
        <v>Abrir facsímil</v>
      </c>
      <c r="K2032" s="3" t="s">
        <v>23</v>
      </c>
    </row>
    <row r="2033" spans="1:11" ht="42" customHeight="1">
      <c r="A2033" s="2" t="s">
        <v>5162</v>
      </c>
      <c r="B2033" s="2" t="s">
        <v>5163</v>
      </c>
      <c r="C2033" s="2" t="s">
        <v>31</v>
      </c>
      <c r="D2033" s="2" t="s">
        <v>32</v>
      </c>
      <c r="E2033" s="5">
        <v>-31038</v>
      </c>
      <c r="F2033" s="3" t="s">
        <v>395</v>
      </c>
      <c r="G2033" s="3" t="s">
        <v>71</v>
      </c>
      <c r="H2033" s="2" t="s">
        <v>72</v>
      </c>
      <c r="I2033" s="2" t="s">
        <v>5164</v>
      </c>
      <c r="J2033" s="3" t="str">
        <f>HYPERLINK("https://www.boe.es/gazeta/dias/1815/01/07/pdfs/GMD-1815-3.pdf#page=7","Abrir facsímil")</f>
        <v>Abrir facsímil</v>
      </c>
      <c r="K2033" s="3" t="s">
        <v>74</v>
      </c>
    </row>
    <row r="2034" spans="1:11" ht="42" customHeight="1">
      <c r="A2034" s="2" t="s">
        <v>5165</v>
      </c>
      <c r="B2034" s="2" t="s">
        <v>5166</v>
      </c>
      <c r="C2034" s="2" t="s">
        <v>31</v>
      </c>
      <c r="D2034" s="2" t="s">
        <v>32</v>
      </c>
      <c r="E2034" s="5">
        <v>-30916</v>
      </c>
      <c r="F2034" s="3" t="s">
        <v>147</v>
      </c>
      <c r="G2034" s="3" t="s">
        <v>38</v>
      </c>
      <c r="H2034" s="2" t="s">
        <v>72</v>
      </c>
      <c r="I2034" s="2" t="s">
        <v>5167</v>
      </c>
      <c r="J2034" s="3" t="str">
        <f>HYPERLINK("https://www.boe.es/gazeta/dias/1815/05/09/pdfs/GMD-1815-56.pdf#page=8","Abrir facsímil")</f>
        <v>Abrir facsímil</v>
      </c>
      <c r="K2034" s="3" t="s">
        <v>74</v>
      </c>
    </row>
    <row r="2035" spans="1:11" ht="42" customHeight="1">
      <c r="A2035" s="2" t="s">
        <v>5168</v>
      </c>
      <c r="B2035" s="2" t="s">
        <v>5169</v>
      </c>
      <c r="C2035" s="2" t="s">
        <v>31</v>
      </c>
      <c r="D2035" s="2" t="s">
        <v>32</v>
      </c>
      <c r="E2035" s="5">
        <v>-31000</v>
      </c>
      <c r="F2035" s="3" t="s">
        <v>70</v>
      </c>
      <c r="G2035" s="3" t="s">
        <v>20</v>
      </c>
      <c r="H2035" s="2" t="s">
        <v>72</v>
      </c>
      <c r="I2035" s="2" t="s">
        <v>5170</v>
      </c>
      <c r="J2035" s="3" t="str">
        <f>HYPERLINK("https://www.boe.es/gazeta/dias/1815/02/14/pdfs/GMD-1815-19.pdf#page=4","Abrir facsímil")</f>
        <v>Abrir facsímil</v>
      </c>
      <c r="K2035" s="3" t="s">
        <v>74</v>
      </c>
    </row>
    <row r="2036" spans="1:11" ht="42" customHeight="1">
      <c r="A2036" s="2" t="s">
        <v>5171</v>
      </c>
      <c r="B2036" s="2" t="s">
        <v>5171</v>
      </c>
      <c r="C2036" s="2" t="s">
        <v>31</v>
      </c>
      <c r="D2036" s="2" t="s">
        <v>32</v>
      </c>
      <c r="E2036" s="5">
        <v>-30739</v>
      </c>
      <c r="F2036" s="3" t="s">
        <v>254</v>
      </c>
      <c r="G2036" s="3" t="s">
        <v>20</v>
      </c>
      <c r="H2036" s="2" t="s">
        <v>72</v>
      </c>
      <c r="I2036" s="2" t="s">
        <v>5172</v>
      </c>
      <c r="J2036" s="3" t="str">
        <f>HYPERLINK("https://www.boe.es/gazeta/dias/1815/11/02/pdfs/GMD-1815-137.pdf#page=4","Abrir facsímil")</f>
        <v>Abrir facsímil</v>
      </c>
      <c r="K2036" s="3" t="s">
        <v>74</v>
      </c>
    </row>
    <row r="2037" spans="1:11" ht="42" customHeight="1">
      <c r="A2037" s="2" t="s">
        <v>5173</v>
      </c>
      <c r="B2037" s="2" t="s">
        <v>5173</v>
      </c>
      <c r="C2037" s="2" t="s">
        <v>31</v>
      </c>
      <c r="D2037" s="2" t="s">
        <v>32</v>
      </c>
      <c r="E2037" s="5">
        <v>-30823</v>
      </c>
      <c r="F2037" s="3" t="s">
        <v>305</v>
      </c>
      <c r="G2037" s="3" t="s">
        <v>97</v>
      </c>
      <c r="H2037" s="2" t="s">
        <v>72</v>
      </c>
      <c r="I2037" s="2" t="s">
        <v>5174</v>
      </c>
      <c r="J2037" s="3" t="str">
        <f>HYPERLINK("https://www.boe.es/gazeta/dias/1815/08/10/pdfs/GMD-1815-98.pdf#page=3","Abrir facsímil")</f>
        <v>Abrir facsímil</v>
      </c>
      <c r="K2037" s="3" t="s">
        <v>74</v>
      </c>
    </row>
    <row r="2038" spans="1:11" ht="42" customHeight="1">
      <c r="A2038" s="2" t="s">
        <v>5175</v>
      </c>
      <c r="B2038" s="2" t="s">
        <v>5176</v>
      </c>
      <c r="C2038" s="2" t="s">
        <v>31</v>
      </c>
      <c r="D2038" s="2" t="s">
        <v>32</v>
      </c>
      <c r="E2038" s="5">
        <v>-30958</v>
      </c>
      <c r="F2038" s="3" t="s">
        <v>297</v>
      </c>
      <c r="G2038" s="3" t="s">
        <v>57</v>
      </c>
      <c r="H2038" s="2" t="s">
        <v>72</v>
      </c>
      <c r="I2038" s="2" t="s">
        <v>5177</v>
      </c>
      <c r="J2038" s="3" t="str">
        <f>HYPERLINK("https://www.boe.es/gazeta/dias/1815/03/28/pdfs/GMD-1815-37.pdf#page=5","Abrir facsímil")</f>
        <v>Abrir facsímil</v>
      </c>
      <c r="K2038" s="3" t="s">
        <v>74</v>
      </c>
    </row>
    <row r="2039" spans="1:11" ht="42" customHeight="1">
      <c r="A2039" s="2" t="s">
        <v>5178</v>
      </c>
      <c r="B2039" s="2" t="s">
        <v>5178</v>
      </c>
      <c r="C2039" s="2" t="s">
        <v>31</v>
      </c>
      <c r="D2039" s="2" t="s">
        <v>32</v>
      </c>
      <c r="E2039" s="5">
        <v>-30821</v>
      </c>
      <c r="F2039" s="3" t="s">
        <v>915</v>
      </c>
      <c r="G2039" s="3" t="s">
        <v>410</v>
      </c>
      <c r="H2039" s="2" t="s">
        <v>72</v>
      </c>
      <c r="I2039" s="2" t="s">
        <v>5179</v>
      </c>
      <c r="J2039" s="3" t="str">
        <f>HYPERLINK("https://www.boe.es/gazeta/dias/1815/08/12/pdfs/GMD-1815-99.pdf#page=1","Abrir facsímil")</f>
        <v>Abrir facsímil</v>
      </c>
      <c r="K2039" s="3" t="s">
        <v>74</v>
      </c>
    </row>
    <row r="2040" spans="1:11" ht="42" customHeight="1">
      <c r="A2040" s="2" t="s">
        <v>5180</v>
      </c>
      <c r="B2040" s="2" t="s">
        <v>5180</v>
      </c>
      <c r="C2040" s="2" t="s">
        <v>31</v>
      </c>
      <c r="D2040" s="2" t="s">
        <v>32</v>
      </c>
      <c r="E2040" s="5">
        <v>-30851</v>
      </c>
      <c r="F2040" s="3" t="s">
        <v>442</v>
      </c>
      <c r="G2040" s="3" t="s">
        <v>410</v>
      </c>
      <c r="H2040" s="2" t="s">
        <v>72</v>
      </c>
      <c r="I2040" s="2" t="s">
        <v>5181</v>
      </c>
      <c r="J2040" s="3" t="str">
        <f>HYPERLINK("https://www.boe.es/gazeta/dias/1815/07/13/pdfs/GMD-1815-86.pdf#page=1","Abrir facsímil")</f>
        <v>Abrir facsímil</v>
      </c>
      <c r="K2040" s="3" t="s">
        <v>74</v>
      </c>
    </row>
    <row r="2041" spans="1:11" ht="42" customHeight="1">
      <c r="A2041" s="2" t="s">
        <v>5182</v>
      </c>
      <c r="B2041" s="2" t="s">
        <v>5182</v>
      </c>
      <c r="C2041" s="2" t="s">
        <v>31</v>
      </c>
      <c r="D2041" s="2" t="s">
        <v>32</v>
      </c>
      <c r="E2041" s="5">
        <v>-30839</v>
      </c>
      <c r="F2041" s="3" t="s">
        <v>616</v>
      </c>
      <c r="G2041" s="3" t="s">
        <v>377</v>
      </c>
      <c r="H2041" s="2" t="s">
        <v>72</v>
      </c>
      <c r="I2041" s="2" t="s">
        <v>5183</v>
      </c>
      <c r="J2041" s="3" t="str">
        <f>HYPERLINK("https://www.boe.es/gazeta/dias/1815/07/25/pdfs/GMD-1815-91.pdf#page=2","Abrir facsímil")</f>
        <v>Abrir facsímil</v>
      </c>
      <c r="K2041" s="3" t="s">
        <v>74</v>
      </c>
    </row>
    <row r="2042" spans="1:11" ht="42" customHeight="1">
      <c r="A2042" s="2" t="s">
        <v>5182</v>
      </c>
      <c r="B2042" s="2" t="s">
        <v>5182</v>
      </c>
      <c r="C2042" s="2" t="s">
        <v>31</v>
      </c>
      <c r="D2042" s="2" t="s">
        <v>32</v>
      </c>
      <c r="E2042" s="5">
        <v>-30828</v>
      </c>
      <c r="F2042" s="3" t="s">
        <v>1402</v>
      </c>
      <c r="G2042" s="3" t="s">
        <v>97</v>
      </c>
      <c r="H2042" s="2" t="s">
        <v>72</v>
      </c>
      <c r="I2042" s="2" t="s">
        <v>5184</v>
      </c>
      <c r="J2042" s="3" t="str">
        <f>HYPERLINK("https://www.boe.es/gazeta/dias/1815/08/05/pdfs/GMD-1815-96.pdf#page=3","Abrir facsímil")</f>
        <v>Abrir facsímil</v>
      </c>
      <c r="K2042" s="3" t="s">
        <v>74</v>
      </c>
    </row>
    <row r="2043" spans="1:11" ht="42" customHeight="1">
      <c r="A2043" s="2" t="s">
        <v>5182</v>
      </c>
      <c r="B2043" s="2" t="s">
        <v>5182</v>
      </c>
      <c r="C2043" s="2" t="s">
        <v>31</v>
      </c>
      <c r="D2043" s="2" t="s">
        <v>32</v>
      </c>
      <c r="E2043" s="5">
        <v>-30828</v>
      </c>
      <c r="F2043" s="3" t="s">
        <v>1402</v>
      </c>
      <c r="G2043" s="3" t="s">
        <v>20</v>
      </c>
      <c r="H2043" s="2" t="s">
        <v>72</v>
      </c>
      <c r="I2043" s="2" t="s">
        <v>5185</v>
      </c>
      <c r="J2043" s="3" t="str">
        <f>HYPERLINK("https://www.boe.es/gazeta/dias/1815/08/05/pdfs/GMD-1815-96.pdf#page=4","Abrir facsímil")</f>
        <v>Abrir facsímil</v>
      </c>
      <c r="K2043" s="3" t="s">
        <v>74</v>
      </c>
    </row>
    <row r="2044" spans="1:11" ht="42" customHeight="1">
      <c r="A2044" s="2" t="s">
        <v>5182</v>
      </c>
      <c r="B2044" s="2" t="s">
        <v>5182</v>
      </c>
      <c r="C2044" s="2" t="s">
        <v>31</v>
      </c>
      <c r="D2044" s="2" t="s">
        <v>32</v>
      </c>
      <c r="E2044" s="5">
        <v>-30823</v>
      </c>
      <c r="F2044" s="3" t="s">
        <v>305</v>
      </c>
      <c r="G2044" s="3" t="s">
        <v>57</v>
      </c>
      <c r="H2044" s="2" t="s">
        <v>72</v>
      </c>
      <c r="I2044" s="2" t="s">
        <v>5186</v>
      </c>
      <c r="J2044" s="3" t="str">
        <f>HYPERLINK("https://www.boe.es/gazeta/dias/1815/08/10/pdfs/GMD-1815-98.pdf#page=5","Abrir facsímil")</f>
        <v>Abrir facsímil</v>
      </c>
      <c r="K2044" s="3" t="s">
        <v>74</v>
      </c>
    </row>
    <row r="2045" spans="1:11" ht="42" customHeight="1">
      <c r="A2045" s="2" t="s">
        <v>5182</v>
      </c>
      <c r="B2045" s="2" t="s">
        <v>5182</v>
      </c>
      <c r="C2045" s="2" t="s">
        <v>31</v>
      </c>
      <c r="D2045" s="2" t="s">
        <v>32</v>
      </c>
      <c r="E2045" s="5">
        <v>-30809</v>
      </c>
      <c r="F2045" s="3" t="s">
        <v>82</v>
      </c>
      <c r="G2045" s="3" t="s">
        <v>377</v>
      </c>
      <c r="H2045" s="2" t="s">
        <v>72</v>
      </c>
      <c r="I2045" s="2" t="s">
        <v>5187</v>
      </c>
      <c r="J2045" s="3" t="str">
        <f>HYPERLINK("https://www.boe.es/gazeta/dias/1815/08/24/pdfs/GMD-1815-104.pdf#page=2","Abrir facsímil")</f>
        <v>Abrir facsímil</v>
      </c>
      <c r="K2045" s="3" t="s">
        <v>74</v>
      </c>
    </row>
    <row r="2046" spans="1:11" ht="42" customHeight="1">
      <c r="A2046" s="2" t="s">
        <v>5182</v>
      </c>
      <c r="B2046" s="2" t="s">
        <v>5182</v>
      </c>
      <c r="C2046" s="2" t="s">
        <v>31</v>
      </c>
      <c r="D2046" s="2" t="s">
        <v>32</v>
      </c>
      <c r="E2046" s="5">
        <v>-30739</v>
      </c>
      <c r="F2046" s="3" t="s">
        <v>254</v>
      </c>
      <c r="G2046" s="3" t="s">
        <v>97</v>
      </c>
      <c r="H2046" s="2" t="s">
        <v>72</v>
      </c>
      <c r="I2046" s="2" t="s">
        <v>5188</v>
      </c>
      <c r="J2046" s="3" t="str">
        <f>HYPERLINK("https://www.boe.es/gazeta/dias/1815/11/02/pdfs/GMD-1815-137.pdf#page=3","Abrir facsímil")</f>
        <v>Abrir facsímil</v>
      </c>
      <c r="K2046" s="3" t="s">
        <v>74</v>
      </c>
    </row>
    <row r="2047" spans="1:11" ht="42" customHeight="1">
      <c r="A2047" s="2" t="s">
        <v>5182</v>
      </c>
      <c r="B2047" s="2" t="s">
        <v>5182</v>
      </c>
      <c r="C2047" s="2" t="s">
        <v>31</v>
      </c>
      <c r="D2047" s="2" t="s">
        <v>32</v>
      </c>
      <c r="E2047" s="5">
        <v>-30713</v>
      </c>
      <c r="F2047" s="3" t="s">
        <v>895</v>
      </c>
      <c r="G2047" s="3" t="s">
        <v>377</v>
      </c>
      <c r="H2047" s="2" t="s">
        <v>72</v>
      </c>
      <c r="I2047" s="2" t="s">
        <v>5189</v>
      </c>
      <c r="J2047" s="3" t="str">
        <f>HYPERLINK("https://www.boe.es/gazeta/dias/1815/11/28/pdfs/GMD-1815-148.pdf#page=2","Abrir facsímil")</f>
        <v>Abrir facsímil</v>
      </c>
      <c r="K2047" s="3" t="s">
        <v>74</v>
      </c>
    </row>
    <row r="2048" spans="1:11" ht="42" customHeight="1">
      <c r="A2048" s="2" t="s">
        <v>5182</v>
      </c>
      <c r="B2048" s="2" t="s">
        <v>5182</v>
      </c>
      <c r="C2048" s="2" t="s">
        <v>31</v>
      </c>
      <c r="D2048" s="2" t="s">
        <v>32</v>
      </c>
      <c r="E2048" s="5">
        <v>-30681</v>
      </c>
      <c r="F2048" s="3" t="s">
        <v>2093</v>
      </c>
      <c r="G2048" s="3" t="s">
        <v>57</v>
      </c>
      <c r="H2048" s="2" t="s">
        <v>72</v>
      </c>
      <c r="I2048" s="2" t="s">
        <v>5190</v>
      </c>
      <c r="J2048" s="3" t="str">
        <f>HYPERLINK("https://www.boe.es/gazeta/dias/1815/12/30/pdfs/GMD-1815-162.pdf#page=5","Abrir facsímil")</f>
        <v>Abrir facsímil</v>
      </c>
      <c r="K2048" s="3" t="s">
        <v>74</v>
      </c>
    </row>
    <row r="2049" spans="1:11" ht="42" customHeight="1">
      <c r="A2049" s="2" t="s">
        <v>5191</v>
      </c>
      <c r="B2049" s="2" t="s">
        <v>5192</v>
      </c>
      <c r="C2049" s="2" t="s">
        <v>49</v>
      </c>
      <c r="D2049" s="2" t="s">
        <v>50</v>
      </c>
      <c r="E2049" s="5">
        <v>-30804</v>
      </c>
      <c r="F2049" s="3" t="s">
        <v>891</v>
      </c>
      <c r="G2049" s="3" t="s">
        <v>38</v>
      </c>
      <c r="H2049" s="2" t="s">
        <v>72</v>
      </c>
      <c r="I2049" s="2" t="s">
        <v>5193</v>
      </c>
      <c r="J2049" s="3" t="str">
        <f>HYPERLINK("https://www.boe.es/gazeta/dias/1815/08/29/pdfs/GMD-1815-106.pdf#page=8","Abrir facsímil")</f>
        <v>Abrir facsímil</v>
      </c>
      <c r="K2049" s="3" t="s">
        <v>74</v>
      </c>
    </row>
    <row r="2050" spans="1:11" ht="42" customHeight="1">
      <c r="A2050" s="2" t="s">
        <v>5194</v>
      </c>
      <c r="B2050" s="2" t="s">
        <v>5195</v>
      </c>
      <c r="C2050" s="2" t="s">
        <v>31</v>
      </c>
      <c r="D2050" s="2" t="s">
        <v>32</v>
      </c>
      <c r="E2050" s="5">
        <v>-30823</v>
      </c>
      <c r="F2050" s="3" t="s">
        <v>305</v>
      </c>
      <c r="G2050" s="3" t="s">
        <v>306</v>
      </c>
      <c r="H2050" s="2" t="s">
        <v>72</v>
      </c>
      <c r="I2050" s="2" t="s">
        <v>5196</v>
      </c>
      <c r="J2050" s="3" t="str">
        <f>HYPERLINK("https://www.boe.es/gazeta/dias/1815/08/10/pdfs/GMD-1815-98.pdf#page=7","Abrir facsímil")</f>
        <v>Abrir facsímil</v>
      </c>
      <c r="K2050" s="3" t="s">
        <v>74</v>
      </c>
    </row>
    <row r="2051" spans="1:11" ht="42" customHeight="1">
      <c r="A2051" s="2" t="s">
        <v>5197</v>
      </c>
      <c r="B2051" s="2" t="s">
        <v>5198</v>
      </c>
      <c r="C2051" s="2" t="s">
        <v>31</v>
      </c>
      <c r="D2051" s="2" t="s">
        <v>32</v>
      </c>
      <c r="E2051" s="5">
        <v>-30958</v>
      </c>
      <c r="F2051" s="3" t="s">
        <v>297</v>
      </c>
      <c r="G2051" s="3" t="s">
        <v>71</v>
      </c>
      <c r="H2051" s="2" t="s">
        <v>72</v>
      </c>
      <c r="I2051" s="2" t="s">
        <v>5199</v>
      </c>
      <c r="J2051" s="3" t="str">
        <f>HYPERLINK("https://www.boe.es/gazeta/dias/1815/03/28/pdfs/GMD-1815-37.pdf#page=7","Abrir facsímil")</f>
        <v>Abrir facsímil</v>
      </c>
      <c r="K2051" s="3" t="s">
        <v>74</v>
      </c>
    </row>
    <row r="2052" spans="1:11" ht="42" customHeight="1">
      <c r="A2052" s="2" t="s">
        <v>5200</v>
      </c>
      <c r="B2052" s="2" t="s">
        <v>5201</v>
      </c>
      <c r="C2052" s="2" t="s">
        <v>49</v>
      </c>
      <c r="D2052" s="2" t="s">
        <v>50</v>
      </c>
      <c r="E2052" s="5">
        <v>-30886</v>
      </c>
      <c r="F2052" s="3" t="s">
        <v>140</v>
      </c>
      <c r="G2052" s="3" t="s">
        <v>224</v>
      </c>
      <c r="H2052" s="2" t="s">
        <v>72</v>
      </c>
      <c r="I2052" s="2" t="s">
        <v>5202</v>
      </c>
      <c r="J2052" s="3" t="str">
        <f>HYPERLINK("https://www.boe.es/gazeta/dias/1815/06/08/pdfs/GMD-1815-69.pdf#page=9","Abrir facsímil")</f>
        <v>Abrir facsímil</v>
      </c>
      <c r="K2052" s="3" t="s">
        <v>74</v>
      </c>
    </row>
    <row r="2053" spans="1:11" ht="42" customHeight="1">
      <c r="A2053" s="2" t="s">
        <v>5203</v>
      </c>
      <c r="B2053" s="2" t="s">
        <v>5204</v>
      </c>
      <c r="C2053" s="2" t="s">
        <v>195</v>
      </c>
      <c r="D2053" s="2" t="s">
        <v>50</v>
      </c>
      <c r="E2053" s="5">
        <v>-30713</v>
      </c>
      <c r="F2053" s="3" t="s">
        <v>895</v>
      </c>
      <c r="G2053" s="3" t="s">
        <v>38</v>
      </c>
      <c r="H2053" s="2" t="s">
        <v>72</v>
      </c>
      <c r="I2053" s="2" t="s">
        <v>5205</v>
      </c>
      <c r="J2053" s="3" t="str">
        <f>HYPERLINK("https://www.boe.es/gazeta/dias/1815/11/28/pdfs/GMD-1815-148.pdf#page=8","Abrir facsímil")</f>
        <v>Abrir facsímil</v>
      </c>
      <c r="K2053" s="3" t="s">
        <v>74</v>
      </c>
    </row>
    <row r="2054" spans="1:11" ht="42" customHeight="1">
      <c r="A2054" s="2" t="s">
        <v>5206</v>
      </c>
      <c r="B2054" s="2" t="s">
        <v>5207</v>
      </c>
      <c r="C2054" s="2" t="s">
        <v>195</v>
      </c>
      <c r="D2054" s="2" t="s">
        <v>50</v>
      </c>
      <c r="E2054" s="5">
        <v>-30874</v>
      </c>
      <c r="F2054" s="3" t="s">
        <v>208</v>
      </c>
      <c r="G2054" s="3" t="s">
        <v>38</v>
      </c>
      <c r="H2054" s="2" t="s">
        <v>72</v>
      </c>
      <c r="I2054" s="2" t="s">
        <v>5208</v>
      </c>
      <c r="J2054" s="3" t="str">
        <f>HYPERLINK("https://www.boe.es/gazeta/dias/1815/06/20/pdfs/GMD-1815-74.pdf#page=8","Abrir facsímil")</f>
        <v>Abrir facsímil</v>
      </c>
      <c r="K2054" s="3" t="s">
        <v>74</v>
      </c>
    </row>
    <row r="2055" spans="1:11" ht="42" customHeight="1">
      <c r="A2055" s="2" t="s">
        <v>5209</v>
      </c>
      <c r="B2055" s="2" t="s">
        <v>5210</v>
      </c>
      <c r="C2055" s="2" t="s">
        <v>195</v>
      </c>
      <c r="D2055" s="2" t="s">
        <v>50</v>
      </c>
      <c r="E2055" s="5">
        <v>-30874</v>
      </c>
      <c r="F2055" s="3" t="s">
        <v>208</v>
      </c>
      <c r="G2055" s="3" t="s">
        <v>38</v>
      </c>
      <c r="H2055" s="2" t="s">
        <v>72</v>
      </c>
      <c r="I2055" s="2" t="s">
        <v>5211</v>
      </c>
      <c r="J2055" s="3" t="str">
        <f>HYPERLINK("https://www.boe.es/gazeta/dias/1815/06/20/pdfs/GMD-1815-74.pdf#page=8","Abrir facsímil")</f>
        <v>Abrir facsímil</v>
      </c>
      <c r="K2055" s="3" t="s">
        <v>74</v>
      </c>
    </row>
    <row r="2056" spans="1:11" ht="42" customHeight="1">
      <c r="A2056" s="2" t="s">
        <v>5212</v>
      </c>
      <c r="B2056" s="2" t="s">
        <v>5213</v>
      </c>
      <c r="C2056" s="2" t="s">
        <v>49</v>
      </c>
      <c r="D2056" s="2" t="s">
        <v>50</v>
      </c>
      <c r="E2056" s="5">
        <v>-31038</v>
      </c>
      <c r="F2056" s="3" t="s">
        <v>395</v>
      </c>
      <c r="G2056" s="3" t="s">
        <v>396</v>
      </c>
      <c r="H2056" s="2" t="s">
        <v>72</v>
      </c>
      <c r="I2056" s="2" t="s">
        <v>5214</v>
      </c>
      <c r="J2056" s="3" t="str">
        <f>HYPERLINK("https://www.boe.es/gazeta/dias/1815/01/07/pdfs/GMD-1815-3.pdf#page=5","Abrir facsímil")</f>
        <v>Abrir facsímil</v>
      </c>
      <c r="K2056" s="3" t="s">
        <v>74</v>
      </c>
    </row>
    <row r="2057" spans="1:11" ht="42" customHeight="1">
      <c r="A2057" s="2" t="s">
        <v>5215</v>
      </c>
      <c r="B2057" s="2" t="s">
        <v>5216</v>
      </c>
      <c r="C2057" s="2" t="s">
        <v>61</v>
      </c>
      <c r="D2057" s="2" t="s">
        <v>50</v>
      </c>
      <c r="E2057" s="5">
        <v>-30739</v>
      </c>
      <c r="F2057" s="3" t="s">
        <v>254</v>
      </c>
      <c r="G2057" s="3" t="s">
        <v>276</v>
      </c>
      <c r="H2057" s="2" t="s">
        <v>72</v>
      </c>
      <c r="I2057" s="2" t="s">
        <v>5217</v>
      </c>
      <c r="J2057" s="3" t="str">
        <f>HYPERLINK("https://www.boe.es/gazeta/dias/1815/11/02/pdfs/GMD-1815-137.pdf#page=12","Abrir facsímil")</f>
        <v>Abrir facsímil</v>
      </c>
      <c r="K2057" s="3" t="s">
        <v>74</v>
      </c>
    </row>
    <row r="2058" spans="1:11" ht="42" customHeight="1">
      <c r="A2058" s="2" t="s">
        <v>5218</v>
      </c>
      <c r="B2058" s="2" t="s">
        <v>5218</v>
      </c>
      <c r="C2058" s="2" t="s">
        <v>31</v>
      </c>
      <c r="D2058" s="2" t="s">
        <v>32</v>
      </c>
      <c r="E2058" s="5">
        <v>-30849</v>
      </c>
      <c r="F2058" s="3" t="s">
        <v>501</v>
      </c>
      <c r="G2058" s="3" t="s">
        <v>88</v>
      </c>
      <c r="H2058" s="2" t="s">
        <v>72</v>
      </c>
      <c r="I2058" s="2" t="s">
        <v>5219</v>
      </c>
      <c r="J2058" s="3" t="str">
        <f>HYPERLINK("https://www.boe.es/gazeta/dias/1815/07/15/pdfs/GMD-1815-87.pdf#page=10","Abrir facsímil")</f>
        <v>Abrir facsímil</v>
      </c>
      <c r="K2058" s="3" t="s">
        <v>74</v>
      </c>
    </row>
    <row r="2059" spans="1:11" ht="42" customHeight="1">
      <c r="A2059" s="2" t="s">
        <v>5220</v>
      </c>
      <c r="B2059" s="2" t="s">
        <v>5220</v>
      </c>
      <c r="C2059" s="2" t="s">
        <v>49</v>
      </c>
      <c r="D2059" s="2" t="s">
        <v>50</v>
      </c>
      <c r="E2059" s="5">
        <v>-30788</v>
      </c>
      <c r="F2059" s="3" t="s">
        <v>96</v>
      </c>
      <c r="G2059" s="3" t="s">
        <v>410</v>
      </c>
      <c r="H2059" s="2" t="s">
        <v>72</v>
      </c>
      <c r="I2059" s="2" t="s">
        <v>5221</v>
      </c>
      <c r="J2059" s="3" t="str">
        <f>HYPERLINK("https://www.boe.es/gazeta/dias/1815/09/14/pdfs/GMD-1815-114.pdf#page=1","Abrir facsímil")</f>
        <v>Abrir facsímil</v>
      </c>
      <c r="K2059" s="3" t="s">
        <v>74</v>
      </c>
    </row>
    <row r="2060" spans="1:11" ht="42" customHeight="1">
      <c r="A2060" s="2" t="s">
        <v>5222</v>
      </c>
      <c r="B2060" s="2" t="s">
        <v>5223</v>
      </c>
      <c r="C2060" s="2" t="s">
        <v>17</v>
      </c>
      <c r="D2060" s="2" t="s">
        <v>18</v>
      </c>
      <c r="E2060" s="5">
        <v>-30755</v>
      </c>
      <c r="F2060" s="3" t="s">
        <v>598</v>
      </c>
      <c r="G2060" s="3" t="s">
        <v>276</v>
      </c>
      <c r="H2060" s="2" t="s">
        <v>72</v>
      </c>
      <c r="I2060" s="2" t="s">
        <v>5224</v>
      </c>
      <c r="J2060" s="3" t="str">
        <f>HYPERLINK("https://www.boe.es/gazeta/dias/1815/10/17/pdfs/GMD-1815-130.pdf#page=12","Abrir facsímil")</f>
        <v>Abrir facsímil</v>
      </c>
      <c r="K2060" s="3" t="s">
        <v>74</v>
      </c>
    </row>
    <row r="2061" spans="1:11" ht="42" customHeight="1">
      <c r="A2061" s="2" t="s">
        <v>5225</v>
      </c>
      <c r="B2061" s="2" t="s">
        <v>5225</v>
      </c>
      <c r="C2061" s="2" t="s">
        <v>31</v>
      </c>
      <c r="D2061" s="2" t="s">
        <v>32</v>
      </c>
      <c r="E2061" s="5">
        <v>-30823</v>
      </c>
      <c r="F2061" s="3" t="s">
        <v>305</v>
      </c>
      <c r="G2061" s="3" t="s">
        <v>20</v>
      </c>
      <c r="H2061" s="2" t="s">
        <v>72</v>
      </c>
      <c r="I2061" s="2" t="s">
        <v>5226</v>
      </c>
      <c r="J2061" s="3" t="str">
        <f>HYPERLINK("https://www.boe.es/gazeta/dias/1815/08/10/pdfs/GMD-1815-98.pdf#page=4","Abrir facsímil")</f>
        <v>Abrir facsímil</v>
      </c>
      <c r="K2061" s="3" t="s">
        <v>74</v>
      </c>
    </row>
    <row r="2062" spans="1:11" ht="42" customHeight="1">
      <c r="A2062" s="2" t="s">
        <v>5227</v>
      </c>
      <c r="B2062" s="2" t="s">
        <v>5228</v>
      </c>
      <c r="C2062" s="2" t="s">
        <v>31</v>
      </c>
      <c r="D2062" s="2" t="s">
        <v>32</v>
      </c>
      <c r="E2062" s="5">
        <v>-30865</v>
      </c>
      <c r="F2062" s="3" t="s">
        <v>163</v>
      </c>
      <c r="G2062" s="3" t="s">
        <v>27</v>
      </c>
      <c r="H2062" s="2" t="s">
        <v>21</v>
      </c>
      <c r="I2062" s="2" t="s">
        <v>5229</v>
      </c>
      <c r="J2062" s="3" t="str">
        <f>HYPERLINK("https://www.boe.es/gazeta/dias/1815/06/29/pdfs/GMD-1815-78.pdf#page=6","Abrir facsímil")</f>
        <v>Abrir facsímil</v>
      </c>
      <c r="K2062" s="3" t="s">
        <v>23</v>
      </c>
    </row>
    <row r="2063" spans="1:11" ht="42" customHeight="1">
      <c r="A2063" s="2" t="s">
        <v>5230</v>
      </c>
      <c r="B2063" s="2" t="s">
        <v>5231</v>
      </c>
      <c r="C2063" s="2" t="s">
        <v>49</v>
      </c>
      <c r="D2063" s="2" t="s">
        <v>50</v>
      </c>
      <c r="E2063" s="5">
        <v>-30863</v>
      </c>
      <c r="F2063" s="3" t="s">
        <v>110</v>
      </c>
      <c r="G2063" s="3" t="s">
        <v>224</v>
      </c>
      <c r="H2063" s="2" t="s">
        <v>21</v>
      </c>
      <c r="I2063" s="2" t="s">
        <v>5232</v>
      </c>
      <c r="J2063" s="3" t="str">
        <f>HYPERLINK("https://www.boe.es/gazeta/dias/1815/07/01/pdfs/GMD-1815-79.pdf#page=9","Abrir facsímil")</f>
        <v>Abrir facsímil</v>
      </c>
      <c r="K2063" s="3" t="s">
        <v>23</v>
      </c>
    </row>
    <row r="2064" spans="1:11" ht="42" customHeight="1">
      <c r="A2064" s="2" t="s">
        <v>5233</v>
      </c>
      <c r="B2064" s="2" t="s">
        <v>5234</v>
      </c>
      <c r="C2064" s="2" t="s">
        <v>31</v>
      </c>
      <c r="D2064" s="2" t="s">
        <v>32</v>
      </c>
      <c r="E2064" s="5">
        <v>-30891</v>
      </c>
      <c r="F2064" s="3" t="s">
        <v>498</v>
      </c>
      <c r="G2064" s="3" t="s">
        <v>71</v>
      </c>
      <c r="H2064" s="2" t="s">
        <v>21</v>
      </c>
      <c r="I2064" s="2" t="s">
        <v>5235</v>
      </c>
      <c r="J2064" s="3" t="str">
        <f>HYPERLINK("https://www.boe.es/gazeta/dias/1815/06/03/pdfs/GMD-1815-67.pdf#page=7","Abrir facsímil")</f>
        <v>Abrir facsímil</v>
      </c>
      <c r="K2064" s="3" t="s">
        <v>23</v>
      </c>
    </row>
    <row r="2065" spans="1:11" ht="42" customHeight="1">
      <c r="A2065" s="2" t="s">
        <v>5236</v>
      </c>
      <c r="B2065" s="2" t="s">
        <v>5237</v>
      </c>
      <c r="C2065" s="2" t="s">
        <v>17</v>
      </c>
      <c r="D2065" s="2" t="s">
        <v>18</v>
      </c>
      <c r="E2065" s="5">
        <v>-30837</v>
      </c>
      <c r="F2065" s="3" t="s">
        <v>2256</v>
      </c>
      <c r="G2065" s="3" t="s">
        <v>38</v>
      </c>
      <c r="H2065" s="2" t="s">
        <v>72</v>
      </c>
      <c r="I2065" s="2" t="s">
        <v>5238</v>
      </c>
      <c r="J2065" s="3" t="str">
        <f>HYPERLINK("https://www.boe.es/gazeta/dias/1815/07/27/pdfs/GMD-1815-92.pdf#page=8","Abrir facsímil")</f>
        <v>Abrir facsímil</v>
      </c>
      <c r="K2065" s="3" t="s">
        <v>74</v>
      </c>
    </row>
    <row r="2066" spans="1:11" ht="42" customHeight="1">
      <c r="A2066" s="2" t="s">
        <v>5239</v>
      </c>
      <c r="B2066" s="2" t="s">
        <v>5239</v>
      </c>
      <c r="C2066" s="2" t="s">
        <v>49</v>
      </c>
      <c r="D2066" s="2" t="s">
        <v>50</v>
      </c>
      <c r="E2066" s="5">
        <v>-30928</v>
      </c>
      <c r="F2066" s="3" t="s">
        <v>330</v>
      </c>
      <c r="G2066" s="3" t="s">
        <v>38</v>
      </c>
      <c r="H2066" s="2" t="s">
        <v>72</v>
      </c>
      <c r="I2066" s="2" t="s">
        <v>5240</v>
      </c>
      <c r="J2066" s="3" t="str">
        <f>HYPERLINK("https://www.boe.es/gazeta/dias/1815/04/27/pdfs/GMD-1815-51.pdf#page=8","Abrir facsímil")</f>
        <v>Abrir facsímil</v>
      </c>
      <c r="K2066" s="3" t="s">
        <v>74</v>
      </c>
    </row>
    <row r="2067" spans="1:11" ht="42" customHeight="1">
      <c r="A2067" s="2" t="s">
        <v>5239</v>
      </c>
      <c r="B2067" s="2" t="s">
        <v>5239</v>
      </c>
      <c r="C2067" s="2" t="s">
        <v>49</v>
      </c>
      <c r="D2067" s="2" t="s">
        <v>50</v>
      </c>
      <c r="E2067" s="5">
        <v>-30865</v>
      </c>
      <c r="F2067" s="3" t="s">
        <v>163</v>
      </c>
      <c r="G2067" s="3" t="s">
        <v>71</v>
      </c>
      <c r="H2067" s="2" t="s">
        <v>72</v>
      </c>
      <c r="I2067" s="2" t="s">
        <v>5241</v>
      </c>
      <c r="J2067" s="3" t="str">
        <f>HYPERLINK("https://www.boe.es/gazeta/dias/1815/06/29/pdfs/GMD-1815-78.pdf#page=7","Abrir facsímil")</f>
        <v>Abrir facsímil</v>
      </c>
      <c r="K2067" s="3" t="s">
        <v>74</v>
      </c>
    </row>
    <row r="2068" spans="1:11" ht="42" customHeight="1">
      <c r="A2068" s="2" t="s">
        <v>5242</v>
      </c>
      <c r="B2068" s="2" t="s">
        <v>5243</v>
      </c>
      <c r="C2068" s="2" t="s">
        <v>49</v>
      </c>
      <c r="D2068" s="2" t="s">
        <v>50</v>
      </c>
      <c r="E2068" s="5">
        <v>-30863</v>
      </c>
      <c r="F2068" s="3" t="s">
        <v>110</v>
      </c>
      <c r="G2068" s="3" t="s">
        <v>224</v>
      </c>
      <c r="H2068" s="2" t="s">
        <v>72</v>
      </c>
      <c r="I2068" s="2" t="s">
        <v>5244</v>
      </c>
      <c r="J2068" s="3" t="str">
        <f>HYPERLINK("https://www.boe.es/gazeta/dias/1815/07/01/pdfs/GMD-1815-79.pdf#page=9","Abrir facsímil")</f>
        <v>Abrir facsímil</v>
      </c>
      <c r="K2068" s="3" t="s">
        <v>74</v>
      </c>
    </row>
    <row r="2069" spans="1:11" ht="42" customHeight="1">
      <c r="A2069" s="2" t="s">
        <v>5245</v>
      </c>
      <c r="B2069" s="2" t="s">
        <v>5246</v>
      </c>
      <c r="C2069" s="2" t="s">
        <v>195</v>
      </c>
      <c r="D2069" s="2" t="s">
        <v>50</v>
      </c>
      <c r="E2069" s="5">
        <v>-31012</v>
      </c>
      <c r="F2069" s="3" t="s">
        <v>529</v>
      </c>
      <c r="G2069" s="3" t="s">
        <v>57</v>
      </c>
      <c r="H2069" s="2" t="s">
        <v>72</v>
      </c>
      <c r="I2069" s="2" t="s">
        <v>5247</v>
      </c>
      <c r="J2069" s="3" t="str">
        <f>HYPERLINK("https://www.boe.es/gazeta/dias/1815/02/02/pdfs/GMD-1815-14.pdf#page=5","Abrir facsímil")</f>
        <v>Abrir facsímil</v>
      </c>
      <c r="K2069" s="3" t="s">
        <v>74</v>
      </c>
    </row>
    <row r="2070" spans="1:11" ht="42" customHeight="1">
      <c r="A2070" s="2" t="s">
        <v>5248</v>
      </c>
      <c r="B2070" s="2" t="s">
        <v>5249</v>
      </c>
      <c r="C2070" s="2" t="s">
        <v>31</v>
      </c>
      <c r="D2070" s="2" t="s">
        <v>32</v>
      </c>
      <c r="E2070" s="5">
        <v>-30958</v>
      </c>
      <c r="F2070" s="3" t="s">
        <v>297</v>
      </c>
      <c r="G2070" s="3" t="s">
        <v>71</v>
      </c>
      <c r="H2070" s="2" t="s">
        <v>72</v>
      </c>
      <c r="I2070" s="2" t="s">
        <v>5250</v>
      </c>
      <c r="J2070" s="3" t="str">
        <f>HYPERLINK("https://www.boe.es/gazeta/dias/1815/03/28/pdfs/GMD-1815-37.pdf#page=7","Abrir facsímil")</f>
        <v>Abrir facsímil</v>
      </c>
      <c r="K2070" s="3" t="s">
        <v>74</v>
      </c>
    </row>
    <row r="2071" spans="1:11" ht="42" customHeight="1">
      <c r="A2071" s="2" t="s">
        <v>5251</v>
      </c>
      <c r="B2071" s="2" t="s">
        <v>5252</v>
      </c>
      <c r="C2071" s="2" t="s">
        <v>31</v>
      </c>
      <c r="D2071" s="2" t="s">
        <v>32</v>
      </c>
      <c r="E2071" s="5">
        <v>-30842</v>
      </c>
      <c r="F2071" s="3" t="s">
        <v>126</v>
      </c>
      <c r="G2071" s="3" t="s">
        <v>38</v>
      </c>
      <c r="H2071" s="2" t="s">
        <v>72</v>
      </c>
      <c r="I2071" s="2" t="s">
        <v>5253</v>
      </c>
      <c r="J2071" s="3" t="str">
        <f>HYPERLINK("https://www.boe.es/gazeta/dias/1815/07/22/pdfs/GMD-1815-90.pdf#page=8","Abrir facsímil")</f>
        <v>Abrir facsímil</v>
      </c>
      <c r="K2071" s="3" t="s">
        <v>74</v>
      </c>
    </row>
    <row r="2072" spans="1:11" ht="42" customHeight="1">
      <c r="A2072" s="2" t="s">
        <v>5254</v>
      </c>
      <c r="B2072" s="2" t="s">
        <v>5254</v>
      </c>
      <c r="C2072" s="2" t="s">
        <v>31</v>
      </c>
      <c r="D2072" s="2" t="s">
        <v>32</v>
      </c>
      <c r="E2072" s="5">
        <v>-30844</v>
      </c>
      <c r="F2072" s="3" t="s">
        <v>114</v>
      </c>
      <c r="G2072" s="3" t="s">
        <v>71</v>
      </c>
      <c r="H2072" s="2" t="s">
        <v>72</v>
      </c>
      <c r="I2072" s="2" t="s">
        <v>5255</v>
      </c>
      <c r="J2072" s="3" t="str">
        <f>HYPERLINK("https://www.boe.es/gazeta/dias/1815/07/20/pdfs/GMD-1815-89.pdf#page=7","Abrir facsímil")</f>
        <v>Abrir facsímil</v>
      </c>
      <c r="K2072" s="3" t="s">
        <v>74</v>
      </c>
    </row>
    <row r="2073" spans="1:11" ht="42" customHeight="1">
      <c r="A2073" s="2" t="s">
        <v>5256</v>
      </c>
      <c r="B2073" s="2" t="s">
        <v>5256</v>
      </c>
      <c r="C2073" s="2" t="s">
        <v>49</v>
      </c>
      <c r="D2073" s="2" t="s">
        <v>50</v>
      </c>
      <c r="E2073" s="5">
        <v>-30870</v>
      </c>
      <c r="F2073" s="3" t="s">
        <v>122</v>
      </c>
      <c r="G2073" s="3" t="s">
        <v>88</v>
      </c>
      <c r="H2073" s="2" t="s">
        <v>72</v>
      </c>
      <c r="I2073" s="2" t="s">
        <v>5257</v>
      </c>
      <c r="J2073" s="3" t="str">
        <f>HYPERLINK("https://www.boe.es/gazeta/dias/1815/06/24/pdfs/GMD-1815-76.pdf#page=10","Abrir facsímil")</f>
        <v>Abrir facsímil</v>
      </c>
      <c r="K2073" s="3" t="s">
        <v>74</v>
      </c>
    </row>
    <row r="2074" spans="1:11" ht="42" customHeight="1">
      <c r="A2074" s="2" t="s">
        <v>5258</v>
      </c>
      <c r="B2074" s="2" t="s">
        <v>5258</v>
      </c>
      <c r="C2074" s="2" t="s">
        <v>31</v>
      </c>
      <c r="D2074" s="2" t="s">
        <v>32</v>
      </c>
      <c r="E2074" s="5">
        <v>-31026</v>
      </c>
      <c r="F2074" s="3" t="s">
        <v>874</v>
      </c>
      <c r="G2074" s="3" t="s">
        <v>27</v>
      </c>
      <c r="H2074" s="2" t="s">
        <v>72</v>
      </c>
      <c r="I2074" s="2" t="s">
        <v>5259</v>
      </c>
      <c r="J2074" s="3" t="str">
        <f>HYPERLINK("https://www.boe.es/gazeta/dias/1815/01/19/pdfs/GMD-1815-8.pdf#page=6","Abrir facsímil")</f>
        <v>Abrir facsímil</v>
      </c>
      <c r="K2074" s="3" t="s">
        <v>74</v>
      </c>
    </row>
    <row r="2075" spans="1:11" ht="42" customHeight="1">
      <c r="A2075" s="2" t="s">
        <v>5260</v>
      </c>
      <c r="B2075" s="2" t="s">
        <v>5261</v>
      </c>
      <c r="C2075" s="2" t="s">
        <v>49</v>
      </c>
      <c r="D2075" s="2" t="s">
        <v>50</v>
      </c>
      <c r="E2075" s="5">
        <v>-31038</v>
      </c>
      <c r="F2075" s="3" t="s">
        <v>395</v>
      </c>
      <c r="G2075" s="3" t="s">
        <v>396</v>
      </c>
      <c r="H2075" s="2" t="s">
        <v>72</v>
      </c>
      <c r="I2075" s="2" t="s">
        <v>5262</v>
      </c>
      <c r="J2075" s="3" t="str">
        <f>HYPERLINK("https://www.boe.es/gazeta/dias/1815/01/07/pdfs/GMD-1815-3.pdf#page=5","Abrir facsímil")</f>
        <v>Abrir facsímil</v>
      </c>
      <c r="K2075" s="3" t="s">
        <v>74</v>
      </c>
    </row>
    <row r="2076" spans="1:11" ht="42" customHeight="1">
      <c r="A2076" s="2" t="s">
        <v>5263</v>
      </c>
      <c r="B2076" s="2" t="s">
        <v>5264</v>
      </c>
      <c r="C2076" s="2" t="s">
        <v>49</v>
      </c>
      <c r="D2076" s="2" t="s">
        <v>50</v>
      </c>
      <c r="E2076" s="5">
        <v>-30893</v>
      </c>
      <c r="F2076" s="3" t="s">
        <v>132</v>
      </c>
      <c r="G2076" s="3" t="s">
        <v>38</v>
      </c>
      <c r="H2076" s="2" t="s">
        <v>72</v>
      </c>
      <c r="I2076" s="2" t="s">
        <v>5265</v>
      </c>
      <c r="J2076" s="3" t="str">
        <f>HYPERLINK("https://www.boe.es/gazeta/dias/1815/06/01/pdfs/GMD-1815-66.pdf#page=8","Abrir facsímil")</f>
        <v>Abrir facsímil</v>
      </c>
      <c r="K2076" s="3" t="s">
        <v>74</v>
      </c>
    </row>
    <row r="2077" spans="1:11" ht="42" customHeight="1">
      <c r="A2077" s="2" t="s">
        <v>5266</v>
      </c>
      <c r="B2077" s="2" t="s">
        <v>5266</v>
      </c>
      <c r="C2077" s="2" t="s">
        <v>31</v>
      </c>
      <c r="D2077" s="2" t="s">
        <v>32</v>
      </c>
      <c r="E2077" s="5">
        <v>-30935</v>
      </c>
      <c r="F2077" s="3" t="s">
        <v>519</v>
      </c>
      <c r="G2077" s="3" t="s">
        <v>97</v>
      </c>
      <c r="H2077" s="2" t="s">
        <v>72</v>
      </c>
      <c r="I2077" s="2" t="s">
        <v>5267</v>
      </c>
      <c r="J2077" s="3" t="str">
        <f>HYPERLINK("https://www.boe.es/gazeta/dias/1815/04/20/pdfs/GMD-1815-48.pdf#page=3","Abrir facsímil")</f>
        <v>Abrir facsímil</v>
      </c>
      <c r="K2077" s="3" t="s">
        <v>74</v>
      </c>
    </row>
    <row r="2078" spans="1:11" ht="42" customHeight="1">
      <c r="A2078" s="2" t="s">
        <v>5268</v>
      </c>
      <c r="B2078" s="2" t="s">
        <v>5268</v>
      </c>
      <c r="C2078" s="2" t="s">
        <v>31</v>
      </c>
      <c r="D2078" s="2" t="s">
        <v>32</v>
      </c>
      <c r="E2078" s="5">
        <v>-30744</v>
      </c>
      <c r="F2078" s="3" t="s">
        <v>391</v>
      </c>
      <c r="G2078" s="3" t="s">
        <v>97</v>
      </c>
      <c r="H2078" s="2" t="s">
        <v>72</v>
      </c>
      <c r="I2078" s="2" t="s">
        <v>5269</v>
      </c>
      <c r="J2078" s="3" t="str">
        <f>HYPERLINK("https://www.boe.es/gazeta/dias/1815/10/28/pdfs/GMD-1815-135.pdf#page=3","Abrir facsímil")</f>
        <v>Abrir facsímil</v>
      </c>
      <c r="K2078" s="3" t="s">
        <v>74</v>
      </c>
    </row>
    <row r="2079" spans="1:11" ht="42" customHeight="1">
      <c r="A2079" s="2" t="s">
        <v>5270</v>
      </c>
      <c r="B2079" s="2" t="s">
        <v>5271</v>
      </c>
      <c r="C2079" s="2" t="s">
        <v>31</v>
      </c>
      <c r="D2079" s="2" t="s">
        <v>32</v>
      </c>
      <c r="E2079" s="5">
        <v>-30716</v>
      </c>
      <c r="F2079" s="3" t="s">
        <v>589</v>
      </c>
      <c r="G2079" s="3" t="s">
        <v>20</v>
      </c>
      <c r="H2079" s="2" t="s">
        <v>72</v>
      </c>
      <c r="I2079" s="2" t="s">
        <v>5272</v>
      </c>
      <c r="J2079" s="3" t="str">
        <f>HYPERLINK("https://www.boe.es/gazeta/dias/1815/11/25/pdfs/GMD-1815-147.pdf#page=4","Abrir facsímil")</f>
        <v>Abrir facsímil</v>
      </c>
      <c r="K2079" s="3" t="s">
        <v>74</v>
      </c>
    </row>
    <row r="2080" spans="1:11" ht="42" customHeight="1">
      <c r="A2080" s="2" t="s">
        <v>5273</v>
      </c>
      <c r="B2080" s="2" t="s">
        <v>5274</v>
      </c>
      <c r="C2080" s="2" t="s">
        <v>31</v>
      </c>
      <c r="D2080" s="2" t="s">
        <v>32</v>
      </c>
      <c r="E2080" s="5">
        <v>-30977</v>
      </c>
      <c r="F2080" s="3" t="s">
        <v>37</v>
      </c>
      <c r="G2080" s="3" t="s">
        <v>410</v>
      </c>
      <c r="H2080" s="2" t="s">
        <v>72</v>
      </c>
      <c r="I2080" s="2" t="s">
        <v>5275</v>
      </c>
      <c r="J2080" s="3" t="str">
        <f>HYPERLINK("https://www.boe.es/gazeta/dias/1815/03/09/pdfs/GMD-1815-29.pdf#page=1","Abrir facsímil")</f>
        <v>Abrir facsímil</v>
      </c>
      <c r="K2080" s="3" t="s">
        <v>74</v>
      </c>
    </row>
    <row r="2081" spans="1:11" ht="42" customHeight="1">
      <c r="A2081" s="2" t="s">
        <v>5276</v>
      </c>
      <c r="B2081" s="2" t="s">
        <v>5277</v>
      </c>
      <c r="C2081" s="2" t="s">
        <v>49</v>
      </c>
      <c r="D2081" s="2" t="s">
        <v>50</v>
      </c>
      <c r="E2081" s="5">
        <v>-31031</v>
      </c>
      <c r="F2081" s="3" t="s">
        <v>105</v>
      </c>
      <c r="G2081" s="3" t="s">
        <v>106</v>
      </c>
      <c r="H2081" s="2" t="s">
        <v>72</v>
      </c>
      <c r="I2081" s="2" t="s">
        <v>5278</v>
      </c>
      <c r="J2081" s="3" t="str">
        <f>HYPERLINK("https://www.boe.es/gazeta/dias/1815/01/14/pdfs/GMD-1815-6.pdf#page=7","Abrir facsímil")</f>
        <v>Abrir facsímil</v>
      </c>
      <c r="K2081" s="3" t="s">
        <v>74</v>
      </c>
    </row>
    <row r="2082" spans="1:11" ht="42" customHeight="1">
      <c r="A2082" s="2" t="s">
        <v>5279</v>
      </c>
      <c r="B2082" s="2" t="s">
        <v>5280</v>
      </c>
      <c r="C2082" s="2" t="s">
        <v>49</v>
      </c>
      <c r="D2082" s="2" t="s">
        <v>50</v>
      </c>
      <c r="E2082" s="5">
        <v>-30767</v>
      </c>
      <c r="F2082" s="3" t="s">
        <v>228</v>
      </c>
      <c r="G2082" s="3" t="s">
        <v>88</v>
      </c>
      <c r="H2082" s="2" t="s">
        <v>72</v>
      </c>
      <c r="I2082" s="2" t="s">
        <v>5281</v>
      </c>
      <c r="J2082" s="3" t="str">
        <f>HYPERLINK("https://www.boe.es/gazeta/dias/1815/10/05/pdfs/GMD-1815-125.pdf#page=10","Abrir facsímil")</f>
        <v>Abrir facsímil</v>
      </c>
      <c r="K2082" s="3" t="s">
        <v>74</v>
      </c>
    </row>
    <row r="2083" spans="1:11" ht="42" customHeight="1">
      <c r="A2083" s="2" t="s">
        <v>5282</v>
      </c>
      <c r="B2083" s="2" t="s">
        <v>5283</v>
      </c>
      <c r="C2083" s="2" t="s">
        <v>49</v>
      </c>
      <c r="D2083" s="2" t="s">
        <v>50</v>
      </c>
      <c r="E2083" s="5">
        <v>-30720</v>
      </c>
      <c r="F2083" s="3" t="s">
        <v>373</v>
      </c>
      <c r="G2083" s="3" t="s">
        <v>224</v>
      </c>
      <c r="H2083" s="2" t="s">
        <v>72</v>
      </c>
      <c r="I2083" s="2" t="s">
        <v>5284</v>
      </c>
      <c r="J2083" s="3" t="str">
        <f>HYPERLINK("https://www.boe.es/gazeta/dias/1815/11/21/pdfs/GMD-1815-145.pdf#page=9","Abrir facsímil")</f>
        <v>Abrir facsímil</v>
      </c>
      <c r="K2083" s="3" t="s">
        <v>74</v>
      </c>
    </row>
    <row r="2084" spans="1:11" ht="42" customHeight="1">
      <c r="A2084" s="2" t="s">
        <v>5285</v>
      </c>
      <c r="B2084" s="2" t="s">
        <v>5286</v>
      </c>
      <c r="C2084" s="2" t="s">
        <v>195</v>
      </c>
      <c r="D2084" s="2" t="s">
        <v>50</v>
      </c>
      <c r="E2084" s="5">
        <v>-30888</v>
      </c>
      <c r="F2084" s="3" t="s">
        <v>368</v>
      </c>
      <c r="G2084" s="3" t="s">
        <v>369</v>
      </c>
      <c r="H2084" s="2" t="s">
        <v>21</v>
      </c>
      <c r="I2084" s="2" t="s">
        <v>5287</v>
      </c>
      <c r="J2084" s="3" t="str">
        <f>HYPERLINK("https://www.boe.es/gazeta/dias/1815/06/06/pdfs/GMD-1815-68.pdf#page=7","Abrir facsímil")</f>
        <v>Abrir facsímil</v>
      </c>
      <c r="K2084" s="3" t="s">
        <v>23</v>
      </c>
    </row>
    <row r="2085" spans="1:11" ht="42" customHeight="1">
      <c r="A2085" s="2" t="s">
        <v>5288</v>
      </c>
      <c r="B2085" s="2" t="s">
        <v>5289</v>
      </c>
      <c r="C2085" s="2" t="s">
        <v>49</v>
      </c>
      <c r="D2085" s="2" t="s">
        <v>50</v>
      </c>
      <c r="E2085" s="5">
        <v>-30886</v>
      </c>
      <c r="F2085" s="3" t="s">
        <v>140</v>
      </c>
      <c r="G2085" s="3" t="s">
        <v>88</v>
      </c>
      <c r="H2085" s="2" t="s">
        <v>72</v>
      </c>
      <c r="I2085" s="2" t="s">
        <v>5290</v>
      </c>
      <c r="J2085" s="3" t="str">
        <f>HYPERLINK("https://www.boe.es/gazeta/dias/1815/06/08/pdfs/GMD-1815-69.pdf#page=10","Abrir facsímil")</f>
        <v>Abrir facsímil</v>
      </c>
      <c r="K2085" s="3" t="s">
        <v>74</v>
      </c>
    </row>
    <row r="2086" spans="1:11" ht="42" customHeight="1">
      <c r="A2086" s="2" t="s">
        <v>5291</v>
      </c>
      <c r="B2086" s="2" t="s">
        <v>5292</v>
      </c>
      <c r="C2086" s="2" t="s">
        <v>195</v>
      </c>
      <c r="D2086" s="2" t="s">
        <v>50</v>
      </c>
      <c r="E2086" s="5">
        <v>-30872</v>
      </c>
      <c r="F2086" s="3" t="s">
        <v>167</v>
      </c>
      <c r="G2086" s="3" t="s">
        <v>342</v>
      </c>
      <c r="H2086" s="2" t="s">
        <v>21</v>
      </c>
      <c r="I2086" s="2" t="s">
        <v>5293</v>
      </c>
      <c r="J2086" s="3" t="str">
        <f>HYPERLINK("https://www.boe.es/gazeta/dias/1815/06/22/pdfs/GMD-1815-75.pdf#page=8","Abrir facsímil")</f>
        <v>Abrir facsímil</v>
      </c>
      <c r="K2086" s="3" t="s">
        <v>23</v>
      </c>
    </row>
    <row r="2087" spans="1:11" ht="42" customHeight="1">
      <c r="A2087" s="2" t="s">
        <v>5294</v>
      </c>
      <c r="B2087" s="2" t="s">
        <v>5295</v>
      </c>
      <c r="C2087" s="2" t="s">
        <v>31</v>
      </c>
      <c r="D2087" s="2" t="s">
        <v>32</v>
      </c>
      <c r="E2087" s="5">
        <v>-30818</v>
      </c>
      <c r="F2087" s="3" t="s">
        <v>334</v>
      </c>
      <c r="G2087" s="3" t="s">
        <v>52</v>
      </c>
      <c r="H2087" s="2" t="s">
        <v>21</v>
      </c>
      <c r="I2087" s="2" t="s">
        <v>5296</v>
      </c>
      <c r="J2087" s="3" t="str">
        <f>HYPERLINK("https://www.boe.es/gazeta/dias/1815/08/15/pdfs/GMD-1815-100.pdf#page=11","Abrir facsímil")</f>
        <v>Abrir facsímil</v>
      </c>
      <c r="K2087" s="3" t="s">
        <v>23</v>
      </c>
    </row>
    <row r="2088" spans="1:11" ht="42" customHeight="1">
      <c r="A2088" s="2" t="s">
        <v>5297</v>
      </c>
      <c r="B2088" s="2" t="s">
        <v>5298</v>
      </c>
      <c r="C2088" s="2" t="s">
        <v>31</v>
      </c>
      <c r="D2088" s="2" t="s">
        <v>32</v>
      </c>
      <c r="E2088" s="5">
        <v>-31038</v>
      </c>
      <c r="F2088" s="3" t="s">
        <v>395</v>
      </c>
      <c r="G2088" s="3" t="s">
        <v>396</v>
      </c>
      <c r="H2088" s="2" t="s">
        <v>72</v>
      </c>
      <c r="I2088" s="2" t="s">
        <v>5299</v>
      </c>
      <c r="J2088" s="3" t="str">
        <f>HYPERLINK("https://www.boe.es/gazeta/dias/1815/01/07/pdfs/GMD-1815-3.pdf#page=5","Abrir facsímil")</f>
        <v>Abrir facsímil</v>
      </c>
      <c r="K2088" s="3" t="s">
        <v>74</v>
      </c>
    </row>
    <row r="2089" spans="1:11" ht="42" customHeight="1">
      <c r="A2089" s="2" t="s">
        <v>5300</v>
      </c>
      <c r="B2089" s="2" t="s">
        <v>5301</v>
      </c>
      <c r="C2089" s="2" t="s">
        <v>49</v>
      </c>
      <c r="D2089" s="2" t="s">
        <v>50</v>
      </c>
      <c r="E2089" s="5">
        <v>-30993</v>
      </c>
      <c r="F2089" s="3" t="s">
        <v>66</v>
      </c>
      <c r="G2089" s="3" t="s">
        <v>20</v>
      </c>
      <c r="H2089" s="2" t="s">
        <v>72</v>
      </c>
      <c r="I2089" s="2" t="s">
        <v>5302</v>
      </c>
      <c r="J2089" s="3" t="str">
        <f>HYPERLINK("https://www.boe.es/gazeta/dias/1815/02/21/pdfs/GMD-1815-22.pdf#page=4","Abrir facsímil")</f>
        <v>Abrir facsímil</v>
      </c>
      <c r="K2089" s="3" t="s">
        <v>74</v>
      </c>
    </row>
    <row r="2090" spans="1:11" ht="42" customHeight="1">
      <c r="A2090" s="2" t="s">
        <v>5303</v>
      </c>
      <c r="B2090" s="2" t="s">
        <v>5304</v>
      </c>
      <c r="C2090" s="2" t="s">
        <v>31</v>
      </c>
      <c r="D2090" s="2" t="s">
        <v>32</v>
      </c>
      <c r="E2090" s="5">
        <v>-30818</v>
      </c>
      <c r="F2090" s="3" t="s">
        <v>334</v>
      </c>
      <c r="G2090" s="3" t="s">
        <v>38</v>
      </c>
      <c r="H2090" s="2" t="s">
        <v>72</v>
      </c>
      <c r="I2090" s="2" t="s">
        <v>5305</v>
      </c>
      <c r="J2090" s="3" t="str">
        <f>HYPERLINK("https://www.boe.es/gazeta/dias/1815/08/15/pdfs/GMD-1815-100.pdf#page=8","Abrir facsímil")</f>
        <v>Abrir facsímil</v>
      </c>
      <c r="K2090" s="3" t="s">
        <v>74</v>
      </c>
    </row>
    <row r="2091" spans="1:11" ht="42" customHeight="1">
      <c r="A2091" s="2" t="s">
        <v>5306</v>
      </c>
      <c r="B2091" s="2" t="s">
        <v>5307</v>
      </c>
      <c r="C2091" s="2" t="s">
        <v>195</v>
      </c>
      <c r="D2091" s="2" t="s">
        <v>50</v>
      </c>
      <c r="E2091" s="5">
        <v>-30872</v>
      </c>
      <c r="F2091" s="3" t="s">
        <v>167</v>
      </c>
      <c r="G2091" s="3" t="s">
        <v>342</v>
      </c>
      <c r="H2091" s="2" t="s">
        <v>72</v>
      </c>
      <c r="I2091" s="2" t="s">
        <v>5308</v>
      </c>
      <c r="J2091" s="3" t="str">
        <f>HYPERLINK("https://www.boe.es/gazeta/dias/1815/06/22/pdfs/GMD-1815-75.pdf#page=8","Abrir facsímil")</f>
        <v>Abrir facsímil</v>
      </c>
      <c r="K2091" s="3" t="s">
        <v>74</v>
      </c>
    </row>
    <row r="2092" spans="1:11" ht="42" customHeight="1">
      <c r="A2092" s="2" t="s">
        <v>5309</v>
      </c>
      <c r="B2092" s="2" t="s">
        <v>5310</v>
      </c>
      <c r="C2092" s="2" t="s">
        <v>49</v>
      </c>
      <c r="D2092" s="2" t="s">
        <v>50</v>
      </c>
      <c r="E2092" s="5">
        <v>-30968</v>
      </c>
      <c r="F2092" s="3" t="s">
        <v>2695</v>
      </c>
      <c r="G2092" s="3" t="s">
        <v>57</v>
      </c>
      <c r="H2092" s="2" t="s">
        <v>72</v>
      </c>
      <c r="I2092" s="2" t="s">
        <v>5311</v>
      </c>
      <c r="J2092" s="3" t="str">
        <f>HYPERLINK("https://www.boe.es/gazeta/dias/1815/03/18/pdfs/GMD-1815-33.pdf#page=5","Abrir facsímil")</f>
        <v>Abrir facsímil</v>
      </c>
      <c r="K2092" s="3" t="s">
        <v>74</v>
      </c>
    </row>
    <row r="2093" spans="1:11" ht="42" customHeight="1">
      <c r="A2093" s="2" t="s">
        <v>5312</v>
      </c>
      <c r="B2093" s="2" t="s">
        <v>5313</v>
      </c>
      <c r="C2093" s="2" t="s">
        <v>49</v>
      </c>
      <c r="D2093" s="2" t="s">
        <v>50</v>
      </c>
      <c r="E2093" s="5">
        <v>-30870</v>
      </c>
      <c r="F2093" s="3" t="s">
        <v>122</v>
      </c>
      <c r="G2093" s="3" t="s">
        <v>88</v>
      </c>
      <c r="H2093" s="2" t="s">
        <v>72</v>
      </c>
      <c r="I2093" s="2" t="s">
        <v>5314</v>
      </c>
      <c r="J2093" s="3" t="str">
        <f>HYPERLINK("https://www.boe.es/gazeta/dias/1815/06/24/pdfs/GMD-1815-76.pdf#page=10","Abrir facsímil")</f>
        <v>Abrir facsímil</v>
      </c>
      <c r="K2093" s="3" t="s">
        <v>74</v>
      </c>
    </row>
    <row r="2094" spans="1:11" ht="42" customHeight="1">
      <c r="A2094" s="2" t="s">
        <v>5315</v>
      </c>
      <c r="B2094" s="2" t="s">
        <v>5316</v>
      </c>
      <c r="C2094" s="2" t="s">
        <v>195</v>
      </c>
      <c r="D2094" s="2" t="s">
        <v>50</v>
      </c>
      <c r="E2094" s="5">
        <v>-30949</v>
      </c>
      <c r="F2094" s="3" t="s">
        <v>420</v>
      </c>
      <c r="G2094" s="3" t="s">
        <v>27</v>
      </c>
      <c r="H2094" s="2" t="s">
        <v>72</v>
      </c>
      <c r="I2094" s="2" t="s">
        <v>5317</v>
      </c>
      <c r="J2094" s="3" t="str">
        <f>HYPERLINK("https://www.boe.es/gazeta/dias/1815/04/06/pdfs/GMD-1815-42.pdf#page=6","Abrir facsímil")</f>
        <v>Abrir facsímil</v>
      </c>
      <c r="K2094" s="3" t="s">
        <v>74</v>
      </c>
    </row>
    <row r="2095" spans="1:11" ht="42" customHeight="1">
      <c r="A2095" s="2" t="s">
        <v>5318</v>
      </c>
      <c r="B2095" s="2" t="s">
        <v>5319</v>
      </c>
      <c r="C2095" s="2" t="s">
        <v>49</v>
      </c>
      <c r="D2095" s="2" t="s">
        <v>50</v>
      </c>
      <c r="E2095" s="5">
        <v>-30865</v>
      </c>
      <c r="F2095" s="3" t="s">
        <v>163</v>
      </c>
      <c r="G2095" s="3" t="s">
        <v>27</v>
      </c>
      <c r="H2095" s="2" t="s">
        <v>72</v>
      </c>
      <c r="I2095" s="2" t="s">
        <v>5320</v>
      </c>
      <c r="J2095" s="3" t="str">
        <f>HYPERLINK("https://www.boe.es/gazeta/dias/1815/06/29/pdfs/GMD-1815-78.pdf#page=6","Abrir facsímil")</f>
        <v>Abrir facsímil</v>
      </c>
      <c r="K2095" s="3" t="s">
        <v>74</v>
      </c>
    </row>
    <row r="2096" spans="1:11" ht="42" customHeight="1">
      <c r="A2096" s="2" t="s">
        <v>5321</v>
      </c>
      <c r="B2096" s="2" t="s">
        <v>5322</v>
      </c>
      <c r="C2096" s="2" t="s">
        <v>31</v>
      </c>
      <c r="D2096" s="2" t="s">
        <v>32</v>
      </c>
      <c r="E2096" s="5">
        <v>-31038</v>
      </c>
      <c r="F2096" s="3" t="s">
        <v>395</v>
      </c>
      <c r="G2096" s="3" t="s">
        <v>396</v>
      </c>
      <c r="H2096" s="2" t="s">
        <v>72</v>
      </c>
      <c r="I2096" s="2" t="s">
        <v>5323</v>
      </c>
      <c r="J2096" s="3" t="str">
        <f>HYPERLINK("https://www.boe.es/gazeta/dias/1815/01/07/pdfs/GMD-1815-3.pdf#page=5","Abrir facsímil")</f>
        <v>Abrir facsímil</v>
      </c>
      <c r="K2096" s="3" t="s">
        <v>74</v>
      </c>
    </row>
    <row r="2097" spans="1:11" ht="42" customHeight="1">
      <c r="A2097" s="2" t="s">
        <v>5324</v>
      </c>
      <c r="B2097" s="2" t="s">
        <v>5325</v>
      </c>
      <c r="C2097" s="2" t="s">
        <v>17</v>
      </c>
      <c r="D2097" s="2" t="s">
        <v>18</v>
      </c>
      <c r="E2097" s="5">
        <v>-30986</v>
      </c>
      <c r="F2097" s="3" t="s">
        <v>46</v>
      </c>
      <c r="G2097" s="3" t="s">
        <v>88</v>
      </c>
      <c r="H2097" s="2" t="s">
        <v>72</v>
      </c>
      <c r="I2097" s="2" t="s">
        <v>5326</v>
      </c>
      <c r="J2097" s="3" t="str">
        <f>HYPERLINK("https://www.boe.es/gazeta/dias/1815/02/28/pdfs/GMD-1815-25.pdf#page=10","Abrir facsímil")</f>
        <v>Abrir facsímil</v>
      </c>
      <c r="K2097" s="3" t="s">
        <v>74</v>
      </c>
    </row>
    <row r="2098" spans="1:11" ht="42" customHeight="1">
      <c r="A2098" s="2" t="s">
        <v>5327</v>
      </c>
      <c r="B2098" s="2" t="s">
        <v>5328</v>
      </c>
      <c r="C2098" s="2" t="s">
        <v>31</v>
      </c>
      <c r="D2098" s="2" t="s">
        <v>32</v>
      </c>
      <c r="E2098" s="5">
        <v>-30902</v>
      </c>
      <c r="F2098" s="3" t="s">
        <v>648</v>
      </c>
      <c r="G2098" s="3" t="s">
        <v>27</v>
      </c>
      <c r="H2098" s="2" t="s">
        <v>72</v>
      </c>
      <c r="I2098" s="2" t="s">
        <v>5329</v>
      </c>
      <c r="J2098" s="3" t="str">
        <f>HYPERLINK("https://www.boe.es/gazeta/dias/1815/05/23/pdfs/GMD-1815-62.pdf#page=6","Abrir facsímil")</f>
        <v>Abrir facsímil</v>
      </c>
      <c r="K2098" s="3" t="s">
        <v>74</v>
      </c>
    </row>
    <row r="2099" spans="1:11" ht="42" customHeight="1">
      <c r="A2099" s="2" t="s">
        <v>5330</v>
      </c>
      <c r="B2099" s="2" t="s">
        <v>5331</v>
      </c>
      <c r="C2099" s="2" t="s">
        <v>17</v>
      </c>
      <c r="D2099" s="2" t="s">
        <v>18</v>
      </c>
      <c r="E2099" s="5">
        <v>-30891</v>
      </c>
      <c r="F2099" s="3" t="s">
        <v>498</v>
      </c>
      <c r="G2099" s="3" t="s">
        <v>27</v>
      </c>
      <c r="H2099" s="2" t="s">
        <v>72</v>
      </c>
      <c r="I2099" s="2" t="s">
        <v>5332</v>
      </c>
      <c r="J2099" s="3" t="str">
        <f>HYPERLINK("https://www.boe.es/gazeta/dias/1815/06/03/pdfs/GMD-1815-67.pdf#page=6","Abrir facsímil")</f>
        <v>Abrir facsímil</v>
      </c>
      <c r="K2099" s="3" t="s">
        <v>74</v>
      </c>
    </row>
    <row r="2100" spans="1:11" ht="42" customHeight="1">
      <c r="A2100" s="2" t="s">
        <v>5333</v>
      </c>
      <c r="B2100" s="2" t="s">
        <v>5334</v>
      </c>
      <c r="C2100" s="2" t="s">
        <v>81</v>
      </c>
      <c r="D2100" s="2" t="s">
        <v>50</v>
      </c>
      <c r="E2100" s="5">
        <v>-30716</v>
      </c>
      <c r="F2100" s="3" t="s">
        <v>589</v>
      </c>
      <c r="G2100" s="3" t="s">
        <v>590</v>
      </c>
      <c r="H2100" s="2" t="s">
        <v>72</v>
      </c>
      <c r="I2100" s="2" t="s">
        <v>5335</v>
      </c>
      <c r="J2100" s="3" t="str">
        <f>HYPERLINK("https://www.boe.es/gazeta/dias/1815/11/25/pdfs/GMD-1815-147.pdf#page=8","Abrir facsímil")</f>
        <v>Abrir facsímil</v>
      </c>
      <c r="K2100" s="3" t="s">
        <v>74</v>
      </c>
    </row>
    <row r="2101" spans="1:11" ht="42" customHeight="1">
      <c r="A2101" s="2" t="s">
        <v>5336</v>
      </c>
      <c r="B2101" s="2" t="s">
        <v>5337</v>
      </c>
      <c r="C2101" s="2" t="s">
        <v>49</v>
      </c>
      <c r="D2101" s="2" t="s">
        <v>50</v>
      </c>
      <c r="E2101" s="5">
        <v>-30865</v>
      </c>
      <c r="F2101" s="3" t="s">
        <v>163</v>
      </c>
      <c r="G2101" s="3" t="s">
        <v>27</v>
      </c>
      <c r="H2101" s="2" t="s">
        <v>72</v>
      </c>
      <c r="I2101" s="2" t="s">
        <v>5338</v>
      </c>
      <c r="J2101" s="3" t="str">
        <f>HYPERLINK("https://www.boe.es/gazeta/dias/1815/06/29/pdfs/GMD-1815-78.pdf#page=6","Abrir facsímil")</f>
        <v>Abrir facsímil</v>
      </c>
      <c r="K2101" s="3" t="s">
        <v>74</v>
      </c>
    </row>
    <row r="2102" spans="1:11" ht="42" customHeight="1">
      <c r="A2102" s="2" t="s">
        <v>5339</v>
      </c>
      <c r="B2102" s="2" t="s">
        <v>5340</v>
      </c>
      <c r="C2102" s="2" t="s">
        <v>17</v>
      </c>
      <c r="D2102" s="2" t="s">
        <v>18</v>
      </c>
      <c r="E2102" s="5">
        <v>-30916</v>
      </c>
      <c r="F2102" s="3" t="s">
        <v>147</v>
      </c>
      <c r="G2102" s="3" t="s">
        <v>224</v>
      </c>
      <c r="H2102" s="2" t="s">
        <v>72</v>
      </c>
      <c r="I2102" s="2" t="s">
        <v>5341</v>
      </c>
      <c r="J2102" s="3" t="str">
        <f>HYPERLINK("https://www.boe.es/gazeta/dias/1815/05/09/pdfs/GMD-1815-56.pdf#page=9","Abrir facsímil")</f>
        <v>Abrir facsímil</v>
      </c>
      <c r="K2102" s="3" t="s">
        <v>74</v>
      </c>
    </row>
    <row r="2103" spans="1:11" ht="42" customHeight="1">
      <c r="A2103" s="2" t="s">
        <v>5342</v>
      </c>
      <c r="B2103" s="2" t="s">
        <v>5343</v>
      </c>
      <c r="C2103" s="2" t="s">
        <v>49</v>
      </c>
      <c r="D2103" s="2" t="s">
        <v>50</v>
      </c>
      <c r="E2103" s="5">
        <v>-30870</v>
      </c>
      <c r="F2103" s="3" t="s">
        <v>122</v>
      </c>
      <c r="G2103" s="3" t="s">
        <v>88</v>
      </c>
      <c r="H2103" s="2" t="s">
        <v>72</v>
      </c>
      <c r="I2103" s="2" t="s">
        <v>5344</v>
      </c>
      <c r="J2103" s="3" t="str">
        <f>HYPERLINK("https://www.boe.es/gazeta/dias/1815/06/24/pdfs/GMD-1815-76.pdf#page=10","Abrir facsímil")</f>
        <v>Abrir facsímil</v>
      </c>
      <c r="K2103" s="3" t="s">
        <v>74</v>
      </c>
    </row>
    <row r="2104" spans="1:11" ht="42" customHeight="1">
      <c r="A2104" s="2" t="s">
        <v>5342</v>
      </c>
      <c r="B2104" s="2" t="s">
        <v>5343</v>
      </c>
      <c r="C2104" s="2" t="s">
        <v>17</v>
      </c>
      <c r="D2104" s="2" t="s">
        <v>18</v>
      </c>
      <c r="E2104" s="5">
        <v>-30772</v>
      </c>
      <c r="F2104" s="3" t="s">
        <v>216</v>
      </c>
      <c r="G2104" s="3" t="s">
        <v>71</v>
      </c>
      <c r="H2104" s="2" t="s">
        <v>72</v>
      </c>
      <c r="I2104" s="2" t="s">
        <v>5345</v>
      </c>
      <c r="J2104" s="3" t="str">
        <f>HYPERLINK("https://www.boe.es/gazeta/dias/1815/09/30/pdfs/GMD-1815-123.pdf#page=7","Abrir facsímil")</f>
        <v>Abrir facsímil</v>
      </c>
      <c r="K2104" s="3" t="s">
        <v>74</v>
      </c>
    </row>
    <row r="2105" spans="1:11" ht="42" customHeight="1">
      <c r="A2105" s="2" t="s">
        <v>5346</v>
      </c>
      <c r="B2105" s="2" t="s">
        <v>5347</v>
      </c>
      <c r="C2105" s="2" t="s">
        <v>31</v>
      </c>
      <c r="D2105" s="2" t="s">
        <v>32</v>
      </c>
      <c r="E2105" s="5">
        <v>-30725</v>
      </c>
      <c r="F2105" s="3" t="s">
        <v>1535</v>
      </c>
      <c r="G2105" s="3" t="s">
        <v>5348</v>
      </c>
      <c r="H2105" s="2" t="s">
        <v>72</v>
      </c>
      <c r="I2105" s="2" t="s">
        <v>5349</v>
      </c>
      <c r="J2105" s="3" t="str">
        <f>HYPERLINK("https://www.boe.es/gazeta/dias/1815/11/16/pdfs/GMD-1815-143.pdf#page=7","Abrir facsímil")</f>
        <v>Abrir facsímil</v>
      </c>
      <c r="K2105" s="3" t="s">
        <v>74</v>
      </c>
    </row>
    <row r="2106" spans="1:11" ht="42" customHeight="1">
      <c r="A2106" s="2" t="s">
        <v>5350</v>
      </c>
      <c r="B2106" s="2" t="s">
        <v>5351</v>
      </c>
      <c r="C2106" s="2" t="s">
        <v>17</v>
      </c>
      <c r="D2106" s="2" t="s">
        <v>18</v>
      </c>
      <c r="E2106" s="5">
        <v>-30842</v>
      </c>
      <c r="F2106" s="3" t="s">
        <v>126</v>
      </c>
      <c r="G2106" s="3" t="s">
        <v>276</v>
      </c>
      <c r="H2106" s="2" t="s">
        <v>72</v>
      </c>
      <c r="I2106" s="2" t="s">
        <v>5352</v>
      </c>
      <c r="J2106" s="3" t="str">
        <f>HYPERLINK("https://www.boe.es/gazeta/dias/1815/07/22/pdfs/GMD-1815-90.pdf#page=12","Abrir facsímil")</f>
        <v>Abrir facsímil</v>
      </c>
      <c r="K2106" s="3" t="s">
        <v>74</v>
      </c>
    </row>
    <row r="2107" spans="1:11" ht="42" customHeight="1">
      <c r="A2107" s="2" t="s">
        <v>5353</v>
      </c>
      <c r="B2107" s="2" t="s">
        <v>5354</v>
      </c>
      <c r="C2107" s="2" t="s">
        <v>17</v>
      </c>
      <c r="D2107" s="2" t="s">
        <v>18</v>
      </c>
      <c r="E2107" s="5">
        <v>-30846</v>
      </c>
      <c r="F2107" s="3" t="s">
        <v>858</v>
      </c>
      <c r="G2107" s="3" t="s">
        <v>38</v>
      </c>
      <c r="H2107" s="2" t="s">
        <v>72</v>
      </c>
      <c r="I2107" s="2" t="s">
        <v>5355</v>
      </c>
      <c r="J2107" s="3" t="str">
        <f>HYPERLINK("https://www.boe.es/gazeta/dias/1815/07/18/pdfs/GMD-1815-88.pdf#page=8","Abrir facsímil")</f>
        <v>Abrir facsímil</v>
      </c>
      <c r="K2107" s="3" t="s">
        <v>74</v>
      </c>
    </row>
    <row r="2108" spans="1:11" ht="42" customHeight="1">
      <c r="A2108" s="2" t="s">
        <v>5356</v>
      </c>
      <c r="B2108" s="2" t="s">
        <v>5357</v>
      </c>
      <c r="C2108" s="2" t="s">
        <v>195</v>
      </c>
      <c r="D2108" s="2" t="s">
        <v>50</v>
      </c>
      <c r="E2108" s="5">
        <v>-30767</v>
      </c>
      <c r="F2108" s="3" t="s">
        <v>228</v>
      </c>
      <c r="G2108" s="3" t="s">
        <v>990</v>
      </c>
      <c r="H2108" s="2" t="s">
        <v>72</v>
      </c>
      <c r="I2108" s="2" t="s">
        <v>5358</v>
      </c>
      <c r="J2108" s="3" t="str">
        <f>HYPERLINK("https://www.boe.es/gazeta/dias/1815/10/05/pdfs/GMD-1815-125.pdf#page=12","Abrir facsímil")</f>
        <v>Abrir facsímil</v>
      </c>
      <c r="K2108" s="3" t="s">
        <v>74</v>
      </c>
    </row>
    <row r="2109" spans="1:11" ht="42" customHeight="1">
      <c r="A2109" s="2" t="s">
        <v>5359</v>
      </c>
      <c r="B2109" s="2" t="s">
        <v>5360</v>
      </c>
      <c r="C2109" s="2" t="s">
        <v>31</v>
      </c>
      <c r="D2109" s="2" t="s">
        <v>32</v>
      </c>
      <c r="E2109" s="5">
        <v>-30818</v>
      </c>
      <c r="F2109" s="3" t="s">
        <v>334</v>
      </c>
      <c r="G2109" s="3" t="s">
        <v>38</v>
      </c>
      <c r="H2109" s="2" t="s">
        <v>72</v>
      </c>
      <c r="I2109" s="2" t="s">
        <v>5361</v>
      </c>
      <c r="J2109" s="3" t="str">
        <f>HYPERLINK("https://www.boe.es/gazeta/dias/1815/08/15/pdfs/GMD-1815-100.pdf#page=8","Abrir facsímil")</f>
        <v>Abrir facsímil</v>
      </c>
      <c r="K2109" s="3" t="s">
        <v>74</v>
      </c>
    </row>
    <row r="2110" spans="1:11" ht="42" customHeight="1">
      <c r="A2110" s="2" t="s">
        <v>5362</v>
      </c>
      <c r="B2110" s="2" t="s">
        <v>5363</v>
      </c>
      <c r="C2110" s="2" t="s">
        <v>61</v>
      </c>
      <c r="D2110" s="2" t="s">
        <v>50</v>
      </c>
      <c r="E2110" s="5">
        <v>-30989</v>
      </c>
      <c r="F2110" s="3" t="s">
        <v>2441</v>
      </c>
      <c r="G2110" s="3" t="s">
        <v>5364</v>
      </c>
      <c r="H2110" s="2" t="s">
        <v>72</v>
      </c>
      <c r="I2110" s="2" t="s">
        <v>5365</v>
      </c>
      <c r="J2110" s="3" t="str">
        <f>HYPERLINK("https://www.boe.es/gazeta/dias/1815/02/25/pdfs/GMD-1815-24.pdf#page=8","Abrir facsímil")</f>
        <v>Abrir facsímil</v>
      </c>
      <c r="K2110" s="3" t="s">
        <v>74</v>
      </c>
    </row>
    <row r="2111" spans="1:11" ht="42" customHeight="1">
      <c r="A2111" s="2" t="s">
        <v>5366</v>
      </c>
      <c r="B2111" s="2" t="s">
        <v>5367</v>
      </c>
      <c r="C2111" s="2" t="s">
        <v>31</v>
      </c>
      <c r="D2111" s="2" t="s">
        <v>32</v>
      </c>
      <c r="E2111" s="5">
        <v>-30863</v>
      </c>
      <c r="F2111" s="3" t="s">
        <v>110</v>
      </c>
      <c r="G2111" s="3" t="s">
        <v>224</v>
      </c>
      <c r="H2111" s="2" t="s">
        <v>72</v>
      </c>
      <c r="I2111" s="2" t="s">
        <v>5368</v>
      </c>
      <c r="J2111" s="3" t="str">
        <f>HYPERLINK("https://www.boe.es/gazeta/dias/1815/07/01/pdfs/GMD-1815-79.pdf#page=9","Abrir facsímil")</f>
        <v>Abrir facsímil</v>
      </c>
      <c r="K2111" s="3" t="s">
        <v>74</v>
      </c>
    </row>
    <row r="2112" spans="1:11" ht="42" customHeight="1">
      <c r="A2112" s="2" t="s">
        <v>5369</v>
      </c>
      <c r="B2112" s="2" t="s">
        <v>5370</v>
      </c>
      <c r="C2112" s="2" t="s">
        <v>49</v>
      </c>
      <c r="D2112" s="2" t="s">
        <v>50</v>
      </c>
      <c r="E2112" s="5">
        <v>-30767</v>
      </c>
      <c r="F2112" s="3" t="s">
        <v>228</v>
      </c>
      <c r="G2112" s="3" t="s">
        <v>88</v>
      </c>
      <c r="H2112" s="2" t="s">
        <v>72</v>
      </c>
      <c r="I2112" s="2" t="s">
        <v>5371</v>
      </c>
      <c r="J2112" s="3" t="str">
        <f>HYPERLINK("https://www.boe.es/gazeta/dias/1815/10/05/pdfs/GMD-1815-125.pdf#page=10","Abrir facsímil")</f>
        <v>Abrir facsímil</v>
      </c>
      <c r="K2112" s="3" t="s">
        <v>74</v>
      </c>
    </row>
    <row r="2113" spans="1:11" ht="42" customHeight="1">
      <c r="A2113" s="2" t="s">
        <v>5372</v>
      </c>
      <c r="B2113" s="2" t="s">
        <v>5373</v>
      </c>
      <c r="C2113" s="2" t="s">
        <v>49</v>
      </c>
      <c r="D2113" s="2" t="s">
        <v>50</v>
      </c>
      <c r="E2113" s="5">
        <v>-30865</v>
      </c>
      <c r="F2113" s="3" t="s">
        <v>163</v>
      </c>
      <c r="G2113" s="3" t="s">
        <v>27</v>
      </c>
      <c r="H2113" s="2" t="s">
        <v>72</v>
      </c>
      <c r="I2113" s="2" t="s">
        <v>5374</v>
      </c>
      <c r="J2113" s="3" t="str">
        <f>HYPERLINK("https://www.boe.es/gazeta/dias/1815/06/29/pdfs/GMD-1815-78.pdf#page=6","Abrir facsímil")</f>
        <v>Abrir facsímil</v>
      </c>
      <c r="K2113" s="3" t="s">
        <v>74</v>
      </c>
    </row>
    <row r="2114" spans="1:11" ht="42" customHeight="1">
      <c r="A2114" s="2" t="s">
        <v>5375</v>
      </c>
      <c r="B2114" s="2" t="s">
        <v>5376</v>
      </c>
      <c r="C2114" s="2" t="s">
        <v>49</v>
      </c>
      <c r="D2114" s="2" t="s">
        <v>50</v>
      </c>
      <c r="E2114" s="5">
        <v>-30982</v>
      </c>
      <c r="F2114" s="3" t="s">
        <v>220</v>
      </c>
      <c r="G2114" s="3" t="s">
        <v>57</v>
      </c>
      <c r="H2114" s="2" t="s">
        <v>72</v>
      </c>
      <c r="I2114" s="2" t="s">
        <v>5377</v>
      </c>
      <c r="J2114" s="3" t="str">
        <f>HYPERLINK("https://www.boe.es/gazeta/dias/1815/03/04/pdfs/GMD-1815-27.pdf#page=5","Abrir facsímil")</f>
        <v>Abrir facsímil</v>
      </c>
      <c r="K2114" s="3" t="s">
        <v>74</v>
      </c>
    </row>
    <row r="2115" spans="1:11" ht="42" customHeight="1">
      <c r="A2115" s="2" t="s">
        <v>5375</v>
      </c>
      <c r="B2115" s="2" t="s">
        <v>5376</v>
      </c>
      <c r="C2115" s="2" t="s">
        <v>31</v>
      </c>
      <c r="D2115" s="2" t="s">
        <v>32</v>
      </c>
      <c r="E2115" s="5">
        <v>-30958</v>
      </c>
      <c r="F2115" s="3" t="s">
        <v>297</v>
      </c>
      <c r="G2115" s="3" t="s">
        <v>27</v>
      </c>
      <c r="H2115" s="2" t="s">
        <v>72</v>
      </c>
      <c r="I2115" s="2" t="s">
        <v>5378</v>
      </c>
      <c r="J2115" s="3" t="str">
        <f>HYPERLINK("https://www.boe.es/gazeta/dias/1815/03/28/pdfs/GMD-1815-37.pdf#page=6","Abrir facsímil")</f>
        <v>Abrir facsímil</v>
      </c>
      <c r="K2115" s="3" t="s">
        <v>74</v>
      </c>
    </row>
    <row r="2116" spans="1:11" ht="42" customHeight="1">
      <c r="A2116" s="2" t="s">
        <v>5375</v>
      </c>
      <c r="B2116" s="2" t="s">
        <v>5376</v>
      </c>
      <c r="C2116" s="2" t="s">
        <v>49</v>
      </c>
      <c r="D2116" s="2" t="s">
        <v>50</v>
      </c>
      <c r="E2116" s="5">
        <v>-30863</v>
      </c>
      <c r="F2116" s="3" t="s">
        <v>110</v>
      </c>
      <c r="G2116" s="3" t="s">
        <v>224</v>
      </c>
      <c r="H2116" s="2" t="s">
        <v>72</v>
      </c>
      <c r="I2116" s="2" t="s">
        <v>5379</v>
      </c>
      <c r="J2116" s="3" t="str">
        <f>HYPERLINK("https://www.boe.es/gazeta/dias/1815/07/01/pdfs/GMD-1815-79.pdf#page=9","Abrir facsímil")</f>
        <v>Abrir facsímil</v>
      </c>
      <c r="K2116" s="3" t="s">
        <v>74</v>
      </c>
    </row>
    <row r="2117" spans="1:11" ht="42" customHeight="1">
      <c r="A2117" s="2" t="s">
        <v>5375</v>
      </c>
      <c r="B2117" s="2" t="s">
        <v>5376</v>
      </c>
      <c r="C2117" s="2" t="s">
        <v>49</v>
      </c>
      <c r="D2117" s="2" t="s">
        <v>50</v>
      </c>
      <c r="E2117" s="5">
        <v>-30818</v>
      </c>
      <c r="F2117" s="3" t="s">
        <v>334</v>
      </c>
      <c r="G2117" s="3" t="s">
        <v>224</v>
      </c>
      <c r="H2117" s="2" t="s">
        <v>72</v>
      </c>
      <c r="I2117" s="2" t="s">
        <v>5380</v>
      </c>
      <c r="J2117" s="3" t="str">
        <f>HYPERLINK("https://www.boe.es/gazeta/dias/1815/08/15/pdfs/GMD-1815-100.pdf#page=9","Abrir facsímil")</f>
        <v>Abrir facsímil</v>
      </c>
      <c r="K2117" s="3" t="s">
        <v>74</v>
      </c>
    </row>
    <row r="2118" spans="1:11" ht="42" customHeight="1">
      <c r="A2118" s="2" t="s">
        <v>5381</v>
      </c>
      <c r="B2118" s="2" t="s">
        <v>5382</v>
      </c>
      <c r="C2118" s="2" t="s">
        <v>49</v>
      </c>
      <c r="D2118" s="2" t="s">
        <v>50</v>
      </c>
      <c r="E2118" s="5">
        <v>-30741</v>
      </c>
      <c r="F2118" s="3" t="s">
        <v>1000</v>
      </c>
      <c r="G2118" s="3" t="s">
        <v>38</v>
      </c>
      <c r="H2118" s="2" t="s">
        <v>72</v>
      </c>
      <c r="I2118" s="2" t="s">
        <v>5383</v>
      </c>
      <c r="J2118" s="3" t="str">
        <f>HYPERLINK("https://www.boe.es/gazeta/dias/1815/10/31/pdfs/GMD-1815-136.pdf#page=8","Abrir facsímil")</f>
        <v>Abrir facsímil</v>
      </c>
      <c r="K2118" s="3" t="s">
        <v>74</v>
      </c>
    </row>
    <row r="2119" spans="1:11" ht="42" customHeight="1">
      <c r="A2119" s="2" t="s">
        <v>5384</v>
      </c>
      <c r="B2119" s="2" t="s">
        <v>5385</v>
      </c>
      <c r="C2119" s="2" t="s">
        <v>31</v>
      </c>
      <c r="D2119" s="2" t="s">
        <v>32</v>
      </c>
      <c r="E2119" s="5">
        <v>-30739</v>
      </c>
      <c r="F2119" s="3" t="s">
        <v>254</v>
      </c>
      <c r="G2119" s="3" t="s">
        <v>88</v>
      </c>
      <c r="H2119" s="2" t="s">
        <v>72</v>
      </c>
      <c r="I2119" s="2" t="s">
        <v>5386</v>
      </c>
      <c r="J2119" s="3" t="str">
        <f>HYPERLINK("https://www.boe.es/gazeta/dias/1815/11/02/pdfs/GMD-1815-137.pdf#page=10","Abrir facsímil")</f>
        <v>Abrir facsímil</v>
      </c>
      <c r="K2119" s="3" t="s">
        <v>74</v>
      </c>
    </row>
    <row r="2120" spans="1:11" ht="42" customHeight="1">
      <c r="A2120" s="2" t="s">
        <v>5387</v>
      </c>
      <c r="B2120" s="2" t="s">
        <v>5388</v>
      </c>
      <c r="C2120" s="2" t="s">
        <v>31</v>
      </c>
      <c r="D2120" s="2" t="s">
        <v>32</v>
      </c>
      <c r="E2120" s="5">
        <v>-30916</v>
      </c>
      <c r="F2120" s="3" t="s">
        <v>147</v>
      </c>
      <c r="G2120" s="3" t="s">
        <v>148</v>
      </c>
      <c r="H2120" s="2" t="s">
        <v>72</v>
      </c>
      <c r="I2120" s="2" t="s">
        <v>5389</v>
      </c>
      <c r="J2120" s="3" t="str">
        <f>HYPERLINK("https://www.boe.es/gazeta/dias/1815/05/09/pdfs/GMD-1815-56.pdf#page=7","Abrir facsímil")</f>
        <v>Abrir facsímil</v>
      </c>
      <c r="K2120" s="3" t="s">
        <v>74</v>
      </c>
    </row>
    <row r="2121" spans="1:11" ht="42" customHeight="1">
      <c r="A2121" s="2" t="s">
        <v>5387</v>
      </c>
      <c r="B2121" s="2" t="s">
        <v>5388</v>
      </c>
      <c r="C2121" s="2" t="s">
        <v>31</v>
      </c>
      <c r="D2121" s="2" t="s">
        <v>32</v>
      </c>
      <c r="E2121" s="5">
        <v>-30844</v>
      </c>
      <c r="F2121" s="3" t="s">
        <v>114</v>
      </c>
      <c r="G2121" s="3" t="s">
        <v>71</v>
      </c>
      <c r="H2121" s="2" t="s">
        <v>72</v>
      </c>
      <c r="I2121" s="2" t="s">
        <v>5390</v>
      </c>
      <c r="J2121" s="3" t="str">
        <f>HYPERLINK("https://www.boe.es/gazeta/dias/1815/07/20/pdfs/GMD-1815-89.pdf#page=7","Abrir facsímil")</f>
        <v>Abrir facsímil</v>
      </c>
      <c r="K2121" s="3" t="s">
        <v>74</v>
      </c>
    </row>
    <row r="2122" spans="1:11" ht="42" customHeight="1">
      <c r="A2122" s="2" t="s">
        <v>5391</v>
      </c>
      <c r="B2122" s="2" t="s">
        <v>5392</v>
      </c>
      <c r="C2122" s="2" t="s">
        <v>31</v>
      </c>
      <c r="D2122" s="2" t="s">
        <v>32</v>
      </c>
      <c r="E2122" s="5">
        <v>-30958</v>
      </c>
      <c r="F2122" s="3" t="s">
        <v>297</v>
      </c>
      <c r="G2122" s="3" t="s">
        <v>57</v>
      </c>
      <c r="H2122" s="2" t="s">
        <v>72</v>
      </c>
      <c r="I2122" s="2" t="s">
        <v>5393</v>
      </c>
      <c r="J2122" s="3" t="str">
        <f>HYPERLINK("https://www.boe.es/gazeta/dias/1815/03/28/pdfs/GMD-1815-37.pdf#page=5","Abrir facsímil")</f>
        <v>Abrir facsímil</v>
      </c>
      <c r="K2122" s="3" t="s">
        <v>74</v>
      </c>
    </row>
    <row r="2123" spans="1:11" ht="42" customHeight="1">
      <c r="A2123" s="2" t="s">
        <v>5394</v>
      </c>
      <c r="B2123" s="2" t="s">
        <v>5395</v>
      </c>
      <c r="C2123" s="2" t="s">
        <v>31</v>
      </c>
      <c r="D2123" s="2" t="s">
        <v>32</v>
      </c>
      <c r="E2123" s="5">
        <v>-31035</v>
      </c>
      <c r="F2123" s="3" t="s">
        <v>42</v>
      </c>
      <c r="G2123" s="3" t="s">
        <v>3551</v>
      </c>
      <c r="H2123" s="2" t="s">
        <v>72</v>
      </c>
      <c r="I2123" s="2" t="s">
        <v>5396</v>
      </c>
      <c r="J2123" s="3" t="str">
        <f>HYPERLINK("https://www.boe.es/gazeta/dias/1815/01/10/pdfs/GMD-1815-4.pdf#page=8","Abrir facsímil")</f>
        <v>Abrir facsímil</v>
      </c>
      <c r="K2123" s="3" t="s">
        <v>74</v>
      </c>
    </row>
    <row r="2124" spans="1:11" ht="42" customHeight="1">
      <c r="A2124" s="2" t="s">
        <v>5397</v>
      </c>
      <c r="B2124" s="2" t="s">
        <v>5398</v>
      </c>
      <c r="C2124" s="2" t="s">
        <v>49</v>
      </c>
      <c r="D2124" s="2" t="s">
        <v>50</v>
      </c>
      <c r="E2124" s="5">
        <v>-31040</v>
      </c>
      <c r="F2124" s="3" t="s">
        <v>326</v>
      </c>
      <c r="G2124" s="3" t="s">
        <v>27</v>
      </c>
      <c r="H2124" s="2" t="s">
        <v>72</v>
      </c>
      <c r="I2124" s="2" t="s">
        <v>5399</v>
      </c>
      <c r="J2124" s="3" t="str">
        <f>HYPERLINK("https://www.boe.es/gazeta/dias/1815/01/05/pdfs/GMD-1815-2.pdf#page=6","Abrir facsímil")</f>
        <v>Abrir facsímil</v>
      </c>
      <c r="K2124" s="3" t="s">
        <v>74</v>
      </c>
    </row>
    <row r="2125" spans="1:11" ht="42" customHeight="1">
      <c r="A2125" s="2" t="s">
        <v>5400</v>
      </c>
      <c r="B2125" s="2" t="s">
        <v>5401</v>
      </c>
      <c r="C2125" s="2" t="s">
        <v>49</v>
      </c>
      <c r="D2125" s="2" t="s">
        <v>50</v>
      </c>
      <c r="E2125" s="5">
        <v>-30982</v>
      </c>
      <c r="F2125" s="3" t="s">
        <v>220</v>
      </c>
      <c r="G2125" s="3" t="s">
        <v>57</v>
      </c>
      <c r="H2125" s="2" t="s">
        <v>72</v>
      </c>
      <c r="I2125" s="2" t="s">
        <v>5402</v>
      </c>
      <c r="J2125" s="3" t="str">
        <f>HYPERLINK("https://www.boe.es/gazeta/dias/1815/03/04/pdfs/GMD-1815-27.pdf#page=5","Abrir facsímil")</f>
        <v>Abrir facsímil</v>
      </c>
      <c r="K2125" s="3" t="s">
        <v>74</v>
      </c>
    </row>
    <row r="2126" spans="1:11" ht="42" customHeight="1">
      <c r="A2126" s="2" t="s">
        <v>5403</v>
      </c>
      <c r="B2126" s="2" t="s">
        <v>5404</v>
      </c>
      <c r="C2126" s="2" t="s">
        <v>195</v>
      </c>
      <c r="D2126" s="2" t="s">
        <v>50</v>
      </c>
      <c r="E2126" s="5">
        <v>-30923</v>
      </c>
      <c r="F2126" s="3" t="s">
        <v>524</v>
      </c>
      <c r="G2126" s="3" t="s">
        <v>88</v>
      </c>
      <c r="H2126" s="2" t="s">
        <v>21</v>
      </c>
      <c r="I2126" s="2" t="s">
        <v>5405</v>
      </c>
      <c r="J2126" s="3" t="str">
        <f>HYPERLINK("https://www.boe.es/gazeta/dias/1815/05/02/pdfs/GMD-1815-53.pdf#page=10","Abrir facsímil")</f>
        <v>Abrir facsímil</v>
      </c>
      <c r="K2126" s="3" t="s">
        <v>23</v>
      </c>
    </row>
    <row r="2127" spans="1:11" ht="42" customHeight="1">
      <c r="A2127" s="2" t="s">
        <v>5406</v>
      </c>
      <c r="B2127" s="2" t="s">
        <v>5407</v>
      </c>
      <c r="C2127" s="2" t="s">
        <v>17</v>
      </c>
      <c r="D2127" s="2" t="s">
        <v>18</v>
      </c>
      <c r="E2127" s="5">
        <v>-30977</v>
      </c>
      <c r="F2127" s="3" t="s">
        <v>37</v>
      </c>
      <c r="G2127" s="3" t="s">
        <v>5408</v>
      </c>
      <c r="H2127" s="2" t="s">
        <v>72</v>
      </c>
      <c r="I2127" s="2" t="s">
        <v>5409</v>
      </c>
      <c r="J2127" s="3" t="str">
        <f>HYPERLINK("https://www.boe.es/gazeta/dias/1815/03/09/pdfs/GMD-1815-29.pdf#page=6","Abrir facsímil")</f>
        <v>Abrir facsímil</v>
      </c>
      <c r="K2127" s="3" t="s">
        <v>74</v>
      </c>
    </row>
    <row r="2128" spans="1:11" ht="42" customHeight="1">
      <c r="A2128" s="2" t="s">
        <v>5406</v>
      </c>
      <c r="B2128" s="2" t="s">
        <v>5407</v>
      </c>
      <c r="C2128" s="2" t="s">
        <v>31</v>
      </c>
      <c r="D2128" s="2" t="s">
        <v>32</v>
      </c>
      <c r="E2128" s="5">
        <v>-30977</v>
      </c>
      <c r="F2128" s="3" t="s">
        <v>37</v>
      </c>
      <c r="G2128" s="3" t="s">
        <v>71</v>
      </c>
      <c r="H2128" s="2" t="s">
        <v>72</v>
      </c>
      <c r="I2128" s="2" t="s">
        <v>5410</v>
      </c>
      <c r="J2128" s="3" t="str">
        <f>HYPERLINK("https://www.boe.es/gazeta/dias/1815/03/09/pdfs/GMD-1815-29.pdf#page=7","Abrir facsímil")</f>
        <v>Abrir facsímil</v>
      </c>
      <c r="K2128" s="3" t="s">
        <v>74</v>
      </c>
    </row>
    <row r="2129" spans="1:11" ht="42" customHeight="1">
      <c r="A2129" s="2" t="s">
        <v>5411</v>
      </c>
      <c r="B2129" s="2" t="s">
        <v>5412</v>
      </c>
      <c r="C2129" s="2" t="s">
        <v>61</v>
      </c>
      <c r="D2129" s="2" t="s">
        <v>50</v>
      </c>
      <c r="E2129" s="5">
        <v>-30968</v>
      </c>
      <c r="F2129" s="3" t="s">
        <v>2695</v>
      </c>
      <c r="G2129" s="3" t="s">
        <v>276</v>
      </c>
      <c r="H2129" s="2" t="s">
        <v>72</v>
      </c>
      <c r="I2129" s="2" t="s">
        <v>5413</v>
      </c>
      <c r="J2129" s="3" t="str">
        <f>HYPERLINK("https://www.boe.es/gazeta/dias/1815/03/18/pdfs/GMD-1815-33.pdf#page=12","Abrir facsímil")</f>
        <v>Abrir facsímil</v>
      </c>
      <c r="K2129" s="3" t="s">
        <v>74</v>
      </c>
    </row>
    <row r="2130" spans="1:11" ht="42" customHeight="1">
      <c r="A2130" s="2" t="s">
        <v>5414</v>
      </c>
      <c r="B2130" s="2" t="s">
        <v>5415</v>
      </c>
      <c r="C2130" s="2" t="s">
        <v>61</v>
      </c>
      <c r="D2130" s="2" t="s">
        <v>50</v>
      </c>
      <c r="E2130" s="5">
        <v>-30774</v>
      </c>
      <c r="F2130" s="3" t="s">
        <v>1143</v>
      </c>
      <c r="G2130" s="3" t="s">
        <v>1144</v>
      </c>
      <c r="H2130" s="2" t="s">
        <v>72</v>
      </c>
      <c r="I2130" s="2" t="s">
        <v>5416</v>
      </c>
      <c r="J2130" s="3" t="str">
        <f>HYPERLINK("https://www.boe.es/gazeta/dias/1815/09/28/pdfs/GMD-1815-121.pdf#page=8","Abrir facsímil")</f>
        <v>Abrir facsímil</v>
      </c>
      <c r="K2130" s="3" t="s">
        <v>74</v>
      </c>
    </row>
    <row r="2131" spans="1:11" ht="42" customHeight="1">
      <c r="A2131" s="2" t="s">
        <v>5417</v>
      </c>
      <c r="B2131" s="2" t="s">
        <v>5418</v>
      </c>
      <c r="C2131" s="2" t="s">
        <v>17</v>
      </c>
      <c r="D2131" s="2" t="s">
        <v>18</v>
      </c>
      <c r="E2131" s="5">
        <v>-30877</v>
      </c>
      <c r="F2131" s="3" t="s">
        <v>548</v>
      </c>
      <c r="G2131" s="3" t="s">
        <v>276</v>
      </c>
      <c r="H2131" s="2" t="s">
        <v>72</v>
      </c>
      <c r="I2131" s="2" t="s">
        <v>5419</v>
      </c>
      <c r="J2131" s="3" t="str">
        <f>HYPERLINK("https://www.boe.es/gazeta/dias/1815/06/17/pdfs/GMD-1815-73.pdf#page=12","Abrir facsímil")</f>
        <v>Abrir facsímil</v>
      </c>
      <c r="K2131" s="3" t="s">
        <v>74</v>
      </c>
    </row>
    <row r="2132" spans="1:11" ht="42" customHeight="1">
      <c r="A2132" s="2" t="s">
        <v>5420</v>
      </c>
      <c r="B2132" s="2" t="s">
        <v>5421</v>
      </c>
      <c r="C2132" s="2" t="s">
        <v>49</v>
      </c>
      <c r="D2132" s="2" t="s">
        <v>50</v>
      </c>
      <c r="E2132" s="5">
        <v>-30870</v>
      </c>
      <c r="F2132" s="3" t="s">
        <v>122</v>
      </c>
      <c r="G2132" s="3" t="s">
        <v>52</v>
      </c>
      <c r="H2132" s="2" t="s">
        <v>72</v>
      </c>
      <c r="I2132" s="2" t="s">
        <v>5422</v>
      </c>
      <c r="J2132" s="3" t="str">
        <f>HYPERLINK("https://www.boe.es/gazeta/dias/1815/06/24/pdfs/GMD-1815-76.pdf#page=11","Abrir facsímil")</f>
        <v>Abrir facsímil</v>
      </c>
      <c r="K2132" s="3" t="s">
        <v>74</v>
      </c>
    </row>
    <row r="2133" spans="1:11" ht="42" customHeight="1">
      <c r="A2133" s="2" t="s">
        <v>5423</v>
      </c>
      <c r="B2133" s="2" t="s">
        <v>5424</v>
      </c>
      <c r="C2133" s="2" t="s">
        <v>31</v>
      </c>
      <c r="D2133" s="2" t="s">
        <v>32</v>
      </c>
      <c r="E2133" s="5">
        <v>-30818</v>
      </c>
      <c r="F2133" s="3" t="s">
        <v>334</v>
      </c>
      <c r="G2133" s="3" t="s">
        <v>224</v>
      </c>
      <c r="H2133" s="2" t="s">
        <v>72</v>
      </c>
      <c r="I2133" s="2" t="s">
        <v>5425</v>
      </c>
      <c r="J2133" s="3" t="str">
        <f>HYPERLINK("https://www.boe.es/gazeta/dias/1815/08/15/pdfs/GMD-1815-100.pdf#page=9","Abrir facsímil")</f>
        <v>Abrir facsímil</v>
      </c>
      <c r="K2133" s="3" t="s">
        <v>74</v>
      </c>
    </row>
    <row r="2134" spans="1:11" ht="42" customHeight="1">
      <c r="A2134" s="2" t="s">
        <v>5426</v>
      </c>
      <c r="B2134" s="2" t="s">
        <v>5427</v>
      </c>
      <c r="C2134" s="2" t="s">
        <v>49</v>
      </c>
      <c r="D2134" s="2" t="s">
        <v>50</v>
      </c>
      <c r="E2134" s="5">
        <v>-31017</v>
      </c>
      <c r="F2134" s="3" t="s">
        <v>456</v>
      </c>
      <c r="G2134" s="3" t="s">
        <v>2373</v>
      </c>
      <c r="H2134" s="2" t="s">
        <v>72</v>
      </c>
      <c r="I2134" s="2" t="s">
        <v>5428</v>
      </c>
      <c r="J2134" s="3" t="str">
        <f>HYPERLINK("https://www.boe.es/gazeta/dias/1815/01/28/pdfs/GMD-1815-12.pdf#page=7","Abrir facsímil")</f>
        <v>Abrir facsímil</v>
      </c>
      <c r="K2134" s="3" t="s">
        <v>74</v>
      </c>
    </row>
    <row r="2135" spans="1:11" ht="42" customHeight="1">
      <c r="A2135" s="2" t="s">
        <v>5429</v>
      </c>
      <c r="B2135" s="2" t="s">
        <v>5430</v>
      </c>
      <c r="C2135" s="2" t="s">
        <v>61</v>
      </c>
      <c r="D2135" s="2" t="s">
        <v>50</v>
      </c>
      <c r="E2135" s="5">
        <v>-30870</v>
      </c>
      <c r="F2135" s="3" t="s">
        <v>122</v>
      </c>
      <c r="G2135" s="3" t="s">
        <v>38</v>
      </c>
      <c r="H2135" s="2" t="s">
        <v>72</v>
      </c>
      <c r="I2135" s="2" t="s">
        <v>5431</v>
      </c>
      <c r="J2135" s="3" t="str">
        <f>HYPERLINK("https://www.boe.es/gazeta/dias/1815/06/24/pdfs/GMD-1815-76.pdf#page=8","Abrir facsímil")</f>
        <v>Abrir facsímil</v>
      </c>
      <c r="K2135" s="3" t="s">
        <v>74</v>
      </c>
    </row>
    <row r="2136" spans="1:11" ht="42" customHeight="1">
      <c r="A2136" s="2" t="s">
        <v>5432</v>
      </c>
      <c r="B2136" s="2" t="s">
        <v>5433</v>
      </c>
      <c r="C2136" s="2" t="s">
        <v>17</v>
      </c>
      <c r="D2136" s="2" t="s">
        <v>18</v>
      </c>
      <c r="E2136" s="5">
        <v>-30923</v>
      </c>
      <c r="F2136" s="3" t="s">
        <v>524</v>
      </c>
      <c r="G2136" s="3" t="s">
        <v>1314</v>
      </c>
      <c r="H2136" s="2" t="s">
        <v>72</v>
      </c>
      <c r="I2136" s="2" t="s">
        <v>5434</v>
      </c>
      <c r="J2136" s="3" t="str">
        <f>HYPERLINK("https://www.boe.es/gazeta/dias/1815/05/02/pdfs/GMD-1815-53.pdf#page=12","Abrir facsímil")</f>
        <v>Abrir facsímil</v>
      </c>
      <c r="K2136" s="3" t="s">
        <v>74</v>
      </c>
    </row>
    <row r="2137" spans="1:11" ht="42" customHeight="1">
      <c r="A2137" s="2" t="s">
        <v>5435</v>
      </c>
      <c r="B2137" s="2" t="s">
        <v>5436</v>
      </c>
      <c r="C2137" s="2" t="s">
        <v>31</v>
      </c>
      <c r="D2137" s="2" t="s">
        <v>32</v>
      </c>
      <c r="E2137" s="5">
        <v>-30844</v>
      </c>
      <c r="F2137" s="3" t="s">
        <v>114</v>
      </c>
      <c r="G2137" s="3" t="s">
        <v>38</v>
      </c>
      <c r="H2137" s="2" t="s">
        <v>72</v>
      </c>
      <c r="I2137" s="2" t="s">
        <v>5437</v>
      </c>
      <c r="J2137" s="3" t="str">
        <f>HYPERLINK("https://www.boe.es/gazeta/dias/1815/07/20/pdfs/GMD-1815-89.pdf#page=8","Abrir facsímil")</f>
        <v>Abrir facsímil</v>
      </c>
      <c r="K2137" s="3" t="s">
        <v>74</v>
      </c>
    </row>
    <row r="2138" spans="1:11" ht="42" customHeight="1">
      <c r="A2138" s="2" t="s">
        <v>5438</v>
      </c>
      <c r="B2138" s="2" t="s">
        <v>5439</v>
      </c>
      <c r="C2138" s="2" t="s">
        <v>31</v>
      </c>
      <c r="D2138" s="2" t="s">
        <v>32</v>
      </c>
      <c r="E2138" s="5">
        <v>-30958</v>
      </c>
      <c r="F2138" s="3" t="s">
        <v>297</v>
      </c>
      <c r="G2138" s="3" t="s">
        <v>57</v>
      </c>
      <c r="H2138" s="2" t="s">
        <v>72</v>
      </c>
      <c r="I2138" s="2" t="s">
        <v>5440</v>
      </c>
      <c r="J2138" s="3" t="str">
        <f>HYPERLINK("https://www.boe.es/gazeta/dias/1815/03/28/pdfs/GMD-1815-37.pdf#page=5","Abrir facsímil")</f>
        <v>Abrir facsímil</v>
      </c>
      <c r="K2138" s="3" t="s">
        <v>74</v>
      </c>
    </row>
    <row r="2139" spans="1:11" ht="42" customHeight="1">
      <c r="A2139" s="2" t="s">
        <v>5441</v>
      </c>
      <c r="B2139" s="2" t="s">
        <v>5442</v>
      </c>
      <c r="C2139" s="2" t="s">
        <v>195</v>
      </c>
      <c r="D2139" s="2" t="s">
        <v>50</v>
      </c>
      <c r="E2139" s="5">
        <v>-30874</v>
      </c>
      <c r="F2139" s="3" t="s">
        <v>208</v>
      </c>
      <c r="G2139" s="3" t="s">
        <v>38</v>
      </c>
      <c r="H2139" s="2" t="s">
        <v>72</v>
      </c>
      <c r="I2139" s="2" t="s">
        <v>5443</v>
      </c>
      <c r="J2139" s="3" t="str">
        <f>HYPERLINK("https://www.boe.es/gazeta/dias/1815/06/20/pdfs/GMD-1815-74.pdf#page=8","Abrir facsímil")</f>
        <v>Abrir facsímil</v>
      </c>
      <c r="K2139" s="3" t="s">
        <v>74</v>
      </c>
    </row>
    <row r="2140" spans="1:11" ht="42" customHeight="1">
      <c r="A2140" s="2" t="s">
        <v>5444</v>
      </c>
      <c r="B2140" s="2" t="s">
        <v>5445</v>
      </c>
      <c r="C2140" s="2" t="s">
        <v>31</v>
      </c>
      <c r="D2140" s="2" t="s">
        <v>32</v>
      </c>
      <c r="E2140" s="5">
        <v>-31038</v>
      </c>
      <c r="F2140" s="3" t="s">
        <v>395</v>
      </c>
      <c r="G2140" s="3" t="s">
        <v>396</v>
      </c>
      <c r="H2140" s="2" t="s">
        <v>72</v>
      </c>
      <c r="I2140" s="2" t="s">
        <v>5446</v>
      </c>
      <c r="J2140" s="3" t="str">
        <f>HYPERLINK("https://www.boe.es/gazeta/dias/1815/01/07/pdfs/GMD-1815-3.pdf#page=5","Abrir facsímil")</f>
        <v>Abrir facsímil</v>
      </c>
      <c r="K2140" s="3" t="s">
        <v>74</v>
      </c>
    </row>
    <row r="2141" spans="1:11" ht="42" customHeight="1">
      <c r="A2141" s="2" t="s">
        <v>5447</v>
      </c>
      <c r="B2141" s="2" t="s">
        <v>5448</v>
      </c>
      <c r="C2141" s="2" t="s">
        <v>195</v>
      </c>
      <c r="D2141" s="2" t="s">
        <v>50</v>
      </c>
      <c r="E2141" s="5">
        <v>-30874</v>
      </c>
      <c r="F2141" s="3" t="s">
        <v>208</v>
      </c>
      <c r="G2141" s="3" t="s">
        <v>27</v>
      </c>
      <c r="H2141" s="2" t="s">
        <v>72</v>
      </c>
      <c r="I2141" s="2" t="s">
        <v>5449</v>
      </c>
      <c r="J2141" s="3" t="str">
        <f>HYPERLINK("https://www.boe.es/gazeta/dias/1815/06/20/pdfs/GMD-1815-74.pdf#page=6","Abrir facsímil")</f>
        <v>Abrir facsímil</v>
      </c>
      <c r="K2141" s="3" t="s">
        <v>74</v>
      </c>
    </row>
    <row r="2142" spans="1:11" ht="42" customHeight="1">
      <c r="A2142" s="2" t="s">
        <v>5450</v>
      </c>
      <c r="B2142" s="2" t="s">
        <v>5451</v>
      </c>
      <c r="C2142" s="2" t="s">
        <v>31</v>
      </c>
      <c r="D2142" s="2" t="s">
        <v>32</v>
      </c>
      <c r="E2142" s="5">
        <v>-30914</v>
      </c>
      <c r="F2142" s="3" t="s">
        <v>338</v>
      </c>
      <c r="G2142" s="3" t="s">
        <v>88</v>
      </c>
      <c r="H2142" s="2" t="s">
        <v>72</v>
      </c>
      <c r="I2142" s="2" t="s">
        <v>5452</v>
      </c>
      <c r="J2142" s="3" t="str">
        <f>HYPERLINK("https://www.boe.es/gazeta/dias/1815/05/11/pdfs/GMD-1815-57.pdf#page=10","Abrir facsímil")</f>
        <v>Abrir facsímil</v>
      </c>
      <c r="K2142" s="3" t="s">
        <v>74</v>
      </c>
    </row>
    <row r="2143" spans="1:11" ht="42" customHeight="1">
      <c r="A2143" s="2" t="s">
        <v>5453</v>
      </c>
      <c r="B2143" s="2" t="s">
        <v>5453</v>
      </c>
      <c r="C2143" s="2" t="s">
        <v>131</v>
      </c>
      <c r="D2143" s="2" t="s">
        <v>50</v>
      </c>
      <c r="E2143" s="5">
        <v>-30755</v>
      </c>
      <c r="F2143" s="3" t="s">
        <v>598</v>
      </c>
      <c r="G2143" s="3" t="s">
        <v>71</v>
      </c>
      <c r="H2143" s="2" t="s">
        <v>72</v>
      </c>
      <c r="I2143" s="2" t="s">
        <v>5454</v>
      </c>
      <c r="J2143" s="3" t="str">
        <f>HYPERLINK("https://www.boe.es/gazeta/dias/1815/10/17/pdfs/GMD-1815-130.pdf#page=7","Abrir facsímil")</f>
        <v>Abrir facsímil</v>
      </c>
      <c r="K2143" s="3" t="s">
        <v>74</v>
      </c>
    </row>
    <row r="2144" spans="1:11" ht="42" customHeight="1">
      <c r="A2144" s="2" t="s">
        <v>5453</v>
      </c>
      <c r="B2144" s="2" t="s">
        <v>5453</v>
      </c>
      <c r="C2144" s="2" t="s">
        <v>31</v>
      </c>
      <c r="D2144" s="2" t="s">
        <v>32</v>
      </c>
      <c r="E2144" s="5">
        <v>-30716</v>
      </c>
      <c r="F2144" s="3" t="s">
        <v>589</v>
      </c>
      <c r="G2144" s="3" t="s">
        <v>71</v>
      </c>
      <c r="H2144" s="2" t="s">
        <v>72</v>
      </c>
      <c r="I2144" s="2" t="s">
        <v>5455</v>
      </c>
      <c r="J2144" s="3" t="str">
        <f>HYPERLINK("https://www.boe.es/gazeta/dias/1815/11/25/pdfs/GMD-1815-147.pdf#page=7","Abrir facsímil")</f>
        <v>Abrir facsímil</v>
      </c>
      <c r="K2144" s="3" t="s">
        <v>74</v>
      </c>
    </row>
    <row r="2145" spans="1:11" ht="42" customHeight="1">
      <c r="A2145" s="2" t="s">
        <v>5456</v>
      </c>
      <c r="B2145" s="2" t="s">
        <v>5457</v>
      </c>
      <c r="C2145" s="2" t="s">
        <v>17</v>
      </c>
      <c r="D2145" s="2" t="s">
        <v>18</v>
      </c>
      <c r="E2145" s="5">
        <v>-30886</v>
      </c>
      <c r="F2145" s="3" t="s">
        <v>140</v>
      </c>
      <c r="G2145" s="3" t="s">
        <v>224</v>
      </c>
      <c r="H2145" s="2" t="s">
        <v>72</v>
      </c>
      <c r="I2145" s="2" t="s">
        <v>5458</v>
      </c>
      <c r="J2145" s="3" t="str">
        <f>HYPERLINK("https://www.boe.es/gazeta/dias/1815/06/08/pdfs/GMD-1815-69.pdf#page=9","Abrir facsímil")</f>
        <v>Abrir facsímil</v>
      </c>
      <c r="K2145" s="3" t="s">
        <v>74</v>
      </c>
    </row>
    <row r="2146" spans="1:11" ht="42" customHeight="1">
      <c r="A2146" s="2" t="s">
        <v>5459</v>
      </c>
      <c r="B2146" s="2" t="s">
        <v>5459</v>
      </c>
      <c r="C2146" s="2" t="s">
        <v>49</v>
      </c>
      <c r="D2146" s="2" t="s">
        <v>50</v>
      </c>
      <c r="E2146" s="5">
        <v>-30751</v>
      </c>
      <c r="F2146" s="3" t="s">
        <v>819</v>
      </c>
      <c r="G2146" s="3" t="s">
        <v>820</v>
      </c>
      <c r="H2146" s="2" t="s">
        <v>72</v>
      </c>
      <c r="I2146" s="2" t="s">
        <v>5460</v>
      </c>
      <c r="J2146" s="3" t="str">
        <f>HYPERLINK("https://www.boe.es/gazeta/dias/1815/10/21/pdfs/GMD-1815-132.pdf#page=4","Abrir facsímil")</f>
        <v>Abrir facsímil</v>
      </c>
      <c r="K2146" s="3" t="s">
        <v>74</v>
      </c>
    </row>
    <row r="2147" spans="1:11" ht="42" customHeight="1">
      <c r="A2147" s="2" t="s">
        <v>5461</v>
      </c>
      <c r="B2147" s="2" t="s">
        <v>5462</v>
      </c>
      <c r="C2147" s="2" t="s">
        <v>61</v>
      </c>
      <c r="D2147" s="2" t="s">
        <v>50</v>
      </c>
      <c r="E2147" s="5">
        <v>-31026</v>
      </c>
      <c r="F2147" s="3" t="s">
        <v>874</v>
      </c>
      <c r="G2147" s="3" t="s">
        <v>38</v>
      </c>
      <c r="H2147" s="2" t="s">
        <v>72</v>
      </c>
      <c r="I2147" s="2" t="s">
        <v>5463</v>
      </c>
      <c r="J2147" s="3" t="str">
        <f>HYPERLINK("https://www.boe.es/gazeta/dias/1815/01/19/pdfs/GMD-1815-8.pdf#page=8","Abrir facsímil")</f>
        <v>Abrir facsímil</v>
      </c>
      <c r="K2147" s="3" t="s">
        <v>74</v>
      </c>
    </row>
    <row r="2148" spans="1:11" ht="42" customHeight="1">
      <c r="A2148" s="2" t="s">
        <v>5464</v>
      </c>
      <c r="B2148" s="2" t="s">
        <v>5465</v>
      </c>
      <c r="C2148" s="2" t="s">
        <v>61</v>
      </c>
      <c r="D2148" s="2" t="s">
        <v>50</v>
      </c>
      <c r="E2148" s="5">
        <v>-31024</v>
      </c>
      <c r="F2148" s="3" t="s">
        <v>101</v>
      </c>
      <c r="G2148" s="3" t="s">
        <v>258</v>
      </c>
      <c r="H2148" s="2" t="s">
        <v>72</v>
      </c>
      <c r="I2148" s="2" t="s">
        <v>5466</v>
      </c>
      <c r="J2148" s="3" t="str">
        <f>HYPERLINK("https://www.boe.es/gazeta/dias/1815/01/21/pdfs/GMD-1815-9.pdf#page=6","Abrir facsímil")</f>
        <v>Abrir facsímil</v>
      </c>
      <c r="K2148" s="3" t="s">
        <v>74</v>
      </c>
    </row>
    <row r="2149" spans="1:11" ht="42" customHeight="1">
      <c r="A2149" s="2" t="s">
        <v>5467</v>
      </c>
      <c r="B2149" s="2" t="s">
        <v>5468</v>
      </c>
      <c r="C2149" s="2" t="s">
        <v>31</v>
      </c>
      <c r="D2149" s="2" t="s">
        <v>32</v>
      </c>
      <c r="E2149" s="5">
        <v>-30872</v>
      </c>
      <c r="F2149" s="3" t="s">
        <v>167</v>
      </c>
      <c r="G2149" s="3" t="s">
        <v>52</v>
      </c>
      <c r="H2149" s="2" t="s">
        <v>72</v>
      </c>
      <c r="I2149" s="2" t="s">
        <v>5469</v>
      </c>
      <c r="J2149" s="3" t="str">
        <f>HYPERLINK("https://www.boe.es/gazeta/dias/1815/06/22/pdfs/GMD-1815-75.pdf#page=11","Abrir facsímil")</f>
        <v>Abrir facsímil</v>
      </c>
      <c r="K2149" s="3" t="s">
        <v>74</v>
      </c>
    </row>
    <row r="2150" spans="1:11" ht="42" customHeight="1">
      <c r="A2150" s="2" t="s">
        <v>5470</v>
      </c>
      <c r="B2150" s="2" t="s">
        <v>5471</v>
      </c>
      <c r="C2150" s="2" t="s">
        <v>31</v>
      </c>
      <c r="D2150" s="2" t="s">
        <v>32</v>
      </c>
      <c r="E2150" s="5">
        <v>-31038</v>
      </c>
      <c r="F2150" s="3" t="s">
        <v>395</v>
      </c>
      <c r="G2150" s="3" t="s">
        <v>396</v>
      </c>
      <c r="H2150" s="2" t="s">
        <v>72</v>
      </c>
      <c r="I2150" s="2" t="s">
        <v>5472</v>
      </c>
      <c r="J2150" s="3" t="str">
        <f>HYPERLINK("https://www.boe.es/gazeta/dias/1815/01/07/pdfs/GMD-1815-3.pdf#page=5","Abrir facsímil")</f>
        <v>Abrir facsímil</v>
      </c>
      <c r="K2150" s="3" t="s">
        <v>74</v>
      </c>
    </row>
    <row r="2151" spans="1:11" ht="42" customHeight="1">
      <c r="A2151" s="2" t="s">
        <v>5473</v>
      </c>
      <c r="B2151" s="2" t="s">
        <v>5474</v>
      </c>
      <c r="C2151" s="2" t="s">
        <v>31</v>
      </c>
      <c r="D2151" s="2" t="s">
        <v>32</v>
      </c>
      <c r="E2151" s="5">
        <v>-31040</v>
      </c>
      <c r="F2151" s="3" t="s">
        <v>326</v>
      </c>
      <c r="G2151" s="3" t="s">
        <v>71</v>
      </c>
      <c r="H2151" s="2" t="s">
        <v>72</v>
      </c>
      <c r="I2151" s="2" t="s">
        <v>5475</v>
      </c>
      <c r="J2151" s="3" t="str">
        <f>HYPERLINK("https://www.boe.es/gazeta/dias/1815/01/05/pdfs/GMD-1815-2.pdf#page=7","Abrir facsímil")</f>
        <v>Abrir facsímil</v>
      </c>
      <c r="K2151" s="3" t="s">
        <v>74</v>
      </c>
    </row>
    <row r="2152" spans="1:11" ht="42" customHeight="1">
      <c r="A2152" s="2" t="s">
        <v>5476</v>
      </c>
      <c r="B2152" s="2" t="s">
        <v>5477</v>
      </c>
      <c r="C2152" s="2" t="s">
        <v>31</v>
      </c>
      <c r="D2152" s="2" t="s">
        <v>32</v>
      </c>
      <c r="E2152" s="5">
        <v>-30767</v>
      </c>
      <c r="F2152" s="3" t="s">
        <v>228</v>
      </c>
      <c r="G2152" s="3" t="s">
        <v>224</v>
      </c>
      <c r="H2152" s="2" t="s">
        <v>72</v>
      </c>
      <c r="I2152" s="2" t="s">
        <v>5478</v>
      </c>
      <c r="J2152" s="3" t="str">
        <f>HYPERLINK("https://www.boe.es/gazeta/dias/1815/10/05/pdfs/GMD-1815-125.pdf#page=9","Abrir facsímil")</f>
        <v>Abrir facsímil</v>
      </c>
      <c r="K2152" s="3" t="s">
        <v>74</v>
      </c>
    </row>
    <row r="2153" spans="1:11" ht="42" customHeight="1">
      <c r="A2153" s="2" t="s">
        <v>5479</v>
      </c>
      <c r="B2153" s="2" t="s">
        <v>5480</v>
      </c>
      <c r="C2153" s="2" t="s">
        <v>17</v>
      </c>
      <c r="D2153" s="2" t="s">
        <v>18</v>
      </c>
      <c r="E2153" s="5">
        <v>-31019</v>
      </c>
      <c r="F2153" s="3" t="s">
        <v>1094</v>
      </c>
      <c r="G2153" s="3" t="s">
        <v>88</v>
      </c>
      <c r="H2153" s="2" t="s">
        <v>72</v>
      </c>
      <c r="I2153" s="2" t="s">
        <v>5481</v>
      </c>
      <c r="J2153" s="3" t="str">
        <f>HYPERLINK("https://www.boe.es/gazeta/dias/1815/01/26/pdfs/GMD-1815-11.pdf#page=10","Abrir facsímil")</f>
        <v>Abrir facsímil</v>
      </c>
      <c r="K2153" s="3" t="s">
        <v>74</v>
      </c>
    </row>
    <row r="2154" spans="1:11" ht="42" customHeight="1">
      <c r="A2154" s="2" t="s">
        <v>5479</v>
      </c>
      <c r="B2154" s="2" t="s">
        <v>5480</v>
      </c>
      <c r="C2154" s="2" t="s">
        <v>49</v>
      </c>
      <c r="D2154" s="2" t="s">
        <v>50</v>
      </c>
      <c r="E2154" s="5">
        <v>-30725</v>
      </c>
      <c r="F2154" s="3" t="s">
        <v>1535</v>
      </c>
      <c r="G2154" s="3" t="s">
        <v>5348</v>
      </c>
      <c r="H2154" s="2" t="s">
        <v>72</v>
      </c>
      <c r="I2154" s="2" t="s">
        <v>5482</v>
      </c>
      <c r="J2154" s="3" t="str">
        <f>HYPERLINK("https://www.boe.es/gazeta/dias/1815/11/16/pdfs/GMD-1815-143.pdf#page=7","Abrir facsímil")</f>
        <v>Abrir facsímil</v>
      </c>
      <c r="K2154" s="3" t="s">
        <v>74</v>
      </c>
    </row>
    <row r="2155" spans="1:11" ht="42" customHeight="1">
      <c r="A2155" s="2" t="s">
        <v>5483</v>
      </c>
      <c r="B2155" s="2" t="s">
        <v>5484</v>
      </c>
      <c r="C2155" s="2" t="s">
        <v>17</v>
      </c>
      <c r="D2155" s="2" t="s">
        <v>18</v>
      </c>
      <c r="E2155" s="5">
        <v>-30965</v>
      </c>
      <c r="F2155" s="3" t="s">
        <v>1679</v>
      </c>
      <c r="G2155" s="3" t="s">
        <v>97</v>
      </c>
      <c r="H2155" s="2" t="s">
        <v>72</v>
      </c>
      <c r="I2155" s="2" t="s">
        <v>5485</v>
      </c>
      <c r="J2155" s="3" t="str">
        <f>HYPERLINK("https://www.boe.es/gazeta/dias/1815/03/21/pdfs/GMD-1815-34.pdf#page=3","Abrir facsímil")</f>
        <v>Abrir facsímil</v>
      </c>
      <c r="K2155" s="3" t="s">
        <v>74</v>
      </c>
    </row>
    <row r="2156" spans="1:11" ht="42" customHeight="1">
      <c r="A2156" s="2" t="s">
        <v>5486</v>
      </c>
      <c r="B2156" s="2" t="s">
        <v>5487</v>
      </c>
      <c r="C2156" s="2" t="s">
        <v>195</v>
      </c>
      <c r="D2156" s="2" t="s">
        <v>50</v>
      </c>
      <c r="E2156" s="5">
        <v>-30874</v>
      </c>
      <c r="F2156" s="3" t="s">
        <v>208</v>
      </c>
      <c r="G2156" s="3" t="s">
        <v>224</v>
      </c>
      <c r="H2156" s="2" t="s">
        <v>72</v>
      </c>
      <c r="I2156" s="2" t="s">
        <v>5488</v>
      </c>
      <c r="J2156" s="3" t="str">
        <f>HYPERLINK("https://www.boe.es/gazeta/dias/1815/06/20/pdfs/GMD-1815-74.pdf#page=9","Abrir facsímil")</f>
        <v>Abrir facsímil</v>
      </c>
      <c r="K2156" s="3" t="s">
        <v>74</v>
      </c>
    </row>
    <row r="2157" spans="1:11" ht="42" customHeight="1">
      <c r="A2157" s="2" t="s">
        <v>5489</v>
      </c>
      <c r="B2157" s="2" t="s">
        <v>5490</v>
      </c>
      <c r="C2157" s="2" t="s">
        <v>61</v>
      </c>
      <c r="D2157" s="2" t="s">
        <v>50</v>
      </c>
      <c r="E2157" s="5">
        <v>-30986</v>
      </c>
      <c r="F2157" s="3" t="s">
        <v>46</v>
      </c>
      <c r="G2157" s="3" t="s">
        <v>276</v>
      </c>
      <c r="H2157" s="2" t="s">
        <v>72</v>
      </c>
      <c r="I2157" s="2" t="s">
        <v>5491</v>
      </c>
      <c r="J2157" s="3" t="str">
        <f>HYPERLINK("https://www.boe.es/gazeta/dias/1815/02/28/pdfs/GMD-1815-25.pdf#page=12","Abrir facsímil")</f>
        <v>Abrir facsímil</v>
      </c>
      <c r="K2157" s="3" t="s">
        <v>74</v>
      </c>
    </row>
    <row r="2158" spans="1:11" ht="42" customHeight="1">
      <c r="A2158" s="2" t="s">
        <v>5492</v>
      </c>
      <c r="B2158" s="2" t="s">
        <v>5492</v>
      </c>
      <c r="C2158" s="2" t="s">
        <v>31</v>
      </c>
      <c r="D2158" s="2" t="s">
        <v>32</v>
      </c>
      <c r="E2158" s="5">
        <v>-30776</v>
      </c>
      <c r="F2158" s="3" t="s">
        <v>118</v>
      </c>
      <c r="G2158" s="3" t="s">
        <v>377</v>
      </c>
      <c r="H2158" s="2" t="s">
        <v>72</v>
      </c>
      <c r="I2158" s="2" t="s">
        <v>5493</v>
      </c>
      <c r="J2158" s="3" t="str">
        <f>HYPERLINK("https://www.boe.es/gazeta/dias/1815/09/26/pdfs/GMD-1815-119.pdf#page=2","Abrir facsímil")</f>
        <v>Abrir facsímil</v>
      </c>
      <c r="K2158" s="3" t="s">
        <v>74</v>
      </c>
    </row>
    <row r="2159" spans="1:11" ht="42" customHeight="1">
      <c r="A2159" s="2" t="s">
        <v>5494</v>
      </c>
      <c r="B2159" s="2" t="s">
        <v>5495</v>
      </c>
      <c r="C2159" s="2" t="s">
        <v>49</v>
      </c>
      <c r="D2159" s="2" t="s">
        <v>50</v>
      </c>
      <c r="E2159" s="5">
        <v>-30863</v>
      </c>
      <c r="F2159" s="3" t="s">
        <v>110</v>
      </c>
      <c r="G2159" s="3" t="s">
        <v>224</v>
      </c>
      <c r="H2159" s="2" t="s">
        <v>72</v>
      </c>
      <c r="I2159" s="2" t="s">
        <v>5496</v>
      </c>
      <c r="J2159" s="3" t="str">
        <f>HYPERLINK("https://www.boe.es/gazeta/dias/1815/07/01/pdfs/GMD-1815-79.pdf#page=9","Abrir facsímil")</f>
        <v>Abrir facsímil</v>
      </c>
      <c r="K2159" s="3" t="s">
        <v>74</v>
      </c>
    </row>
    <row r="2160" spans="1:11" ht="42" customHeight="1">
      <c r="A2160" s="2" t="s">
        <v>5497</v>
      </c>
      <c r="B2160" s="2" t="s">
        <v>5498</v>
      </c>
      <c r="C2160" s="2" t="s">
        <v>31</v>
      </c>
      <c r="D2160" s="2" t="s">
        <v>32</v>
      </c>
      <c r="E2160" s="5">
        <v>-30958</v>
      </c>
      <c r="F2160" s="3" t="s">
        <v>297</v>
      </c>
      <c r="G2160" s="3" t="s">
        <v>71</v>
      </c>
      <c r="H2160" s="2" t="s">
        <v>72</v>
      </c>
      <c r="I2160" s="2" t="s">
        <v>5499</v>
      </c>
      <c r="J2160" s="3" t="str">
        <f>HYPERLINK("https://www.boe.es/gazeta/dias/1815/03/28/pdfs/GMD-1815-37.pdf#page=7","Abrir facsímil")</f>
        <v>Abrir facsímil</v>
      </c>
      <c r="K2160" s="3" t="s">
        <v>74</v>
      </c>
    </row>
    <row r="2161" spans="1:11" ht="42" customHeight="1">
      <c r="A2161" s="2" t="s">
        <v>5500</v>
      </c>
      <c r="B2161" s="2" t="s">
        <v>5500</v>
      </c>
      <c r="C2161" s="2" t="s">
        <v>49</v>
      </c>
      <c r="D2161" s="2" t="s">
        <v>50</v>
      </c>
      <c r="E2161" s="5">
        <v>-30865</v>
      </c>
      <c r="F2161" s="3" t="s">
        <v>163</v>
      </c>
      <c r="G2161" s="3" t="s">
        <v>27</v>
      </c>
      <c r="H2161" s="2" t="s">
        <v>72</v>
      </c>
      <c r="I2161" s="2" t="s">
        <v>5501</v>
      </c>
      <c r="J2161" s="3" t="str">
        <f>HYPERLINK("https://www.boe.es/gazeta/dias/1815/06/29/pdfs/GMD-1815-78.pdf#page=6","Abrir facsímil")</f>
        <v>Abrir facsímil</v>
      </c>
      <c r="K2161" s="3" t="s">
        <v>74</v>
      </c>
    </row>
    <row r="2162" spans="1:11" ht="42" customHeight="1">
      <c r="A2162" s="2" t="s">
        <v>5502</v>
      </c>
      <c r="B2162" s="2" t="s">
        <v>5502</v>
      </c>
      <c r="C2162" s="2" t="s">
        <v>49</v>
      </c>
      <c r="D2162" s="2" t="s">
        <v>50</v>
      </c>
      <c r="E2162" s="5">
        <v>-30821</v>
      </c>
      <c r="F2162" s="3" t="s">
        <v>915</v>
      </c>
      <c r="G2162" s="3" t="s">
        <v>1304</v>
      </c>
      <c r="H2162" s="2" t="s">
        <v>72</v>
      </c>
      <c r="I2162" s="2" t="s">
        <v>5503</v>
      </c>
      <c r="J2162" s="3" t="str">
        <f>HYPERLINK("https://www.boe.es/gazeta/dias/1815/08/12/pdfs/GMD-1815-99.pdf#page=4","Abrir facsímil")</f>
        <v>Abrir facsímil</v>
      </c>
      <c r="K2162" s="3" t="s">
        <v>74</v>
      </c>
    </row>
    <row r="2163" spans="1:11" ht="42" customHeight="1">
      <c r="A2163" s="2" t="s">
        <v>5504</v>
      </c>
      <c r="B2163" s="2" t="s">
        <v>5505</v>
      </c>
      <c r="C2163" s="2" t="s">
        <v>31</v>
      </c>
      <c r="D2163" s="2" t="s">
        <v>32</v>
      </c>
      <c r="E2163" s="5">
        <v>-30888</v>
      </c>
      <c r="F2163" s="3" t="s">
        <v>368</v>
      </c>
      <c r="G2163" s="3" t="s">
        <v>276</v>
      </c>
      <c r="H2163" s="2" t="s">
        <v>72</v>
      </c>
      <c r="I2163" s="2" t="s">
        <v>5506</v>
      </c>
      <c r="J2163" s="3" t="str">
        <f>HYPERLINK("https://www.boe.es/gazeta/dias/1815/06/06/pdfs/GMD-1815-68.pdf#page=12","Abrir facsímil")</f>
        <v>Abrir facsímil</v>
      </c>
      <c r="K2163" s="3" t="s">
        <v>74</v>
      </c>
    </row>
    <row r="2164" spans="1:11" ht="42" customHeight="1">
      <c r="A2164" s="2" t="s">
        <v>5507</v>
      </c>
      <c r="B2164" s="2" t="s">
        <v>5508</v>
      </c>
      <c r="C2164" s="2" t="s">
        <v>31</v>
      </c>
      <c r="D2164" s="2" t="s">
        <v>32</v>
      </c>
      <c r="E2164" s="5">
        <v>-30898</v>
      </c>
      <c r="F2164" s="3" t="s">
        <v>212</v>
      </c>
      <c r="G2164" s="3" t="s">
        <v>27</v>
      </c>
      <c r="H2164" s="2" t="s">
        <v>72</v>
      </c>
      <c r="I2164" s="2" t="s">
        <v>5509</v>
      </c>
      <c r="J2164" s="3" t="str">
        <f>HYPERLINK("https://www.boe.es/gazeta/dias/1815/05/27/pdfs/GMD-1815-64.pdf#page=6","Abrir facsímil")</f>
        <v>Abrir facsímil</v>
      </c>
      <c r="K2164" s="3" t="s">
        <v>74</v>
      </c>
    </row>
    <row r="2165" spans="1:11" ht="42" customHeight="1">
      <c r="A2165" s="2" t="s">
        <v>5510</v>
      </c>
      <c r="B2165" s="2" t="s">
        <v>5511</v>
      </c>
      <c r="C2165" s="2" t="s">
        <v>31</v>
      </c>
      <c r="D2165" s="2" t="s">
        <v>32</v>
      </c>
      <c r="E2165" s="5">
        <v>-31028</v>
      </c>
      <c r="F2165" s="3" t="s">
        <v>517</v>
      </c>
      <c r="G2165" s="3" t="s">
        <v>88</v>
      </c>
      <c r="H2165" s="2" t="s">
        <v>72</v>
      </c>
      <c r="I2165" s="2" t="s">
        <v>5512</v>
      </c>
      <c r="J2165" s="3" t="str">
        <f>HYPERLINK("https://www.boe.es/gazeta/dias/1815/01/17/pdfs/GMD-1815-7.pdf#page=10","Abrir facsímil")</f>
        <v>Abrir facsímil</v>
      </c>
      <c r="K2165" s="3" t="s">
        <v>74</v>
      </c>
    </row>
    <row r="2166" spans="1:11" ht="42" customHeight="1">
      <c r="A2166" s="2" t="s">
        <v>5513</v>
      </c>
      <c r="B2166" s="2" t="s">
        <v>5513</v>
      </c>
      <c r="C2166" s="2" t="s">
        <v>897</v>
      </c>
      <c r="D2166" s="2" t="s">
        <v>50</v>
      </c>
      <c r="E2166" s="5">
        <v>-30954</v>
      </c>
      <c r="F2166" s="3" t="s">
        <v>409</v>
      </c>
      <c r="G2166" s="3" t="s">
        <v>97</v>
      </c>
      <c r="H2166" s="2" t="s">
        <v>72</v>
      </c>
      <c r="I2166" s="2" t="s">
        <v>5514</v>
      </c>
      <c r="J2166" s="3" t="str">
        <f>HYPERLINK("https://www.boe.es/gazeta/dias/1815/04/01/pdfs/GMD-1815-39.pdf#page=3","Abrir facsímil")</f>
        <v>Abrir facsímil</v>
      </c>
      <c r="K2166" s="3" t="s">
        <v>74</v>
      </c>
    </row>
    <row r="2167" spans="1:11" ht="42" customHeight="1">
      <c r="A2167" s="2" t="s">
        <v>5515</v>
      </c>
      <c r="B2167" s="2" t="s">
        <v>5516</v>
      </c>
      <c r="C2167" s="2" t="s">
        <v>49</v>
      </c>
      <c r="D2167" s="2" t="s">
        <v>50</v>
      </c>
      <c r="E2167" s="5">
        <v>-30886</v>
      </c>
      <c r="F2167" s="3" t="s">
        <v>140</v>
      </c>
      <c r="G2167" s="3" t="s">
        <v>38</v>
      </c>
      <c r="H2167" s="2" t="s">
        <v>72</v>
      </c>
      <c r="I2167" s="2" t="s">
        <v>5517</v>
      </c>
      <c r="J2167" s="3" t="str">
        <f>HYPERLINK("https://www.boe.es/gazeta/dias/1815/06/08/pdfs/GMD-1815-69.pdf#page=8","Abrir facsímil")</f>
        <v>Abrir facsímil</v>
      </c>
      <c r="K2167" s="3" t="s">
        <v>74</v>
      </c>
    </row>
    <row r="2168" spans="1:11" ht="42" customHeight="1">
      <c r="A2168" s="2" t="s">
        <v>5518</v>
      </c>
      <c r="B2168" s="2" t="s">
        <v>5519</v>
      </c>
      <c r="C2168" s="2" t="s">
        <v>131</v>
      </c>
      <c r="D2168" s="2" t="s">
        <v>50</v>
      </c>
      <c r="E2168" s="5">
        <v>-30769</v>
      </c>
      <c r="F2168" s="3" t="s">
        <v>1641</v>
      </c>
      <c r="G2168" s="3" t="s">
        <v>38</v>
      </c>
      <c r="H2168" s="2" t="s">
        <v>72</v>
      </c>
      <c r="I2168" s="2" t="s">
        <v>5520</v>
      </c>
      <c r="J2168" s="3" t="str">
        <f>HYPERLINK("https://www.boe.es/gazeta/dias/1815/10/03/pdfs/GMD-1815-124.pdf#page=8","Abrir facsímil")</f>
        <v>Abrir facsímil</v>
      </c>
      <c r="K2168" s="3" t="s">
        <v>74</v>
      </c>
    </row>
    <row r="2169" spans="1:11" ht="42" customHeight="1">
      <c r="A2169" s="2" t="s">
        <v>5521</v>
      </c>
      <c r="B2169" s="2" t="s">
        <v>5522</v>
      </c>
      <c r="C2169" s="2" t="s">
        <v>49</v>
      </c>
      <c r="D2169" s="2" t="s">
        <v>50</v>
      </c>
      <c r="E2169" s="5">
        <v>-30741</v>
      </c>
      <c r="F2169" s="3" t="s">
        <v>1000</v>
      </c>
      <c r="G2169" s="3" t="s">
        <v>38</v>
      </c>
      <c r="H2169" s="2" t="s">
        <v>72</v>
      </c>
      <c r="I2169" s="2" t="s">
        <v>5523</v>
      </c>
      <c r="J2169" s="3" t="str">
        <f>HYPERLINK("https://www.boe.es/gazeta/dias/1815/10/31/pdfs/GMD-1815-136.pdf#page=8","Abrir facsímil")</f>
        <v>Abrir facsímil</v>
      </c>
      <c r="K2169" s="3" t="s">
        <v>74</v>
      </c>
    </row>
    <row r="2170" spans="1:11" ht="42" customHeight="1">
      <c r="A2170" s="2" t="s">
        <v>5524</v>
      </c>
      <c r="B2170" s="2" t="s">
        <v>5525</v>
      </c>
      <c r="C2170" s="2" t="s">
        <v>49</v>
      </c>
      <c r="D2170" s="2" t="s">
        <v>50</v>
      </c>
      <c r="E2170" s="5">
        <v>-30886</v>
      </c>
      <c r="F2170" s="3" t="s">
        <v>140</v>
      </c>
      <c r="G2170" s="3" t="s">
        <v>224</v>
      </c>
      <c r="H2170" s="2" t="s">
        <v>72</v>
      </c>
      <c r="I2170" s="2" t="s">
        <v>5526</v>
      </c>
      <c r="J2170" s="3" t="str">
        <f>HYPERLINK("https://www.boe.es/gazeta/dias/1815/06/08/pdfs/GMD-1815-69.pdf#page=9","Abrir facsímil")</f>
        <v>Abrir facsímil</v>
      </c>
      <c r="K2170" s="3" t="s">
        <v>74</v>
      </c>
    </row>
    <row r="2171" spans="1:11" ht="42" customHeight="1">
      <c r="A2171" s="2" t="s">
        <v>5527</v>
      </c>
      <c r="B2171" s="2" t="s">
        <v>5528</v>
      </c>
      <c r="C2171" s="2" t="s">
        <v>17</v>
      </c>
      <c r="D2171" s="2" t="s">
        <v>18</v>
      </c>
      <c r="E2171" s="5">
        <v>-30865</v>
      </c>
      <c r="F2171" s="3" t="s">
        <v>163</v>
      </c>
      <c r="G2171" s="3" t="s">
        <v>71</v>
      </c>
      <c r="H2171" s="2" t="s">
        <v>72</v>
      </c>
      <c r="I2171" s="2" t="s">
        <v>5529</v>
      </c>
      <c r="J2171" s="3" t="str">
        <f>HYPERLINK("https://www.boe.es/gazeta/dias/1815/06/29/pdfs/GMD-1815-78.pdf#page=7","Abrir facsímil")</f>
        <v>Abrir facsímil</v>
      </c>
      <c r="K2171" s="3" t="s">
        <v>74</v>
      </c>
    </row>
    <row r="2172" spans="1:11" ht="42" customHeight="1">
      <c r="A2172" s="2" t="s">
        <v>5530</v>
      </c>
      <c r="B2172" s="2" t="s">
        <v>5531</v>
      </c>
      <c r="C2172" s="2" t="s">
        <v>31</v>
      </c>
      <c r="D2172" s="2" t="s">
        <v>32</v>
      </c>
      <c r="E2172" s="5">
        <v>-31026</v>
      </c>
      <c r="F2172" s="3" t="s">
        <v>874</v>
      </c>
      <c r="G2172" s="3" t="s">
        <v>71</v>
      </c>
      <c r="H2172" s="2" t="s">
        <v>72</v>
      </c>
      <c r="I2172" s="2" t="s">
        <v>5532</v>
      </c>
      <c r="J2172" s="3" t="str">
        <f>HYPERLINK("https://www.boe.es/gazeta/dias/1815/01/19/pdfs/GMD-1815-8.pdf#page=7","Abrir facsímil")</f>
        <v>Abrir facsímil</v>
      </c>
      <c r="K2172" s="3" t="s">
        <v>74</v>
      </c>
    </row>
    <row r="2173" spans="1:11" ht="42" customHeight="1">
      <c r="A2173" s="2" t="s">
        <v>5533</v>
      </c>
      <c r="B2173" s="2" t="s">
        <v>5534</v>
      </c>
      <c r="C2173" s="2" t="s">
        <v>195</v>
      </c>
      <c r="D2173" s="2" t="s">
        <v>50</v>
      </c>
      <c r="E2173" s="5">
        <v>-30923</v>
      </c>
      <c r="F2173" s="3" t="s">
        <v>524</v>
      </c>
      <c r="G2173" s="3" t="s">
        <v>88</v>
      </c>
      <c r="H2173" s="2" t="s">
        <v>72</v>
      </c>
      <c r="I2173" s="2" t="s">
        <v>5535</v>
      </c>
      <c r="J2173" s="3" t="str">
        <f>HYPERLINK("https://www.boe.es/gazeta/dias/1815/05/02/pdfs/GMD-1815-53.pdf#page=10","Abrir facsímil")</f>
        <v>Abrir facsímil</v>
      </c>
      <c r="K2173" s="3" t="s">
        <v>74</v>
      </c>
    </row>
    <row r="2174" spans="1:11" ht="42" customHeight="1">
      <c r="A2174" s="2" t="s">
        <v>5536</v>
      </c>
      <c r="B2174" s="2" t="s">
        <v>5536</v>
      </c>
      <c r="C2174" s="2" t="s">
        <v>31</v>
      </c>
      <c r="D2174" s="2" t="s">
        <v>32</v>
      </c>
      <c r="E2174" s="5">
        <v>-30681</v>
      </c>
      <c r="F2174" s="3" t="s">
        <v>2093</v>
      </c>
      <c r="G2174" s="3" t="s">
        <v>410</v>
      </c>
      <c r="H2174" s="2" t="s">
        <v>72</v>
      </c>
      <c r="I2174" s="2" t="s">
        <v>5537</v>
      </c>
      <c r="J2174" s="3" t="str">
        <f>HYPERLINK("https://www.boe.es/gazeta/dias/1815/12/30/pdfs/GMD-1815-162.pdf#page=1","Abrir facsímil")</f>
        <v>Abrir facsímil</v>
      </c>
      <c r="K2174" s="3" t="s">
        <v>74</v>
      </c>
    </row>
    <row r="2175" spans="1:11" ht="42" customHeight="1">
      <c r="A2175" s="2" t="s">
        <v>5538</v>
      </c>
      <c r="B2175" s="2" t="s">
        <v>5539</v>
      </c>
      <c r="C2175" s="2" t="s">
        <v>49</v>
      </c>
      <c r="D2175" s="2" t="s">
        <v>50</v>
      </c>
      <c r="E2175" s="5">
        <v>-30835</v>
      </c>
      <c r="F2175" s="3" t="s">
        <v>544</v>
      </c>
      <c r="G2175" s="3" t="s">
        <v>88</v>
      </c>
      <c r="H2175" s="2" t="s">
        <v>72</v>
      </c>
      <c r="I2175" s="2" t="s">
        <v>5540</v>
      </c>
      <c r="J2175" s="3" t="str">
        <f>HYPERLINK("https://www.boe.es/gazeta/dias/1815/07/29/pdfs/GMD-1815-93.pdf#page=10","Abrir facsímil")</f>
        <v>Abrir facsímil</v>
      </c>
      <c r="K2175" s="3" t="s">
        <v>74</v>
      </c>
    </row>
    <row r="2176" spans="1:11" ht="42" customHeight="1">
      <c r="A2176" s="2" t="s">
        <v>5538</v>
      </c>
      <c r="B2176" s="2" t="s">
        <v>5539</v>
      </c>
      <c r="C2176" s="2" t="s">
        <v>49</v>
      </c>
      <c r="D2176" s="2" t="s">
        <v>50</v>
      </c>
      <c r="E2176" s="5">
        <v>-30832</v>
      </c>
      <c r="F2176" s="3" t="s">
        <v>266</v>
      </c>
      <c r="G2176" s="3" t="s">
        <v>88</v>
      </c>
      <c r="H2176" s="2" t="s">
        <v>72</v>
      </c>
      <c r="I2176" s="2" t="s">
        <v>5541</v>
      </c>
      <c r="J2176" s="3" t="str">
        <f>HYPERLINK("https://www.boe.es/gazeta/dias/1815/08/01/pdfs/GMD-1815-94.pdf#page=10","Abrir facsímil")</f>
        <v>Abrir facsímil</v>
      </c>
      <c r="K2176" s="3" t="s">
        <v>74</v>
      </c>
    </row>
    <row r="2177" spans="1:11" ht="42" customHeight="1">
      <c r="A2177" s="2" t="s">
        <v>5538</v>
      </c>
      <c r="B2177" s="2" t="s">
        <v>5539</v>
      </c>
      <c r="C2177" s="2" t="s">
        <v>49</v>
      </c>
      <c r="D2177" s="2" t="s">
        <v>50</v>
      </c>
      <c r="E2177" s="5">
        <v>-30830</v>
      </c>
      <c r="F2177" s="3" t="s">
        <v>33</v>
      </c>
      <c r="G2177" s="3" t="s">
        <v>52</v>
      </c>
      <c r="H2177" s="2" t="s">
        <v>72</v>
      </c>
      <c r="I2177" s="2" t="s">
        <v>5542</v>
      </c>
      <c r="J2177" s="3" t="str">
        <f>HYPERLINK("https://www.boe.es/gazeta/dias/1815/08/03/pdfs/GMD-1815-95.pdf#page=11","Abrir facsímil")</f>
        <v>Abrir facsímil</v>
      </c>
      <c r="K2177" s="3" t="s">
        <v>74</v>
      </c>
    </row>
    <row r="2178" spans="1:11" ht="42" customHeight="1">
      <c r="A2178" s="2" t="s">
        <v>5543</v>
      </c>
      <c r="B2178" s="2" t="s">
        <v>5544</v>
      </c>
      <c r="C2178" s="2" t="s">
        <v>31</v>
      </c>
      <c r="D2178" s="2" t="s">
        <v>32</v>
      </c>
      <c r="E2178" s="5">
        <v>-30755</v>
      </c>
      <c r="F2178" s="3" t="s">
        <v>598</v>
      </c>
      <c r="G2178" s="3" t="s">
        <v>88</v>
      </c>
      <c r="H2178" s="2" t="s">
        <v>72</v>
      </c>
      <c r="I2178" s="2" t="s">
        <v>5545</v>
      </c>
      <c r="J2178" s="3" t="str">
        <f>HYPERLINK("https://www.boe.es/gazeta/dias/1815/10/17/pdfs/GMD-1815-130.pdf#page=10","Abrir facsímil")</f>
        <v>Abrir facsímil</v>
      </c>
      <c r="K2178" s="3" t="s">
        <v>74</v>
      </c>
    </row>
    <row r="2179" spans="1:11" ht="42" customHeight="1">
      <c r="A2179" s="2" t="s">
        <v>5546</v>
      </c>
      <c r="B2179" s="2" t="s">
        <v>5547</v>
      </c>
      <c r="C2179" s="2" t="s">
        <v>31</v>
      </c>
      <c r="D2179" s="2" t="s">
        <v>32</v>
      </c>
      <c r="E2179" s="5">
        <v>-30881</v>
      </c>
      <c r="F2179" s="3" t="s">
        <v>446</v>
      </c>
      <c r="G2179" s="3" t="s">
        <v>38</v>
      </c>
      <c r="H2179" s="2" t="s">
        <v>72</v>
      </c>
      <c r="I2179" s="2" t="s">
        <v>5548</v>
      </c>
      <c r="J2179" s="3" t="str">
        <f>HYPERLINK("https://www.boe.es/gazeta/dias/1815/06/13/pdfs/GMD-1815-71.pdf#page=8","Abrir facsímil")</f>
        <v>Abrir facsímil</v>
      </c>
      <c r="K2179" s="3" t="s">
        <v>74</v>
      </c>
    </row>
    <row r="2180" spans="1:11" ht="42" customHeight="1">
      <c r="A2180" s="2" t="s">
        <v>5549</v>
      </c>
      <c r="B2180" s="2" t="s">
        <v>5549</v>
      </c>
      <c r="C2180" s="2" t="s">
        <v>897</v>
      </c>
      <c r="D2180" s="2" t="s">
        <v>50</v>
      </c>
      <c r="E2180" s="5">
        <v>-30867</v>
      </c>
      <c r="F2180" s="3" t="s">
        <v>3179</v>
      </c>
      <c r="G2180" s="3" t="s">
        <v>97</v>
      </c>
      <c r="H2180" s="2" t="s">
        <v>72</v>
      </c>
      <c r="I2180" s="2" t="s">
        <v>5550</v>
      </c>
      <c r="J2180" s="3" t="str">
        <f>HYPERLINK("https://www.boe.es/gazeta/dias/1815/06/27/pdfs/GMD-1815-77.pdf#page=3","Abrir facsímil")</f>
        <v>Abrir facsímil</v>
      </c>
      <c r="K2180" s="3" t="s">
        <v>74</v>
      </c>
    </row>
    <row r="2181" spans="1:11" ht="42" customHeight="1">
      <c r="A2181" s="2" t="s">
        <v>5551</v>
      </c>
      <c r="B2181" s="2" t="s">
        <v>5551</v>
      </c>
      <c r="C2181" s="2" t="s">
        <v>31</v>
      </c>
      <c r="D2181" s="2" t="s">
        <v>32</v>
      </c>
      <c r="E2181" s="5">
        <v>-30858</v>
      </c>
      <c r="F2181" s="3" t="s">
        <v>1928</v>
      </c>
      <c r="G2181" s="3" t="s">
        <v>377</v>
      </c>
      <c r="H2181" s="2" t="s">
        <v>72</v>
      </c>
      <c r="I2181" s="2" t="s">
        <v>5552</v>
      </c>
      <c r="J2181" s="3" t="str">
        <f>HYPERLINK("https://www.boe.es/gazeta/dias/1815/07/06/pdfs/GMD-1815-83.pdf#page=2","Abrir facsímil")</f>
        <v>Abrir facsímil</v>
      </c>
      <c r="K2181" s="3" t="s">
        <v>74</v>
      </c>
    </row>
    <row r="2182" spans="1:11" ht="42" customHeight="1">
      <c r="A2182" s="2" t="s">
        <v>5553</v>
      </c>
      <c r="B2182" s="2" t="s">
        <v>5554</v>
      </c>
      <c r="C2182" s="2" t="s">
        <v>49</v>
      </c>
      <c r="D2182" s="2" t="s">
        <v>50</v>
      </c>
      <c r="E2182" s="5">
        <v>-30774</v>
      </c>
      <c r="F2182" s="3" t="s">
        <v>1143</v>
      </c>
      <c r="G2182" s="3" t="s">
        <v>20</v>
      </c>
      <c r="H2182" s="2" t="s">
        <v>72</v>
      </c>
      <c r="I2182" s="2" t="s">
        <v>5555</v>
      </c>
      <c r="J2182" s="3" t="str">
        <f>HYPERLINK("https://www.boe.es/gazeta/dias/1815/09/28/pdfs/GMD-1815-121.pdf#page=4","Abrir facsímil")</f>
        <v>Abrir facsímil</v>
      </c>
      <c r="K2182" s="3" t="s">
        <v>74</v>
      </c>
    </row>
    <row r="2183" spans="1:11" ht="42" customHeight="1">
      <c r="A2183" s="2" t="s">
        <v>5556</v>
      </c>
      <c r="B2183" s="2" t="s">
        <v>5556</v>
      </c>
      <c r="C2183" s="2" t="s">
        <v>31</v>
      </c>
      <c r="D2183" s="2" t="s">
        <v>179</v>
      </c>
      <c r="E2183" s="5">
        <v>-30801</v>
      </c>
      <c r="F2183" s="3" t="s">
        <v>4575</v>
      </c>
      <c r="G2183" s="3" t="s">
        <v>5557</v>
      </c>
      <c r="H2183" s="2" t="s">
        <v>72</v>
      </c>
      <c r="I2183" s="2" t="s">
        <v>5558</v>
      </c>
      <c r="J2183" s="3" t="str">
        <f>HYPERLINK("https://www.boe.es/gazeta/dias/1815/09/01/pdfs/GMD-1815-108E.pdf#page=4","Abrir facsímil")</f>
        <v>Abrir facsímil</v>
      </c>
      <c r="K2183" s="3" t="s">
        <v>74</v>
      </c>
    </row>
    <row r="2184" spans="1:11" ht="42" customHeight="1">
      <c r="A2184" s="2" t="s">
        <v>5556</v>
      </c>
      <c r="B2184" s="2" t="s">
        <v>5556</v>
      </c>
      <c r="C2184" s="2" t="s">
        <v>31</v>
      </c>
      <c r="D2184" s="2" t="s">
        <v>32</v>
      </c>
      <c r="E2184" s="5">
        <v>-30772</v>
      </c>
      <c r="F2184" s="3" t="s">
        <v>216</v>
      </c>
      <c r="G2184" s="3" t="s">
        <v>20</v>
      </c>
      <c r="H2184" s="2" t="s">
        <v>72</v>
      </c>
      <c r="I2184" s="2" t="s">
        <v>5559</v>
      </c>
      <c r="J2184" s="3" t="str">
        <f>HYPERLINK("https://www.boe.es/gazeta/dias/1815/09/30/pdfs/GMD-1815-123.pdf#page=4","Abrir facsímil")</f>
        <v>Abrir facsímil</v>
      </c>
      <c r="K2184" s="3" t="s">
        <v>74</v>
      </c>
    </row>
    <row r="2185" spans="1:11" ht="42" customHeight="1">
      <c r="A2185" s="2" t="s">
        <v>5560</v>
      </c>
      <c r="B2185" s="2" t="s">
        <v>5561</v>
      </c>
      <c r="C2185" s="2" t="s">
        <v>17</v>
      </c>
      <c r="D2185" s="2" t="s">
        <v>18</v>
      </c>
      <c r="E2185" s="5">
        <v>-30804</v>
      </c>
      <c r="F2185" s="3" t="s">
        <v>891</v>
      </c>
      <c r="G2185" s="3" t="s">
        <v>71</v>
      </c>
      <c r="H2185" s="2" t="s">
        <v>72</v>
      </c>
      <c r="I2185" s="2" t="s">
        <v>5562</v>
      </c>
      <c r="J2185" s="3" t="str">
        <f>HYPERLINK("https://www.boe.es/gazeta/dias/1815/08/29/pdfs/GMD-1815-106.pdf#page=7","Abrir facsímil")</f>
        <v>Abrir facsímil</v>
      </c>
      <c r="K2185" s="3" t="s">
        <v>74</v>
      </c>
    </row>
    <row r="2186" spans="1:11" ht="42" customHeight="1">
      <c r="A2186" s="2" t="s">
        <v>5563</v>
      </c>
      <c r="B2186" s="2" t="s">
        <v>5564</v>
      </c>
      <c r="C2186" s="2" t="s">
        <v>49</v>
      </c>
      <c r="D2186" s="2" t="s">
        <v>50</v>
      </c>
      <c r="E2186" s="5">
        <v>-30867</v>
      </c>
      <c r="F2186" s="3" t="s">
        <v>3179</v>
      </c>
      <c r="G2186" s="3" t="s">
        <v>3180</v>
      </c>
      <c r="H2186" s="2" t="s">
        <v>72</v>
      </c>
      <c r="I2186" s="2" t="s">
        <v>5565</v>
      </c>
      <c r="J2186" s="3" t="str">
        <f>HYPERLINK("https://www.boe.es/gazeta/dias/1815/06/27/pdfs/GMD-1815-77.pdf#page=8","Abrir facsímil")</f>
        <v>Abrir facsímil</v>
      </c>
      <c r="K2186" s="3" t="s">
        <v>74</v>
      </c>
    </row>
    <row r="2187" spans="1:11" ht="42" customHeight="1">
      <c r="A2187" s="2" t="s">
        <v>5566</v>
      </c>
      <c r="B2187" s="2" t="s">
        <v>5566</v>
      </c>
      <c r="C2187" s="2" t="s">
        <v>31</v>
      </c>
      <c r="D2187" s="2" t="s">
        <v>32</v>
      </c>
      <c r="E2187" s="5">
        <v>-30975</v>
      </c>
      <c r="F2187" s="3" t="s">
        <v>1194</v>
      </c>
      <c r="G2187" s="3" t="s">
        <v>377</v>
      </c>
      <c r="H2187" s="2" t="s">
        <v>72</v>
      </c>
      <c r="I2187" s="2" t="s">
        <v>5567</v>
      </c>
      <c r="J2187" s="3" t="str">
        <f>HYPERLINK("https://www.boe.es/gazeta/dias/1815/03/11/pdfs/GMD-1815-30.pdf#page=2","Abrir facsímil")</f>
        <v>Abrir facsímil</v>
      </c>
      <c r="K2187" s="3" t="s">
        <v>74</v>
      </c>
    </row>
    <row r="2188" spans="1:11" ht="42" customHeight="1">
      <c r="A2188" s="2" t="s">
        <v>5566</v>
      </c>
      <c r="B2188" s="2" t="s">
        <v>5566</v>
      </c>
      <c r="C2188" s="2" t="s">
        <v>31</v>
      </c>
      <c r="D2188" s="2" t="s">
        <v>32</v>
      </c>
      <c r="E2188" s="5">
        <v>-30886</v>
      </c>
      <c r="F2188" s="3" t="s">
        <v>140</v>
      </c>
      <c r="G2188" s="3" t="s">
        <v>410</v>
      </c>
      <c r="H2188" s="2" t="s">
        <v>72</v>
      </c>
      <c r="I2188" s="2" t="s">
        <v>5568</v>
      </c>
      <c r="J2188" s="3" t="str">
        <f>HYPERLINK("https://www.boe.es/gazeta/dias/1815/06/08/pdfs/GMD-1815-69.pdf#page=1","Abrir facsímil")</f>
        <v>Abrir facsímil</v>
      </c>
      <c r="K2188" s="3" t="s">
        <v>74</v>
      </c>
    </row>
    <row r="2189" spans="1:11" ht="42" customHeight="1">
      <c r="A2189" s="2" t="s">
        <v>5569</v>
      </c>
      <c r="B2189" s="2" t="s">
        <v>5569</v>
      </c>
      <c r="C2189" s="2" t="s">
        <v>31</v>
      </c>
      <c r="D2189" s="2" t="s">
        <v>32</v>
      </c>
      <c r="E2189" s="5">
        <v>-30842</v>
      </c>
      <c r="F2189" s="3" t="s">
        <v>126</v>
      </c>
      <c r="G2189" s="3" t="s">
        <v>20</v>
      </c>
      <c r="H2189" s="2" t="s">
        <v>72</v>
      </c>
      <c r="I2189" s="2" t="s">
        <v>5570</v>
      </c>
      <c r="J2189" s="3" t="str">
        <f>HYPERLINK("https://www.boe.es/gazeta/dias/1815/07/22/pdfs/GMD-1815-90.pdf#page=4","Abrir facsímil")</f>
        <v>Abrir facsímil</v>
      </c>
      <c r="K2189" s="3" t="s">
        <v>74</v>
      </c>
    </row>
    <row r="2190" spans="1:11" ht="42" customHeight="1">
      <c r="A2190" s="2" t="s">
        <v>5571</v>
      </c>
      <c r="B2190" s="2" t="s">
        <v>5571</v>
      </c>
      <c r="C2190" s="2" t="s">
        <v>31</v>
      </c>
      <c r="D2190" s="2" t="s">
        <v>179</v>
      </c>
      <c r="E2190" s="5">
        <v>-30863</v>
      </c>
      <c r="F2190" s="3" t="s">
        <v>2024</v>
      </c>
      <c r="G2190" s="3" t="s">
        <v>377</v>
      </c>
      <c r="H2190" s="2" t="s">
        <v>72</v>
      </c>
      <c r="I2190" s="2" t="s">
        <v>5572</v>
      </c>
      <c r="J2190" s="3" t="str">
        <f>HYPERLINK("https://www.boe.es/gazeta/dias/1815/07/01/pdfs/GMD-1815-80E.pdf#page=2","Abrir facsímil")</f>
        <v>Abrir facsímil</v>
      </c>
      <c r="K2190" s="3" t="s">
        <v>74</v>
      </c>
    </row>
    <row r="2191" spans="1:11" ht="42" customHeight="1">
      <c r="A2191" s="2" t="s">
        <v>5573</v>
      </c>
      <c r="B2191" s="2" t="s">
        <v>5574</v>
      </c>
      <c r="C2191" s="2" t="s">
        <v>49</v>
      </c>
      <c r="D2191" s="2" t="s">
        <v>50</v>
      </c>
      <c r="E2191" s="5">
        <v>-30886</v>
      </c>
      <c r="F2191" s="3" t="s">
        <v>140</v>
      </c>
      <c r="G2191" s="3" t="s">
        <v>224</v>
      </c>
      <c r="H2191" s="2" t="s">
        <v>72</v>
      </c>
      <c r="I2191" s="2" t="s">
        <v>5575</v>
      </c>
      <c r="J2191" s="3" t="str">
        <f>HYPERLINK("https://www.boe.es/gazeta/dias/1815/06/08/pdfs/GMD-1815-69.pdf#page=9","Abrir facsímil")</f>
        <v>Abrir facsímil</v>
      </c>
      <c r="K2191" s="3" t="s">
        <v>74</v>
      </c>
    </row>
    <row r="2192" spans="1:11" ht="42" customHeight="1">
      <c r="A2192" s="2" t="s">
        <v>5576</v>
      </c>
      <c r="B2192" s="2" t="s">
        <v>5576</v>
      </c>
      <c r="C2192" s="2" t="s">
        <v>31</v>
      </c>
      <c r="D2192" s="2" t="s">
        <v>32</v>
      </c>
      <c r="E2192" s="5">
        <v>-31003</v>
      </c>
      <c r="F2192" s="3" t="s">
        <v>405</v>
      </c>
      <c r="G2192" s="3" t="s">
        <v>1136</v>
      </c>
      <c r="H2192" s="2" t="s">
        <v>72</v>
      </c>
      <c r="I2192" s="2" t="s">
        <v>5577</v>
      </c>
      <c r="J2192" s="3" t="str">
        <f>HYPERLINK("https://www.boe.es/gazeta/dias/1815/02/11/pdfs/GMD-1815-18.pdf#page=7","Abrir facsímil")</f>
        <v>Abrir facsímil</v>
      </c>
      <c r="K2192" s="3" t="s">
        <v>74</v>
      </c>
    </row>
    <row r="2193" spans="1:11" ht="42" customHeight="1">
      <c r="A2193" s="2" t="s">
        <v>5576</v>
      </c>
      <c r="B2193" s="2" t="s">
        <v>5576</v>
      </c>
      <c r="C2193" s="2" t="s">
        <v>31</v>
      </c>
      <c r="D2193" s="2" t="s">
        <v>32</v>
      </c>
      <c r="E2193" s="5">
        <v>-30935</v>
      </c>
      <c r="F2193" s="3" t="s">
        <v>519</v>
      </c>
      <c r="G2193" s="3" t="s">
        <v>38</v>
      </c>
      <c r="H2193" s="2" t="s">
        <v>72</v>
      </c>
      <c r="I2193" s="2" t="s">
        <v>5578</v>
      </c>
      <c r="J2193" s="3" t="str">
        <f>HYPERLINK("https://www.boe.es/gazeta/dias/1815/04/20/pdfs/GMD-1815-48.pdf#page=8","Abrir facsímil")</f>
        <v>Abrir facsímil</v>
      </c>
      <c r="K2193" s="3" t="s">
        <v>74</v>
      </c>
    </row>
    <row r="2194" spans="1:11" ht="42" customHeight="1">
      <c r="A2194" s="2" t="s">
        <v>5579</v>
      </c>
      <c r="B2194" s="2" t="s">
        <v>5580</v>
      </c>
      <c r="C2194" s="2" t="s">
        <v>31</v>
      </c>
      <c r="D2194" s="2" t="s">
        <v>32</v>
      </c>
      <c r="E2194" s="5">
        <v>-30713</v>
      </c>
      <c r="F2194" s="3" t="s">
        <v>895</v>
      </c>
      <c r="G2194" s="3" t="s">
        <v>71</v>
      </c>
      <c r="H2194" s="2" t="s">
        <v>72</v>
      </c>
      <c r="I2194" s="2" t="s">
        <v>5581</v>
      </c>
      <c r="J2194" s="3" t="str">
        <f>HYPERLINK("https://www.boe.es/gazeta/dias/1815/11/28/pdfs/GMD-1815-148.pdf#page=7","Abrir facsímil")</f>
        <v>Abrir facsímil</v>
      </c>
      <c r="K2194" s="3" t="s">
        <v>74</v>
      </c>
    </row>
    <row r="2195" spans="1:11" ht="42" customHeight="1">
      <c r="A2195" s="2" t="s">
        <v>5582</v>
      </c>
      <c r="B2195" s="2" t="s">
        <v>5582</v>
      </c>
      <c r="C2195" s="2" t="s">
        <v>17</v>
      </c>
      <c r="D2195" s="2" t="s">
        <v>18</v>
      </c>
      <c r="E2195" s="5">
        <v>-30984</v>
      </c>
      <c r="F2195" s="3" t="s">
        <v>748</v>
      </c>
      <c r="G2195" s="3" t="s">
        <v>4039</v>
      </c>
      <c r="H2195" s="2" t="s">
        <v>72</v>
      </c>
      <c r="I2195" s="2" t="s">
        <v>5583</v>
      </c>
      <c r="J2195" s="3" t="str">
        <f>HYPERLINK("https://www.boe.es/gazeta/dias/1815/03/02/pdfs/GMD-1815-26.pdf#page=7","Abrir facsímil")</f>
        <v>Abrir facsímil</v>
      </c>
      <c r="K2195" s="3" t="s">
        <v>74</v>
      </c>
    </row>
    <row r="2196" spans="1:11" ht="42" customHeight="1">
      <c r="A2196" s="2" t="s">
        <v>5582</v>
      </c>
      <c r="B2196" s="2" t="s">
        <v>5582</v>
      </c>
      <c r="C2196" s="2" t="s">
        <v>49</v>
      </c>
      <c r="D2196" s="2" t="s">
        <v>50</v>
      </c>
      <c r="E2196" s="5">
        <v>-30863</v>
      </c>
      <c r="F2196" s="3" t="s">
        <v>110</v>
      </c>
      <c r="G2196" s="3" t="s">
        <v>224</v>
      </c>
      <c r="H2196" s="2" t="s">
        <v>72</v>
      </c>
      <c r="I2196" s="2" t="s">
        <v>5584</v>
      </c>
      <c r="J2196" s="3" t="str">
        <f>HYPERLINK("https://www.boe.es/gazeta/dias/1815/07/01/pdfs/GMD-1815-79.pdf#page=9","Abrir facsímil")</f>
        <v>Abrir facsímil</v>
      </c>
      <c r="K2196" s="3" t="s">
        <v>74</v>
      </c>
    </row>
    <row r="2197" spans="1:11" ht="42" customHeight="1">
      <c r="A2197" s="2" t="s">
        <v>5582</v>
      </c>
      <c r="B2197" s="2" t="s">
        <v>5582</v>
      </c>
      <c r="C2197" s="2" t="s">
        <v>31</v>
      </c>
      <c r="D2197" s="2" t="s">
        <v>179</v>
      </c>
      <c r="E2197" s="5">
        <v>-30863</v>
      </c>
      <c r="F2197" s="3" t="s">
        <v>2024</v>
      </c>
      <c r="G2197" s="3" t="s">
        <v>5585</v>
      </c>
      <c r="H2197" s="2" t="s">
        <v>72</v>
      </c>
      <c r="I2197" s="2" t="s">
        <v>5586</v>
      </c>
      <c r="J2197" s="3" t="str">
        <f>HYPERLINK("https://www.boe.es/gazeta/dias/1815/07/01/pdfs/GMD-1815-80E.pdf#page=3","Abrir facsímil")</f>
        <v>Abrir facsímil</v>
      </c>
      <c r="K2197" s="3" t="s">
        <v>74</v>
      </c>
    </row>
    <row r="2198" spans="1:11" ht="42" customHeight="1">
      <c r="A2198" s="2" t="s">
        <v>5582</v>
      </c>
      <c r="B2198" s="2" t="s">
        <v>5582</v>
      </c>
      <c r="C2198" s="2" t="s">
        <v>31</v>
      </c>
      <c r="D2198" s="2" t="s">
        <v>179</v>
      </c>
      <c r="E2198" s="5">
        <v>-30863</v>
      </c>
      <c r="F2198" s="3" t="s">
        <v>2024</v>
      </c>
      <c r="G2198" s="3" t="s">
        <v>57</v>
      </c>
      <c r="H2198" s="2" t="s">
        <v>72</v>
      </c>
      <c r="I2198" s="2" t="s">
        <v>5587</v>
      </c>
      <c r="J2198" s="3" t="str">
        <f>HYPERLINK("https://www.boe.es/gazeta/dias/1815/07/01/pdfs/GMD-1815-80E.pdf#page=5","Abrir facsímil")</f>
        <v>Abrir facsímil</v>
      </c>
      <c r="K2198" s="3" t="s">
        <v>74</v>
      </c>
    </row>
    <row r="2199" spans="1:11" ht="42" customHeight="1">
      <c r="A2199" s="2" t="s">
        <v>5588</v>
      </c>
      <c r="B2199" s="2" t="s">
        <v>5589</v>
      </c>
      <c r="C2199" s="2" t="s">
        <v>81</v>
      </c>
      <c r="D2199" s="2" t="s">
        <v>50</v>
      </c>
      <c r="E2199" s="5">
        <v>-30860</v>
      </c>
      <c r="F2199" s="3" t="s">
        <v>184</v>
      </c>
      <c r="G2199" s="3" t="s">
        <v>472</v>
      </c>
      <c r="H2199" s="2" t="s">
        <v>72</v>
      </c>
      <c r="I2199" s="2" t="s">
        <v>5590</v>
      </c>
      <c r="J2199" s="3" t="str">
        <f>HYPERLINK("https://www.boe.es/gazeta/dias/1815/07/04/pdfs/GMD-1815-81.pdf#page=8","Abrir facsímil")</f>
        <v>Abrir facsímil</v>
      </c>
      <c r="K2199" s="3" t="s">
        <v>74</v>
      </c>
    </row>
    <row r="2200" spans="1:11" ht="42" customHeight="1">
      <c r="A2200" s="2" t="s">
        <v>5591</v>
      </c>
      <c r="B2200" s="2" t="s">
        <v>5592</v>
      </c>
      <c r="C2200" s="2" t="s">
        <v>31</v>
      </c>
      <c r="D2200" s="2" t="s">
        <v>32</v>
      </c>
      <c r="E2200" s="5">
        <v>-30716</v>
      </c>
      <c r="F2200" s="3" t="s">
        <v>589</v>
      </c>
      <c r="G2200" s="3" t="s">
        <v>27</v>
      </c>
      <c r="H2200" s="2" t="s">
        <v>72</v>
      </c>
      <c r="I2200" s="2" t="s">
        <v>5593</v>
      </c>
      <c r="J2200" s="3" t="str">
        <f>HYPERLINK("https://www.boe.es/gazeta/dias/1815/11/25/pdfs/GMD-1815-147.pdf#page=6","Abrir facsímil")</f>
        <v>Abrir facsímil</v>
      </c>
      <c r="K2200" s="3" t="s">
        <v>74</v>
      </c>
    </row>
    <row r="2201" spans="1:11" ht="42" customHeight="1">
      <c r="A2201" s="2" t="s">
        <v>5594</v>
      </c>
      <c r="B2201" s="2" t="s">
        <v>5595</v>
      </c>
      <c r="C2201" s="2" t="s">
        <v>17</v>
      </c>
      <c r="D2201" s="2" t="s">
        <v>18</v>
      </c>
      <c r="E2201" s="5">
        <v>-30886</v>
      </c>
      <c r="F2201" s="3" t="s">
        <v>140</v>
      </c>
      <c r="G2201" s="3" t="s">
        <v>52</v>
      </c>
      <c r="H2201" s="2" t="s">
        <v>72</v>
      </c>
      <c r="I2201" s="2" t="s">
        <v>5596</v>
      </c>
      <c r="J2201" s="3" t="str">
        <f>HYPERLINK("https://www.boe.es/gazeta/dias/1815/06/08/pdfs/GMD-1815-69.pdf#page=11","Abrir facsímil")</f>
        <v>Abrir facsímil</v>
      </c>
      <c r="K2201" s="3" t="s">
        <v>74</v>
      </c>
    </row>
    <row r="2202" spans="1:11" ht="42" customHeight="1">
      <c r="A2202" s="2" t="s">
        <v>5594</v>
      </c>
      <c r="B2202" s="2" t="s">
        <v>5595</v>
      </c>
      <c r="C2202" s="2" t="s">
        <v>31</v>
      </c>
      <c r="D2202" s="2" t="s">
        <v>179</v>
      </c>
      <c r="E2202" s="5">
        <v>-30860</v>
      </c>
      <c r="F2202" s="3" t="s">
        <v>180</v>
      </c>
      <c r="G2202" s="3" t="s">
        <v>71</v>
      </c>
      <c r="H2202" s="2" t="s">
        <v>72</v>
      </c>
      <c r="I2202" s="2" t="s">
        <v>5597</v>
      </c>
      <c r="J2202" s="3" t="str">
        <f>HYPERLINK("https://www.boe.es/gazeta/dias/1815/07/04/pdfs/GMD-1815-82E.pdf#page=7","Abrir facsímil")</f>
        <v>Abrir facsímil</v>
      </c>
      <c r="K2202" s="3" t="s">
        <v>74</v>
      </c>
    </row>
    <row r="2203" spans="1:11" ht="42" customHeight="1">
      <c r="A2203" s="2" t="s">
        <v>5594</v>
      </c>
      <c r="B2203" s="2" t="s">
        <v>5595</v>
      </c>
      <c r="C2203" s="2" t="s">
        <v>17</v>
      </c>
      <c r="D2203" s="2" t="s">
        <v>18</v>
      </c>
      <c r="E2203" s="5">
        <v>-30828</v>
      </c>
      <c r="F2203" s="3" t="s">
        <v>1402</v>
      </c>
      <c r="G2203" s="3" t="s">
        <v>71</v>
      </c>
      <c r="H2203" s="2" t="s">
        <v>72</v>
      </c>
      <c r="I2203" s="2" t="s">
        <v>5598</v>
      </c>
      <c r="J2203" s="3" t="str">
        <f>HYPERLINK("https://www.boe.es/gazeta/dias/1815/08/05/pdfs/GMD-1815-96.pdf#page=7","Abrir facsímil")</f>
        <v>Abrir facsímil</v>
      </c>
      <c r="K2203" s="3" t="s">
        <v>74</v>
      </c>
    </row>
    <row r="2204" spans="1:11" ht="42" customHeight="1">
      <c r="A2204" s="2" t="s">
        <v>5599</v>
      </c>
      <c r="B2204" s="2" t="s">
        <v>5600</v>
      </c>
      <c r="C2204" s="2" t="s">
        <v>31</v>
      </c>
      <c r="D2204" s="2" t="s">
        <v>32</v>
      </c>
      <c r="E2204" s="5">
        <v>-30863</v>
      </c>
      <c r="F2204" s="3" t="s">
        <v>110</v>
      </c>
      <c r="G2204" s="3" t="s">
        <v>88</v>
      </c>
      <c r="H2204" s="2" t="s">
        <v>72</v>
      </c>
      <c r="I2204" s="2" t="s">
        <v>5601</v>
      </c>
      <c r="J2204" s="3" t="str">
        <f>HYPERLINK("https://www.boe.es/gazeta/dias/1815/07/01/pdfs/GMD-1815-79.pdf#page=10","Abrir facsímil")</f>
        <v>Abrir facsímil</v>
      </c>
      <c r="K2204" s="3" t="s">
        <v>74</v>
      </c>
    </row>
    <row r="2205" spans="1:11" ht="42" customHeight="1">
      <c r="A2205" s="2" t="s">
        <v>5602</v>
      </c>
      <c r="B2205" s="2" t="s">
        <v>5602</v>
      </c>
      <c r="C2205" s="2" t="s">
        <v>897</v>
      </c>
      <c r="D2205" s="2" t="s">
        <v>50</v>
      </c>
      <c r="E2205" s="5">
        <v>-30867</v>
      </c>
      <c r="F2205" s="3" t="s">
        <v>3179</v>
      </c>
      <c r="G2205" s="3" t="s">
        <v>410</v>
      </c>
      <c r="H2205" s="2" t="s">
        <v>72</v>
      </c>
      <c r="I2205" s="2" t="s">
        <v>5603</v>
      </c>
      <c r="J2205" s="3" t="str">
        <f>HYPERLINK("https://www.boe.es/gazeta/dias/1815/06/27/pdfs/GMD-1815-77.pdf#page=1","Abrir facsímil")</f>
        <v>Abrir facsímil</v>
      </c>
      <c r="K2205" s="3" t="s">
        <v>74</v>
      </c>
    </row>
    <row r="2206" spans="1:11" ht="42" customHeight="1">
      <c r="A2206" s="2" t="s">
        <v>5604</v>
      </c>
      <c r="B2206" s="2" t="s">
        <v>5604</v>
      </c>
      <c r="C2206" s="2" t="s">
        <v>31</v>
      </c>
      <c r="D2206" s="2" t="s">
        <v>32</v>
      </c>
      <c r="E2206" s="5">
        <v>-30879</v>
      </c>
      <c r="F2206" s="3" t="s">
        <v>754</v>
      </c>
      <c r="G2206" s="3" t="s">
        <v>27</v>
      </c>
      <c r="H2206" s="2" t="s">
        <v>72</v>
      </c>
      <c r="I2206" s="2" t="s">
        <v>5605</v>
      </c>
      <c r="J2206" s="3" t="str">
        <f>HYPERLINK("https://www.boe.es/gazeta/dias/1815/06/15/pdfs/GMD-1815-72.pdf#page=6","Abrir facsímil")</f>
        <v>Abrir facsímil</v>
      </c>
      <c r="K2206" s="3" t="s">
        <v>74</v>
      </c>
    </row>
    <row r="2207" spans="1:11" ht="42" customHeight="1">
      <c r="A2207" s="2" t="s">
        <v>5606</v>
      </c>
      <c r="B2207" s="2" t="s">
        <v>5607</v>
      </c>
      <c r="C2207" s="2" t="s">
        <v>49</v>
      </c>
      <c r="D2207" s="2" t="s">
        <v>50</v>
      </c>
      <c r="E2207" s="5">
        <v>-30830</v>
      </c>
      <c r="F2207" s="3" t="s">
        <v>33</v>
      </c>
      <c r="G2207" s="3" t="s">
        <v>52</v>
      </c>
      <c r="H2207" s="2" t="s">
        <v>72</v>
      </c>
      <c r="I2207" s="2" t="s">
        <v>5608</v>
      </c>
      <c r="J2207" s="3" t="str">
        <f>HYPERLINK("https://www.boe.es/gazeta/dias/1815/08/03/pdfs/GMD-1815-95.pdf#page=11","Abrir facsímil")</f>
        <v>Abrir facsímil</v>
      </c>
      <c r="K2207" s="3" t="s">
        <v>74</v>
      </c>
    </row>
    <row r="2208" spans="1:11" ht="42" customHeight="1">
      <c r="A2208" s="2" t="s">
        <v>5609</v>
      </c>
      <c r="B2208" s="2" t="s">
        <v>5610</v>
      </c>
      <c r="C2208" s="2" t="s">
        <v>31</v>
      </c>
      <c r="D2208" s="2" t="s">
        <v>32</v>
      </c>
      <c r="E2208" s="5">
        <v>-30968</v>
      </c>
      <c r="F2208" s="3" t="s">
        <v>2695</v>
      </c>
      <c r="G2208" s="3" t="s">
        <v>52</v>
      </c>
      <c r="H2208" s="2" t="s">
        <v>72</v>
      </c>
      <c r="I2208" s="2" t="s">
        <v>5611</v>
      </c>
      <c r="J2208" s="3" t="str">
        <f>HYPERLINK("https://www.boe.es/gazeta/dias/1815/03/18/pdfs/GMD-1815-33.pdf#page=11","Abrir facsímil")</f>
        <v>Abrir facsímil</v>
      </c>
      <c r="K2208" s="3" t="s">
        <v>74</v>
      </c>
    </row>
    <row r="2209" spans="1:11" ht="42" customHeight="1">
      <c r="A2209" s="2" t="s">
        <v>5612</v>
      </c>
      <c r="B2209" s="2" t="s">
        <v>5613</v>
      </c>
      <c r="C2209" s="2" t="s">
        <v>49</v>
      </c>
      <c r="D2209" s="2" t="s">
        <v>50</v>
      </c>
      <c r="E2209" s="5">
        <v>-30863</v>
      </c>
      <c r="F2209" s="3" t="s">
        <v>110</v>
      </c>
      <c r="G2209" s="3" t="s">
        <v>224</v>
      </c>
      <c r="H2209" s="2" t="s">
        <v>72</v>
      </c>
      <c r="I2209" s="2" t="s">
        <v>5614</v>
      </c>
      <c r="J2209" s="3" t="str">
        <f>HYPERLINK("https://www.boe.es/gazeta/dias/1815/07/01/pdfs/GMD-1815-79.pdf#page=9","Abrir facsímil")</f>
        <v>Abrir facsímil</v>
      </c>
      <c r="K2209" s="3" t="s">
        <v>74</v>
      </c>
    </row>
    <row r="2210" spans="1:11" ht="42" customHeight="1">
      <c r="A2210" s="2" t="s">
        <v>5615</v>
      </c>
      <c r="B2210" s="2" t="s">
        <v>5616</v>
      </c>
      <c r="C2210" s="2" t="s">
        <v>17</v>
      </c>
      <c r="D2210" s="2" t="s">
        <v>18</v>
      </c>
      <c r="E2210" s="5">
        <v>-30832</v>
      </c>
      <c r="F2210" s="3" t="s">
        <v>266</v>
      </c>
      <c r="G2210" s="3" t="s">
        <v>88</v>
      </c>
      <c r="H2210" s="2" t="s">
        <v>72</v>
      </c>
      <c r="I2210" s="2" t="s">
        <v>5617</v>
      </c>
      <c r="J2210" s="3" t="str">
        <f>HYPERLINK("https://www.boe.es/gazeta/dias/1815/08/01/pdfs/GMD-1815-94.pdf#page=10","Abrir facsímil")</f>
        <v>Abrir facsímil</v>
      </c>
      <c r="K2210" s="3" t="s">
        <v>74</v>
      </c>
    </row>
    <row r="2211" spans="1:11" ht="42" customHeight="1">
      <c r="A2211" s="2" t="s">
        <v>5618</v>
      </c>
      <c r="B2211" s="2" t="s">
        <v>5619</v>
      </c>
      <c r="C2211" s="2" t="s">
        <v>131</v>
      </c>
      <c r="D2211" s="2" t="s">
        <v>50</v>
      </c>
      <c r="E2211" s="5">
        <v>-30704</v>
      </c>
      <c r="F2211" s="3" t="s">
        <v>1276</v>
      </c>
      <c r="G2211" s="3" t="s">
        <v>3636</v>
      </c>
      <c r="H2211" s="2" t="s">
        <v>21</v>
      </c>
      <c r="I2211" s="2" t="s">
        <v>5620</v>
      </c>
      <c r="J2211" s="3" t="str">
        <f>HYPERLINK("https://www.boe.es/gazeta/dias/1815/12/07/pdfs/GMD-1815-152.pdf#page=7","Abrir facsímil")</f>
        <v>Abrir facsímil</v>
      </c>
      <c r="K2211" s="3" t="s">
        <v>23</v>
      </c>
    </row>
    <row r="2212" spans="1:11" ht="42" customHeight="1">
      <c r="A2212" s="2" t="s">
        <v>5621</v>
      </c>
      <c r="B2212" s="2" t="s">
        <v>5622</v>
      </c>
      <c r="C2212" s="2" t="s">
        <v>49</v>
      </c>
      <c r="D2212" s="2" t="s">
        <v>50</v>
      </c>
      <c r="E2212" s="5">
        <v>-31040</v>
      </c>
      <c r="F2212" s="3" t="s">
        <v>326</v>
      </c>
      <c r="G2212" s="3" t="s">
        <v>4855</v>
      </c>
      <c r="H2212" s="2" t="s">
        <v>72</v>
      </c>
      <c r="I2212" s="2" t="s">
        <v>5623</v>
      </c>
      <c r="J2212" s="3" t="str">
        <f>HYPERLINK("https://www.boe.es/gazeta/dias/1815/01/05/pdfs/GMD-1815-2.pdf#page=5","Abrir facsímil")</f>
        <v>Abrir facsímil</v>
      </c>
      <c r="K2212" s="3" t="s">
        <v>74</v>
      </c>
    </row>
    <row r="2213" spans="1:11" ht="42" customHeight="1">
      <c r="A2213" s="2" t="s">
        <v>5624</v>
      </c>
      <c r="B2213" s="2" t="s">
        <v>5625</v>
      </c>
      <c r="C2213" s="2" t="s">
        <v>49</v>
      </c>
      <c r="D2213" s="2" t="s">
        <v>50</v>
      </c>
      <c r="E2213" s="5">
        <v>-30916</v>
      </c>
      <c r="F2213" s="3" t="s">
        <v>147</v>
      </c>
      <c r="G2213" s="3" t="s">
        <v>38</v>
      </c>
      <c r="H2213" s="2" t="s">
        <v>72</v>
      </c>
      <c r="I2213" s="2" t="s">
        <v>5626</v>
      </c>
      <c r="J2213" s="3" t="str">
        <f>HYPERLINK("https://www.boe.es/gazeta/dias/1815/05/09/pdfs/GMD-1815-56.pdf#page=8","Abrir facsímil")</f>
        <v>Abrir facsímil</v>
      </c>
      <c r="K2213" s="3" t="s">
        <v>74</v>
      </c>
    </row>
    <row r="2214" spans="1:11" ht="42" customHeight="1">
      <c r="A2214" s="2" t="s">
        <v>5627</v>
      </c>
      <c r="B2214" s="2" t="s">
        <v>5628</v>
      </c>
      <c r="C2214" s="2" t="s">
        <v>49</v>
      </c>
      <c r="D2214" s="2" t="s">
        <v>50</v>
      </c>
      <c r="E2214" s="5">
        <v>-30916</v>
      </c>
      <c r="F2214" s="3" t="s">
        <v>147</v>
      </c>
      <c r="G2214" s="3" t="s">
        <v>38</v>
      </c>
      <c r="H2214" s="2" t="s">
        <v>72</v>
      </c>
      <c r="I2214" s="2" t="s">
        <v>5629</v>
      </c>
      <c r="J2214" s="3" t="str">
        <f>HYPERLINK("https://www.boe.es/gazeta/dias/1815/05/09/pdfs/GMD-1815-56.pdf#page=8","Abrir facsímil")</f>
        <v>Abrir facsímil</v>
      </c>
      <c r="K2214" s="3" t="s">
        <v>74</v>
      </c>
    </row>
    <row r="2215" spans="1:11" ht="42" customHeight="1">
      <c r="A2215" s="2" t="s">
        <v>5630</v>
      </c>
      <c r="B2215" s="2" t="s">
        <v>5631</v>
      </c>
      <c r="C2215" s="2" t="s">
        <v>195</v>
      </c>
      <c r="D2215" s="2" t="s">
        <v>50</v>
      </c>
      <c r="E2215" s="5">
        <v>-31000</v>
      </c>
      <c r="F2215" s="3" t="s">
        <v>70</v>
      </c>
      <c r="G2215" s="3" t="s">
        <v>71</v>
      </c>
      <c r="H2215" s="2" t="s">
        <v>21</v>
      </c>
      <c r="I2215" s="2" t="s">
        <v>5632</v>
      </c>
      <c r="J2215" s="3" t="str">
        <f>HYPERLINK("https://www.boe.es/gazeta/dias/1815/02/14/pdfs/GMD-1815-19.pdf#page=7","Abrir facsímil")</f>
        <v>Abrir facsímil</v>
      </c>
      <c r="K2215" s="3" t="s">
        <v>23</v>
      </c>
    </row>
    <row r="2216" spans="1:11" ht="42" customHeight="1">
      <c r="A2216" s="2" t="s">
        <v>5633</v>
      </c>
      <c r="B2216" s="2" t="s">
        <v>5634</v>
      </c>
      <c r="C2216" s="2" t="s">
        <v>195</v>
      </c>
      <c r="D2216" s="2" t="s">
        <v>50</v>
      </c>
      <c r="E2216" s="5">
        <v>-30716</v>
      </c>
      <c r="F2216" s="3" t="s">
        <v>589</v>
      </c>
      <c r="G2216" s="3" t="s">
        <v>71</v>
      </c>
      <c r="H2216" s="2" t="s">
        <v>72</v>
      </c>
      <c r="I2216" s="2" t="s">
        <v>5635</v>
      </c>
      <c r="J2216" s="3" t="str">
        <f>HYPERLINK("https://www.boe.es/gazeta/dias/1815/11/25/pdfs/GMD-1815-147.pdf#page=7","Abrir facsímil")</f>
        <v>Abrir facsímil</v>
      </c>
      <c r="K2216" s="3" t="s">
        <v>74</v>
      </c>
    </row>
    <row r="2217" spans="1:11" ht="42" customHeight="1">
      <c r="A2217" s="2" t="s">
        <v>5636</v>
      </c>
      <c r="B2217" s="2" t="s">
        <v>5637</v>
      </c>
      <c r="C2217" s="2" t="s">
        <v>49</v>
      </c>
      <c r="D2217" s="2" t="s">
        <v>50</v>
      </c>
      <c r="E2217" s="5">
        <v>-30690</v>
      </c>
      <c r="F2217" s="3" t="s">
        <v>1449</v>
      </c>
      <c r="G2217" s="3" t="s">
        <v>27</v>
      </c>
      <c r="H2217" s="2" t="s">
        <v>72</v>
      </c>
      <c r="I2217" s="2" t="s">
        <v>5638</v>
      </c>
      <c r="J2217" s="3" t="str">
        <f>HYPERLINK("https://www.boe.es/gazeta/dias/1815/12/21/pdfs/GMD-1815-158.pdf#page=6","Abrir facsímil")</f>
        <v>Abrir facsímil</v>
      </c>
      <c r="K2217" s="3" t="s">
        <v>74</v>
      </c>
    </row>
    <row r="2218" spans="1:11" ht="42" customHeight="1">
      <c r="A2218" s="2" t="s">
        <v>5639</v>
      </c>
      <c r="B2218" s="2" t="s">
        <v>5639</v>
      </c>
      <c r="C2218" s="2" t="s">
        <v>31</v>
      </c>
      <c r="D2218" s="2" t="s">
        <v>32</v>
      </c>
      <c r="E2218" s="5">
        <v>-30886</v>
      </c>
      <c r="F2218" s="3" t="s">
        <v>140</v>
      </c>
      <c r="G2218" s="3" t="s">
        <v>377</v>
      </c>
      <c r="H2218" s="2" t="s">
        <v>72</v>
      </c>
      <c r="I2218" s="2" t="s">
        <v>5640</v>
      </c>
      <c r="J2218" s="3" t="str">
        <f>HYPERLINK("https://www.boe.es/gazeta/dias/1815/06/08/pdfs/GMD-1815-69.pdf#page=2","Abrir facsímil")</f>
        <v>Abrir facsímil</v>
      </c>
      <c r="K2218" s="3" t="s">
        <v>74</v>
      </c>
    </row>
    <row r="2219" spans="1:11" ht="42" customHeight="1">
      <c r="A2219" s="2" t="s">
        <v>5641</v>
      </c>
      <c r="B2219" s="2" t="s">
        <v>5641</v>
      </c>
      <c r="C2219" s="2" t="s">
        <v>31</v>
      </c>
      <c r="D2219" s="2" t="s">
        <v>32</v>
      </c>
      <c r="E2219" s="5">
        <v>-30699</v>
      </c>
      <c r="F2219" s="3" t="s">
        <v>810</v>
      </c>
      <c r="G2219" s="3" t="s">
        <v>20</v>
      </c>
      <c r="H2219" s="2" t="s">
        <v>72</v>
      </c>
      <c r="I2219" s="2" t="s">
        <v>5642</v>
      </c>
      <c r="J2219" s="3" t="str">
        <f>HYPERLINK("https://www.boe.es/gazeta/dias/1815/12/12/pdfs/GMD-1815-154.pdf#page=4","Abrir facsímil")</f>
        <v>Abrir facsímil</v>
      </c>
      <c r="K2219" s="3" t="s">
        <v>74</v>
      </c>
    </row>
    <row r="2220" spans="1:11" ht="42" customHeight="1">
      <c r="A2220" s="2" t="s">
        <v>5643</v>
      </c>
      <c r="B2220" s="2" t="s">
        <v>5644</v>
      </c>
      <c r="C2220" s="2" t="s">
        <v>17</v>
      </c>
      <c r="D2220" s="2" t="s">
        <v>18</v>
      </c>
      <c r="E2220" s="5">
        <v>-30891</v>
      </c>
      <c r="F2220" s="3" t="s">
        <v>498</v>
      </c>
      <c r="G2220" s="3" t="s">
        <v>27</v>
      </c>
      <c r="H2220" s="2" t="s">
        <v>72</v>
      </c>
      <c r="I2220" s="2" t="s">
        <v>5645</v>
      </c>
      <c r="J2220" s="3" t="str">
        <f>HYPERLINK("https://www.boe.es/gazeta/dias/1815/06/03/pdfs/GMD-1815-67.pdf#page=6","Abrir facsímil")</f>
        <v>Abrir facsímil</v>
      </c>
      <c r="K2220" s="3" t="s">
        <v>74</v>
      </c>
    </row>
    <row r="2221" spans="1:11" ht="42" customHeight="1">
      <c r="A2221" s="2" t="s">
        <v>5646</v>
      </c>
      <c r="B2221" s="2" t="s">
        <v>5647</v>
      </c>
      <c r="C2221" s="2" t="s">
        <v>49</v>
      </c>
      <c r="D2221" s="2" t="s">
        <v>50</v>
      </c>
      <c r="E2221" s="5">
        <v>-30865</v>
      </c>
      <c r="F2221" s="3" t="s">
        <v>163</v>
      </c>
      <c r="G2221" s="3" t="s">
        <v>71</v>
      </c>
      <c r="H2221" s="2" t="s">
        <v>72</v>
      </c>
      <c r="I2221" s="2" t="s">
        <v>5648</v>
      </c>
      <c r="J2221" s="3" t="str">
        <f>HYPERLINK("https://www.boe.es/gazeta/dias/1815/06/29/pdfs/GMD-1815-78.pdf#page=7","Abrir facsímil")</f>
        <v>Abrir facsímil</v>
      </c>
      <c r="K2221" s="3" t="s">
        <v>74</v>
      </c>
    </row>
    <row r="2222" spans="1:11" ht="42" customHeight="1">
      <c r="A2222" s="2" t="s">
        <v>5649</v>
      </c>
      <c r="B2222" s="2" t="s">
        <v>5650</v>
      </c>
      <c r="C2222" s="2" t="s">
        <v>31</v>
      </c>
      <c r="D2222" s="2" t="s">
        <v>32</v>
      </c>
      <c r="E2222" s="5">
        <v>-30872</v>
      </c>
      <c r="F2222" s="3" t="s">
        <v>167</v>
      </c>
      <c r="G2222" s="3" t="s">
        <v>276</v>
      </c>
      <c r="H2222" s="2" t="s">
        <v>72</v>
      </c>
      <c r="I2222" s="2" t="s">
        <v>5651</v>
      </c>
      <c r="J2222" s="3" t="str">
        <f>HYPERLINK("https://www.boe.es/gazeta/dias/1815/06/22/pdfs/GMD-1815-75.pdf#page=12","Abrir facsímil")</f>
        <v>Abrir facsímil</v>
      </c>
      <c r="K2222" s="3" t="s">
        <v>74</v>
      </c>
    </row>
    <row r="2223" spans="1:11" ht="42" customHeight="1">
      <c r="A2223" s="2" t="s">
        <v>5652</v>
      </c>
      <c r="B2223" s="2" t="s">
        <v>5653</v>
      </c>
      <c r="C2223" s="2" t="s">
        <v>17</v>
      </c>
      <c r="D2223" s="2" t="s">
        <v>18</v>
      </c>
      <c r="E2223" s="5">
        <v>-30765</v>
      </c>
      <c r="F2223" s="3" t="s">
        <v>2150</v>
      </c>
      <c r="G2223" s="3" t="s">
        <v>71</v>
      </c>
      <c r="H2223" s="2" t="s">
        <v>72</v>
      </c>
      <c r="I2223" s="2" t="s">
        <v>5654</v>
      </c>
      <c r="J2223" s="3" t="str">
        <f>HYPERLINK("https://www.boe.es/gazeta/dias/1815/10/07/pdfs/GMD-1815-126.pdf#page=7","Abrir facsímil")</f>
        <v>Abrir facsímil</v>
      </c>
      <c r="K2223" s="3" t="s">
        <v>74</v>
      </c>
    </row>
    <row r="2224" spans="1:11" ht="42" customHeight="1">
      <c r="A2224" s="2" t="s">
        <v>5655</v>
      </c>
      <c r="B2224" s="2" t="s">
        <v>5656</v>
      </c>
      <c r="C2224" s="2" t="s">
        <v>17</v>
      </c>
      <c r="D2224" s="2" t="s">
        <v>18</v>
      </c>
      <c r="E2224" s="5">
        <v>-30842</v>
      </c>
      <c r="F2224" s="3" t="s">
        <v>126</v>
      </c>
      <c r="G2224" s="3" t="s">
        <v>276</v>
      </c>
      <c r="H2224" s="2" t="s">
        <v>21</v>
      </c>
      <c r="I2224" s="2" t="s">
        <v>5657</v>
      </c>
      <c r="J2224" s="3" t="str">
        <f>HYPERLINK("https://www.boe.es/gazeta/dias/1815/07/22/pdfs/GMD-1815-90.pdf#page=12","Abrir facsímil")</f>
        <v>Abrir facsímil</v>
      </c>
      <c r="K2224" s="3" t="s">
        <v>23</v>
      </c>
    </row>
    <row r="2225" spans="1:11" ht="42" customHeight="1">
      <c r="A2225" s="2" t="s">
        <v>5658</v>
      </c>
      <c r="B2225" s="2" t="s">
        <v>5659</v>
      </c>
      <c r="C2225" s="2" t="s">
        <v>17</v>
      </c>
      <c r="D2225" s="2" t="s">
        <v>18</v>
      </c>
      <c r="E2225" s="5">
        <v>-30814</v>
      </c>
      <c r="F2225" s="3" t="s">
        <v>644</v>
      </c>
      <c r="G2225" s="3" t="s">
        <v>38</v>
      </c>
      <c r="H2225" s="2" t="s">
        <v>72</v>
      </c>
      <c r="I2225" s="2" t="s">
        <v>5660</v>
      </c>
      <c r="J2225" s="3" t="str">
        <f>HYPERLINK("https://www.boe.es/gazeta/dias/1815/08/19/pdfs/GMD-1815-102.pdf#page=8","Abrir facsímil")</f>
        <v>Abrir facsímil</v>
      </c>
      <c r="K2225" s="3" t="s">
        <v>74</v>
      </c>
    </row>
    <row r="2226" spans="1:11" ht="42" customHeight="1">
      <c r="A2226" s="2" t="s">
        <v>5658</v>
      </c>
      <c r="B2226" s="2" t="s">
        <v>5659</v>
      </c>
      <c r="C2226" s="2" t="s">
        <v>17</v>
      </c>
      <c r="D2226" s="2" t="s">
        <v>18</v>
      </c>
      <c r="E2226" s="5">
        <v>-30772</v>
      </c>
      <c r="F2226" s="3" t="s">
        <v>216</v>
      </c>
      <c r="G2226" s="3" t="s">
        <v>990</v>
      </c>
      <c r="H2226" s="2" t="s">
        <v>72</v>
      </c>
      <c r="I2226" s="2" t="s">
        <v>5661</v>
      </c>
      <c r="J2226" s="3" t="str">
        <f>HYPERLINK("https://www.boe.es/gazeta/dias/1815/09/30/pdfs/GMD-1815-123.pdf#page=8","Abrir facsímil")</f>
        <v>Abrir facsímil</v>
      </c>
      <c r="K2226" s="3" t="s">
        <v>74</v>
      </c>
    </row>
    <row r="2227" spans="1:11" ht="42" customHeight="1">
      <c r="A2227" s="2" t="s">
        <v>5662</v>
      </c>
      <c r="B2227" s="2" t="s">
        <v>5662</v>
      </c>
      <c r="C2227" s="2" t="s">
        <v>49</v>
      </c>
      <c r="D2227" s="2" t="s">
        <v>50</v>
      </c>
      <c r="E2227" s="5">
        <v>-30863</v>
      </c>
      <c r="F2227" s="3" t="s">
        <v>110</v>
      </c>
      <c r="G2227" s="3" t="s">
        <v>224</v>
      </c>
      <c r="H2227" s="2" t="s">
        <v>72</v>
      </c>
      <c r="I2227" s="2" t="s">
        <v>5663</v>
      </c>
      <c r="J2227" s="3" t="str">
        <f>HYPERLINK("https://www.boe.es/gazeta/dias/1815/07/01/pdfs/GMD-1815-79.pdf#page=9","Abrir facsímil")</f>
        <v>Abrir facsímil</v>
      </c>
      <c r="K2227" s="3" t="s">
        <v>74</v>
      </c>
    </row>
    <row r="2228" spans="1:11" ht="42" customHeight="1">
      <c r="A2228" s="2" t="s">
        <v>5664</v>
      </c>
      <c r="B2228" s="2" t="s">
        <v>5664</v>
      </c>
      <c r="C2228" s="2" t="s">
        <v>17</v>
      </c>
      <c r="D2228" s="2" t="s">
        <v>18</v>
      </c>
      <c r="E2228" s="5">
        <v>-30933</v>
      </c>
      <c r="F2228" s="3" t="s">
        <v>725</v>
      </c>
      <c r="G2228" s="3" t="s">
        <v>27</v>
      </c>
      <c r="H2228" s="2" t="s">
        <v>72</v>
      </c>
      <c r="I2228" s="2" t="s">
        <v>5665</v>
      </c>
      <c r="J2228" s="3" t="str">
        <f>HYPERLINK("https://www.boe.es/gazeta/dias/1815/04/22/pdfs/GMD-1815-49.pdf#page=6","Abrir facsímil")</f>
        <v>Abrir facsímil</v>
      </c>
      <c r="K2228" s="3" t="s">
        <v>74</v>
      </c>
    </row>
    <row r="2229" spans="1:11" ht="42" customHeight="1">
      <c r="A2229" s="2" t="s">
        <v>5666</v>
      </c>
      <c r="B2229" s="2" t="s">
        <v>5667</v>
      </c>
      <c r="C2229" s="2" t="s">
        <v>131</v>
      </c>
      <c r="D2229" s="2" t="s">
        <v>50</v>
      </c>
      <c r="E2229" s="5">
        <v>-30783</v>
      </c>
      <c r="F2229" s="3" t="s">
        <v>423</v>
      </c>
      <c r="G2229" s="3" t="s">
        <v>38</v>
      </c>
      <c r="H2229" s="2" t="s">
        <v>72</v>
      </c>
      <c r="I2229" s="2" t="s">
        <v>5668</v>
      </c>
      <c r="J2229" s="3" t="str">
        <f>HYPERLINK("https://www.boe.es/gazeta/dias/1815/09/19/pdfs/GMD-1815-116.pdf#page=8","Abrir facsímil")</f>
        <v>Abrir facsímil</v>
      </c>
      <c r="K2229" s="3" t="s">
        <v>74</v>
      </c>
    </row>
    <row r="2230" spans="1:11" ht="42" customHeight="1">
      <c r="A2230" s="2" t="s">
        <v>5669</v>
      </c>
      <c r="B2230" s="2" t="s">
        <v>5670</v>
      </c>
      <c r="C2230" s="2" t="s">
        <v>195</v>
      </c>
      <c r="D2230" s="2" t="s">
        <v>50</v>
      </c>
      <c r="E2230" s="5">
        <v>-30821</v>
      </c>
      <c r="F2230" s="3" t="s">
        <v>915</v>
      </c>
      <c r="G2230" s="3" t="s">
        <v>38</v>
      </c>
      <c r="H2230" s="2" t="s">
        <v>72</v>
      </c>
      <c r="I2230" s="2" t="s">
        <v>5671</v>
      </c>
      <c r="J2230" s="3" t="str">
        <f>HYPERLINK("https://www.boe.es/gazeta/dias/1815/08/12/pdfs/GMD-1815-99.pdf#page=8","Abrir facsímil")</f>
        <v>Abrir facsímil</v>
      </c>
      <c r="K2230" s="3" t="s">
        <v>74</v>
      </c>
    </row>
    <row r="2231" spans="1:11" ht="42" customHeight="1">
      <c r="A2231" s="2" t="s">
        <v>5672</v>
      </c>
      <c r="B2231" s="2" t="s">
        <v>5673</v>
      </c>
      <c r="C2231" s="2" t="s">
        <v>31</v>
      </c>
      <c r="D2231" s="2" t="s">
        <v>32</v>
      </c>
      <c r="E2231" s="5">
        <v>-30914</v>
      </c>
      <c r="F2231" s="3" t="s">
        <v>338</v>
      </c>
      <c r="G2231" s="3" t="s">
        <v>88</v>
      </c>
      <c r="H2231" s="2" t="s">
        <v>72</v>
      </c>
      <c r="I2231" s="2" t="s">
        <v>5674</v>
      </c>
      <c r="J2231" s="3" t="str">
        <f>HYPERLINK("https://www.boe.es/gazeta/dias/1815/05/11/pdfs/GMD-1815-57.pdf#page=10","Abrir facsímil")</f>
        <v>Abrir facsímil</v>
      </c>
      <c r="K2231" s="3" t="s">
        <v>74</v>
      </c>
    </row>
    <row r="2232" spans="1:11" ht="42" customHeight="1">
      <c r="A2232" s="2" t="s">
        <v>5675</v>
      </c>
      <c r="B2232" s="2" t="s">
        <v>5675</v>
      </c>
      <c r="C2232" s="2" t="s">
        <v>31</v>
      </c>
      <c r="D2232" s="2" t="s">
        <v>179</v>
      </c>
      <c r="E2232" s="5">
        <v>-30863</v>
      </c>
      <c r="F2232" s="3" t="s">
        <v>2024</v>
      </c>
      <c r="G2232" s="3" t="s">
        <v>377</v>
      </c>
      <c r="H2232" s="2" t="s">
        <v>72</v>
      </c>
      <c r="I2232" s="2" t="s">
        <v>5676</v>
      </c>
      <c r="J2232" s="3" t="str">
        <f>HYPERLINK("https://www.boe.es/gazeta/dias/1815/07/01/pdfs/GMD-1815-80E.pdf#page=2","Abrir facsímil")</f>
        <v>Abrir facsímil</v>
      </c>
      <c r="K2232" s="3" t="s">
        <v>74</v>
      </c>
    </row>
    <row r="2233" spans="1:11" ht="42" customHeight="1">
      <c r="A2233" s="2" t="s">
        <v>5677</v>
      </c>
      <c r="B2233" s="2" t="s">
        <v>5678</v>
      </c>
      <c r="C2233" s="2" t="s">
        <v>31</v>
      </c>
      <c r="D2233" s="2" t="s">
        <v>32</v>
      </c>
      <c r="E2233" s="5">
        <v>-30688</v>
      </c>
      <c r="F2233" s="3" t="s">
        <v>62</v>
      </c>
      <c r="G2233" s="3" t="s">
        <v>57</v>
      </c>
      <c r="H2233" s="2" t="s">
        <v>72</v>
      </c>
      <c r="I2233" s="2" t="s">
        <v>5679</v>
      </c>
      <c r="J2233" s="3" t="str">
        <f>HYPERLINK("https://www.boe.es/gazeta/dias/1815/12/23/pdfs/GMD-1815-159.pdf#page=5","Abrir facsímil")</f>
        <v>Abrir facsímil</v>
      </c>
      <c r="K2233" s="3" t="s">
        <v>74</v>
      </c>
    </row>
    <row r="2234" spans="1:11" ht="42" customHeight="1">
      <c r="A2234" s="2" t="s">
        <v>5680</v>
      </c>
      <c r="B2234" s="2" t="s">
        <v>5681</v>
      </c>
      <c r="C2234" s="2" t="s">
        <v>17</v>
      </c>
      <c r="D2234" s="2" t="s">
        <v>18</v>
      </c>
      <c r="E2234" s="5">
        <v>-30718</v>
      </c>
      <c r="F2234" s="3" t="s">
        <v>3115</v>
      </c>
      <c r="G2234" s="3" t="s">
        <v>38</v>
      </c>
      <c r="H2234" s="2" t="s">
        <v>21</v>
      </c>
      <c r="I2234" s="2" t="s">
        <v>5682</v>
      </c>
      <c r="J2234" s="3" t="str">
        <f>HYPERLINK("https://www.boe.es/gazeta/dias/1815/11/23/pdfs/GMD-1815-146.pdf#page=8","Abrir facsímil")</f>
        <v>Abrir facsímil</v>
      </c>
      <c r="K2234" s="3" t="s">
        <v>23</v>
      </c>
    </row>
    <row r="2235" spans="1:11" ht="42" customHeight="1">
      <c r="A2235" s="2" t="s">
        <v>5683</v>
      </c>
      <c r="B2235" s="2" t="s">
        <v>5684</v>
      </c>
      <c r="C2235" s="2" t="s">
        <v>31</v>
      </c>
      <c r="D2235" s="2" t="s">
        <v>32</v>
      </c>
      <c r="E2235" s="5">
        <v>-30734</v>
      </c>
      <c r="F2235" s="3" t="s">
        <v>376</v>
      </c>
      <c r="G2235" s="3" t="s">
        <v>20</v>
      </c>
      <c r="H2235" s="2" t="s">
        <v>72</v>
      </c>
      <c r="I2235" s="2" t="s">
        <v>5685</v>
      </c>
      <c r="J2235" s="3" t="str">
        <f>HYPERLINK("https://www.boe.es/gazeta/dias/1815/11/07/pdfs/GMD-1815-139.pdf#page=4","Abrir facsímil")</f>
        <v>Abrir facsímil</v>
      </c>
      <c r="K2235" s="3" t="s">
        <v>74</v>
      </c>
    </row>
    <row r="2236" spans="1:11" ht="42" customHeight="1">
      <c r="A2236" s="2" t="s">
        <v>5683</v>
      </c>
      <c r="B2236" s="2" t="s">
        <v>5684</v>
      </c>
      <c r="C2236" s="2" t="s">
        <v>61</v>
      </c>
      <c r="D2236" s="2" t="s">
        <v>50</v>
      </c>
      <c r="E2236" s="5">
        <v>-30734</v>
      </c>
      <c r="F2236" s="3" t="s">
        <v>376</v>
      </c>
      <c r="G2236" s="3" t="s">
        <v>57</v>
      </c>
      <c r="H2236" s="2" t="s">
        <v>72</v>
      </c>
      <c r="I2236" s="2" t="s">
        <v>5686</v>
      </c>
      <c r="J2236" s="3" t="str">
        <f>HYPERLINK("https://www.boe.es/gazeta/dias/1815/11/07/pdfs/GMD-1815-139.pdf#page=5","Abrir facsímil")</f>
        <v>Abrir facsímil</v>
      </c>
      <c r="K2236" s="3" t="s">
        <v>74</v>
      </c>
    </row>
    <row r="2237" spans="1:11" ht="42" customHeight="1">
      <c r="A2237" s="2" t="s">
        <v>5687</v>
      </c>
      <c r="B2237" s="2" t="s">
        <v>5688</v>
      </c>
      <c r="C2237" s="2" t="s">
        <v>17</v>
      </c>
      <c r="D2237" s="2" t="s">
        <v>18</v>
      </c>
      <c r="E2237" s="5">
        <v>-30688</v>
      </c>
      <c r="F2237" s="3" t="s">
        <v>62</v>
      </c>
      <c r="G2237" s="3" t="s">
        <v>57</v>
      </c>
      <c r="H2237" s="2" t="s">
        <v>21</v>
      </c>
      <c r="I2237" s="2" t="s">
        <v>5689</v>
      </c>
      <c r="J2237" s="3" t="str">
        <f>HYPERLINK("https://www.boe.es/gazeta/dias/1815/12/23/pdfs/GMD-1815-159.pdf#page=5","Abrir facsímil")</f>
        <v>Abrir facsímil</v>
      </c>
      <c r="K2237" s="3" t="s">
        <v>23</v>
      </c>
    </row>
    <row r="2238" spans="1:11" ht="42" customHeight="1">
      <c r="A2238" s="2" t="s">
        <v>5690</v>
      </c>
      <c r="B2238" s="2" t="s">
        <v>5690</v>
      </c>
      <c r="C2238" s="2" t="s">
        <v>31</v>
      </c>
      <c r="D2238" s="2" t="s">
        <v>179</v>
      </c>
      <c r="E2238" s="5">
        <v>-30863</v>
      </c>
      <c r="F2238" s="3" t="s">
        <v>2024</v>
      </c>
      <c r="G2238" s="3" t="s">
        <v>377</v>
      </c>
      <c r="H2238" s="2" t="s">
        <v>72</v>
      </c>
      <c r="I2238" s="2" t="s">
        <v>5691</v>
      </c>
      <c r="J2238" s="3" t="str">
        <f>HYPERLINK("https://www.boe.es/gazeta/dias/1815/07/01/pdfs/GMD-1815-80E.pdf#page=2","Abrir facsímil")</f>
        <v>Abrir facsímil</v>
      </c>
      <c r="K2238" s="3" t="s">
        <v>74</v>
      </c>
    </row>
    <row r="2239" spans="1:11" ht="42" customHeight="1">
      <c r="A2239" s="2" t="s">
        <v>5692</v>
      </c>
      <c r="B2239" s="2" t="s">
        <v>5692</v>
      </c>
      <c r="C2239" s="2" t="s">
        <v>31</v>
      </c>
      <c r="D2239" s="2" t="s">
        <v>32</v>
      </c>
      <c r="E2239" s="5">
        <v>-30844</v>
      </c>
      <c r="F2239" s="3" t="s">
        <v>114</v>
      </c>
      <c r="G2239" s="3" t="s">
        <v>5693</v>
      </c>
      <c r="H2239" s="2" t="s">
        <v>72</v>
      </c>
      <c r="I2239" s="2" t="s">
        <v>5694</v>
      </c>
      <c r="J2239" s="3" t="str">
        <f>HYPERLINK("https://www.boe.es/gazeta/dias/1815/07/20/pdfs/GMD-1815-89.pdf#page=2","Abrir facsímil")</f>
        <v>Abrir facsímil</v>
      </c>
      <c r="K2239" s="3" t="s">
        <v>74</v>
      </c>
    </row>
    <row r="2240" spans="1:11" ht="42" customHeight="1">
      <c r="A2240" s="2" t="s">
        <v>5692</v>
      </c>
      <c r="B2240" s="2" t="s">
        <v>5692</v>
      </c>
      <c r="C2240" s="2" t="s">
        <v>31</v>
      </c>
      <c r="D2240" s="2" t="s">
        <v>32</v>
      </c>
      <c r="E2240" s="5">
        <v>-30725</v>
      </c>
      <c r="F2240" s="3" t="s">
        <v>1535</v>
      </c>
      <c r="G2240" s="3" t="s">
        <v>20</v>
      </c>
      <c r="H2240" s="2" t="s">
        <v>72</v>
      </c>
      <c r="I2240" s="2" t="s">
        <v>5695</v>
      </c>
      <c r="J2240" s="3" t="str">
        <f>HYPERLINK("https://www.boe.es/gazeta/dias/1815/11/16/pdfs/GMD-1815-143.pdf#page=4","Abrir facsímil")</f>
        <v>Abrir facsímil</v>
      </c>
      <c r="K2240" s="3" t="s">
        <v>74</v>
      </c>
    </row>
    <row r="2241" spans="1:11" ht="42" customHeight="1">
      <c r="A2241" s="2" t="s">
        <v>5696</v>
      </c>
      <c r="B2241" s="2" t="s">
        <v>5696</v>
      </c>
      <c r="C2241" s="2" t="s">
        <v>31</v>
      </c>
      <c r="D2241" s="2" t="s">
        <v>32</v>
      </c>
      <c r="E2241" s="5">
        <v>-30723</v>
      </c>
      <c r="F2241" s="3" t="s">
        <v>77</v>
      </c>
      <c r="G2241" s="3" t="s">
        <v>410</v>
      </c>
      <c r="H2241" s="2" t="s">
        <v>72</v>
      </c>
      <c r="I2241" s="2" t="s">
        <v>5697</v>
      </c>
      <c r="J2241" s="3" t="str">
        <f>HYPERLINK("https://www.boe.es/gazeta/dias/1815/11/18/pdfs/GMD-1815-144.pdf#page=1","Abrir facsímil")</f>
        <v>Abrir facsímil</v>
      </c>
      <c r="K2241" s="3" t="s">
        <v>74</v>
      </c>
    </row>
    <row r="2242" spans="1:11" ht="42" customHeight="1">
      <c r="A2242" s="2" t="s">
        <v>5698</v>
      </c>
      <c r="B2242" s="2" t="s">
        <v>5698</v>
      </c>
      <c r="C2242" s="2" t="s">
        <v>31</v>
      </c>
      <c r="D2242" s="2" t="s">
        <v>32</v>
      </c>
      <c r="E2242" s="5">
        <v>-30739</v>
      </c>
      <c r="F2242" s="3" t="s">
        <v>254</v>
      </c>
      <c r="G2242" s="3" t="s">
        <v>20</v>
      </c>
      <c r="H2242" s="2" t="s">
        <v>72</v>
      </c>
      <c r="I2242" s="2" t="s">
        <v>5699</v>
      </c>
      <c r="J2242" s="3" t="str">
        <f>HYPERLINK("https://www.boe.es/gazeta/dias/1815/11/02/pdfs/GMD-1815-137.pdf#page=4","Abrir facsímil")</f>
        <v>Abrir facsímil</v>
      </c>
      <c r="K2242" s="3" t="s">
        <v>74</v>
      </c>
    </row>
    <row r="2243" spans="1:11" ht="42" customHeight="1">
      <c r="A2243" s="2" t="s">
        <v>5700</v>
      </c>
      <c r="B2243" s="2" t="s">
        <v>5701</v>
      </c>
      <c r="C2243" s="2" t="s">
        <v>49</v>
      </c>
      <c r="D2243" s="2" t="s">
        <v>50</v>
      </c>
      <c r="E2243" s="5">
        <v>-30886</v>
      </c>
      <c r="F2243" s="3" t="s">
        <v>140</v>
      </c>
      <c r="G2243" s="3" t="s">
        <v>38</v>
      </c>
      <c r="H2243" s="2" t="s">
        <v>72</v>
      </c>
      <c r="I2243" s="2" t="s">
        <v>5702</v>
      </c>
      <c r="J2243" s="3" t="str">
        <f>HYPERLINK("https://www.boe.es/gazeta/dias/1815/06/08/pdfs/GMD-1815-69.pdf#page=8","Abrir facsímil")</f>
        <v>Abrir facsímil</v>
      </c>
      <c r="K2243" s="3" t="s">
        <v>74</v>
      </c>
    </row>
    <row r="2244" spans="1:11" ht="42" customHeight="1">
      <c r="A2244" s="2" t="s">
        <v>5703</v>
      </c>
      <c r="B2244" s="2" t="s">
        <v>5704</v>
      </c>
      <c r="C2244" s="2" t="s">
        <v>31</v>
      </c>
      <c r="D2244" s="2" t="s">
        <v>32</v>
      </c>
      <c r="E2244" s="5">
        <v>-31024</v>
      </c>
      <c r="F2244" s="3" t="s">
        <v>101</v>
      </c>
      <c r="G2244" s="3" t="s">
        <v>20</v>
      </c>
      <c r="H2244" s="2" t="s">
        <v>72</v>
      </c>
      <c r="I2244" s="2" t="s">
        <v>5705</v>
      </c>
      <c r="J2244" s="3" t="str">
        <f>HYPERLINK("https://www.boe.es/gazeta/dias/1815/01/21/pdfs/GMD-1815-9.pdf#page=4","Abrir facsímil")</f>
        <v>Abrir facsímil</v>
      </c>
      <c r="K2244" s="3" t="s">
        <v>74</v>
      </c>
    </row>
    <row r="2245" spans="1:11" ht="42" customHeight="1">
      <c r="A2245" s="2" t="s">
        <v>5706</v>
      </c>
      <c r="B2245" s="2" t="s">
        <v>5707</v>
      </c>
      <c r="C2245" s="2" t="s">
        <v>31</v>
      </c>
      <c r="D2245" s="2" t="s">
        <v>32</v>
      </c>
      <c r="E2245" s="5">
        <v>-30870</v>
      </c>
      <c r="F2245" s="3" t="s">
        <v>122</v>
      </c>
      <c r="G2245" s="3" t="s">
        <v>52</v>
      </c>
      <c r="H2245" s="2" t="s">
        <v>72</v>
      </c>
      <c r="I2245" s="2" t="s">
        <v>5708</v>
      </c>
      <c r="J2245" s="3" t="str">
        <f>HYPERLINK("https://www.boe.es/gazeta/dias/1815/06/24/pdfs/GMD-1815-76.pdf#page=11","Abrir facsímil")</f>
        <v>Abrir facsímil</v>
      </c>
      <c r="K2245" s="3" t="s">
        <v>74</v>
      </c>
    </row>
    <row r="2246" spans="1:11" ht="42" customHeight="1">
      <c r="A2246" s="2" t="s">
        <v>5709</v>
      </c>
      <c r="B2246" s="2" t="s">
        <v>5710</v>
      </c>
      <c r="C2246" s="2" t="s">
        <v>17</v>
      </c>
      <c r="D2246" s="2" t="s">
        <v>18</v>
      </c>
      <c r="E2246" s="5">
        <v>-30984</v>
      </c>
      <c r="F2246" s="3" t="s">
        <v>748</v>
      </c>
      <c r="G2246" s="3" t="s">
        <v>4039</v>
      </c>
      <c r="H2246" s="2" t="s">
        <v>72</v>
      </c>
      <c r="I2246" s="2" t="s">
        <v>5711</v>
      </c>
      <c r="J2246" s="3" t="str">
        <f>HYPERLINK("https://www.boe.es/gazeta/dias/1815/03/02/pdfs/GMD-1815-26.pdf#page=7","Abrir facsímil")</f>
        <v>Abrir facsímil</v>
      </c>
      <c r="K2246" s="3" t="s">
        <v>74</v>
      </c>
    </row>
    <row r="2247" spans="1:11" ht="42" customHeight="1">
      <c r="A2247" s="2" t="s">
        <v>5712</v>
      </c>
      <c r="B2247" s="2" t="s">
        <v>5712</v>
      </c>
      <c r="C2247" s="2" t="s">
        <v>17</v>
      </c>
      <c r="D2247" s="2" t="s">
        <v>18</v>
      </c>
      <c r="E2247" s="5">
        <v>-30795</v>
      </c>
      <c r="F2247" s="3" t="s">
        <v>172</v>
      </c>
      <c r="G2247" s="3" t="s">
        <v>3581</v>
      </c>
      <c r="H2247" s="2" t="s">
        <v>72</v>
      </c>
      <c r="I2247" s="2" t="s">
        <v>5713</v>
      </c>
      <c r="J2247" s="3" t="str">
        <f>HYPERLINK("https://www.boe.es/gazeta/dias/1815/09/07/pdfs/GMD-1815-111.pdf#page=10","Abrir facsímil")</f>
        <v>Abrir facsímil</v>
      </c>
      <c r="K2247" s="3" t="s">
        <v>74</v>
      </c>
    </row>
    <row r="2248" spans="1:11" ht="42" customHeight="1">
      <c r="A2248" s="2" t="s">
        <v>5712</v>
      </c>
      <c r="B2248" s="2" t="s">
        <v>5712</v>
      </c>
      <c r="C2248" s="2" t="s">
        <v>17</v>
      </c>
      <c r="D2248" s="2" t="s">
        <v>18</v>
      </c>
      <c r="E2248" s="5">
        <v>-30781</v>
      </c>
      <c r="F2248" s="3" t="s">
        <v>685</v>
      </c>
      <c r="G2248" s="3" t="s">
        <v>27</v>
      </c>
      <c r="H2248" s="2" t="s">
        <v>72</v>
      </c>
      <c r="I2248" s="2" t="s">
        <v>5714</v>
      </c>
      <c r="J2248" s="3" t="str">
        <f>HYPERLINK("https://www.boe.es/gazeta/dias/1815/09/21/pdfs/GMD-1815-117.pdf#page=6","Abrir facsímil")</f>
        <v>Abrir facsímil</v>
      </c>
      <c r="K2248" s="3" t="s">
        <v>74</v>
      </c>
    </row>
    <row r="2249" spans="1:11" ht="42" customHeight="1">
      <c r="A2249" s="2" t="s">
        <v>5715</v>
      </c>
      <c r="B2249" s="2" t="s">
        <v>5716</v>
      </c>
      <c r="C2249" s="2" t="s">
        <v>31</v>
      </c>
      <c r="D2249" s="2" t="s">
        <v>32</v>
      </c>
      <c r="E2249" s="5">
        <v>-30870</v>
      </c>
      <c r="F2249" s="3" t="s">
        <v>122</v>
      </c>
      <c r="G2249" s="3" t="s">
        <v>88</v>
      </c>
      <c r="H2249" s="2" t="s">
        <v>72</v>
      </c>
      <c r="I2249" s="2" t="s">
        <v>5717</v>
      </c>
      <c r="J2249" s="3" t="str">
        <f>HYPERLINK("https://www.boe.es/gazeta/dias/1815/06/24/pdfs/GMD-1815-76.pdf#page=10","Abrir facsímil")</f>
        <v>Abrir facsímil</v>
      </c>
      <c r="K2249" s="3" t="s">
        <v>74</v>
      </c>
    </row>
    <row r="2250" spans="1:11" ht="42" customHeight="1">
      <c r="A2250" s="2" t="s">
        <v>5718</v>
      </c>
      <c r="B2250" s="2" t="s">
        <v>5718</v>
      </c>
      <c r="C2250" s="2" t="s">
        <v>31</v>
      </c>
      <c r="D2250" s="2" t="s">
        <v>32</v>
      </c>
      <c r="E2250" s="5">
        <v>-30816</v>
      </c>
      <c r="F2250" s="3" t="s">
        <v>1253</v>
      </c>
      <c r="G2250" s="3" t="s">
        <v>88</v>
      </c>
      <c r="H2250" s="2" t="s">
        <v>72</v>
      </c>
      <c r="I2250" s="2" t="s">
        <v>5719</v>
      </c>
      <c r="J2250" s="3" t="str">
        <f>HYPERLINK("https://www.boe.es/gazeta/dias/1815/08/17/pdfs/GMD-1815-101.pdf#page=10","Abrir facsímil")</f>
        <v>Abrir facsímil</v>
      </c>
      <c r="K2250" s="3" t="s">
        <v>74</v>
      </c>
    </row>
    <row r="2251" spans="1:11" ht="42" customHeight="1">
      <c r="A2251" s="2" t="s">
        <v>5720</v>
      </c>
      <c r="B2251" s="2" t="s">
        <v>5721</v>
      </c>
      <c r="C2251" s="2" t="s">
        <v>49</v>
      </c>
      <c r="D2251" s="2" t="s">
        <v>50</v>
      </c>
      <c r="E2251" s="5">
        <v>-30886</v>
      </c>
      <c r="F2251" s="3" t="s">
        <v>140</v>
      </c>
      <c r="G2251" s="3" t="s">
        <v>224</v>
      </c>
      <c r="H2251" s="2" t="s">
        <v>72</v>
      </c>
      <c r="I2251" s="2" t="s">
        <v>5722</v>
      </c>
      <c r="J2251" s="3" t="str">
        <f>HYPERLINK("https://www.boe.es/gazeta/dias/1815/06/08/pdfs/GMD-1815-69.pdf#page=9","Abrir facsímil")</f>
        <v>Abrir facsímil</v>
      </c>
      <c r="K2251" s="3" t="s">
        <v>74</v>
      </c>
    </row>
    <row r="2252" spans="1:11" ht="42" customHeight="1">
      <c r="A2252" s="2" t="s">
        <v>5723</v>
      </c>
      <c r="B2252" s="2" t="s">
        <v>5724</v>
      </c>
      <c r="C2252" s="2" t="s">
        <v>17</v>
      </c>
      <c r="D2252" s="2" t="s">
        <v>18</v>
      </c>
      <c r="E2252" s="5">
        <v>-30949</v>
      </c>
      <c r="F2252" s="3" t="s">
        <v>420</v>
      </c>
      <c r="G2252" s="3" t="s">
        <v>27</v>
      </c>
      <c r="H2252" s="2" t="s">
        <v>21</v>
      </c>
      <c r="I2252" s="2" t="s">
        <v>5725</v>
      </c>
      <c r="J2252" s="3" t="str">
        <f>HYPERLINK("https://www.boe.es/gazeta/dias/1815/04/06/pdfs/GMD-1815-42.pdf#page=6","Abrir facsímil")</f>
        <v>Abrir facsímil</v>
      </c>
      <c r="K2252" s="3" t="s">
        <v>23</v>
      </c>
    </row>
    <row r="2253" spans="1:11" ht="42" customHeight="1">
      <c r="A2253" s="2" t="s">
        <v>5726</v>
      </c>
      <c r="B2253" s="2" t="s">
        <v>5726</v>
      </c>
      <c r="C2253" s="2" t="s">
        <v>31</v>
      </c>
      <c r="D2253" s="2" t="s">
        <v>32</v>
      </c>
      <c r="E2253" s="5">
        <v>-30762</v>
      </c>
      <c r="F2253" s="3" t="s">
        <v>19</v>
      </c>
      <c r="G2253" s="3" t="s">
        <v>2090</v>
      </c>
      <c r="H2253" s="2" t="s">
        <v>72</v>
      </c>
      <c r="I2253" s="2" t="s">
        <v>5727</v>
      </c>
      <c r="J2253" s="3" t="str">
        <f>HYPERLINK("https://www.boe.es/gazeta/dias/1815/10/10/pdfs/GMD-1815-127.pdf#page=2","Abrir facsímil")</f>
        <v>Abrir facsímil</v>
      </c>
      <c r="K2253" s="3" t="s">
        <v>74</v>
      </c>
    </row>
    <row r="2254" spans="1:11" ht="42" customHeight="1">
      <c r="A2254" s="2" t="s">
        <v>5728</v>
      </c>
      <c r="B2254" s="2" t="s">
        <v>5729</v>
      </c>
      <c r="C2254" s="2" t="s">
        <v>31</v>
      </c>
      <c r="D2254" s="2" t="s">
        <v>32</v>
      </c>
      <c r="E2254" s="5">
        <v>-30902</v>
      </c>
      <c r="F2254" s="3" t="s">
        <v>648</v>
      </c>
      <c r="G2254" s="3" t="s">
        <v>38</v>
      </c>
      <c r="H2254" s="2" t="s">
        <v>72</v>
      </c>
      <c r="I2254" s="2" t="s">
        <v>5730</v>
      </c>
      <c r="J2254" s="3" t="str">
        <f>HYPERLINK("https://www.boe.es/gazeta/dias/1815/05/23/pdfs/GMD-1815-62.pdf#page=8","Abrir facsímil")</f>
        <v>Abrir facsímil</v>
      </c>
      <c r="K2254" s="3" t="s">
        <v>74</v>
      </c>
    </row>
    <row r="2255" spans="1:11" ht="42" customHeight="1">
      <c r="A2255" s="2" t="s">
        <v>5731</v>
      </c>
      <c r="B2255" s="2" t="s">
        <v>5732</v>
      </c>
      <c r="C2255" s="2" t="s">
        <v>17</v>
      </c>
      <c r="D2255" s="2" t="s">
        <v>18</v>
      </c>
      <c r="E2255" s="5">
        <v>-30891</v>
      </c>
      <c r="F2255" s="3" t="s">
        <v>498</v>
      </c>
      <c r="G2255" s="3" t="s">
        <v>71</v>
      </c>
      <c r="H2255" s="2" t="s">
        <v>72</v>
      </c>
      <c r="I2255" s="2" t="s">
        <v>5733</v>
      </c>
      <c r="J2255" s="3" t="str">
        <f>HYPERLINK("https://www.boe.es/gazeta/dias/1815/06/03/pdfs/GMD-1815-67.pdf#page=7","Abrir facsímil")</f>
        <v>Abrir facsímil</v>
      </c>
      <c r="K2255" s="3" t="s">
        <v>74</v>
      </c>
    </row>
    <row r="2256" spans="1:11" ht="42" customHeight="1">
      <c r="A2256" s="2" t="s">
        <v>5734</v>
      </c>
      <c r="B2256" s="2" t="s">
        <v>5735</v>
      </c>
      <c r="C2256" s="2" t="s">
        <v>49</v>
      </c>
      <c r="D2256" s="2" t="s">
        <v>50</v>
      </c>
      <c r="E2256" s="5">
        <v>-30968</v>
      </c>
      <c r="F2256" s="3" t="s">
        <v>2695</v>
      </c>
      <c r="G2256" s="3" t="s">
        <v>57</v>
      </c>
      <c r="H2256" s="2" t="s">
        <v>72</v>
      </c>
      <c r="I2256" s="2" t="s">
        <v>5736</v>
      </c>
      <c r="J2256" s="3" t="str">
        <f>HYPERLINK("https://www.boe.es/gazeta/dias/1815/03/18/pdfs/GMD-1815-33.pdf#page=5","Abrir facsímil")</f>
        <v>Abrir facsímil</v>
      </c>
      <c r="K2256" s="3" t="s">
        <v>74</v>
      </c>
    </row>
    <row r="2257" spans="1:11" ht="42" customHeight="1">
      <c r="A2257" s="2" t="s">
        <v>5737</v>
      </c>
      <c r="B2257" s="2" t="s">
        <v>5738</v>
      </c>
      <c r="C2257" s="2" t="s">
        <v>195</v>
      </c>
      <c r="D2257" s="2" t="s">
        <v>50</v>
      </c>
      <c r="E2257" s="5">
        <v>-30949</v>
      </c>
      <c r="F2257" s="3" t="s">
        <v>420</v>
      </c>
      <c r="G2257" s="3" t="s">
        <v>71</v>
      </c>
      <c r="H2257" s="2" t="s">
        <v>72</v>
      </c>
      <c r="I2257" s="2" t="s">
        <v>5739</v>
      </c>
      <c r="J2257" s="3" t="str">
        <f>HYPERLINK("https://www.boe.es/gazeta/dias/1815/04/06/pdfs/GMD-1815-42.pdf#page=7","Abrir facsímil")</f>
        <v>Abrir facsímil</v>
      </c>
      <c r="K2257" s="3" t="s">
        <v>74</v>
      </c>
    </row>
    <row r="2258" spans="1:11" ht="42" customHeight="1">
      <c r="A2258" s="2" t="s">
        <v>5740</v>
      </c>
      <c r="B2258" s="2" t="s">
        <v>5741</v>
      </c>
      <c r="C2258" s="2" t="s">
        <v>49</v>
      </c>
      <c r="D2258" s="2" t="s">
        <v>50</v>
      </c>
      <c r="E2258" s="5">
        <v>-30865</v>
      </c>
      <c r="F2258" s="3" t="s">
        <v>163</v>
      </c>
      <c r="G2258" s="3" t="s">
        <v>38</v>
      </c>
      <c r="H2258" s="2" t="s">
        <v>72</v>
      </c>
      <c r="I2258" s="2" t="s">
        <v>5742</v>
      </c>
      <c r="J2258" s="3" t="str">
        <f>HYPERLINK("https://www.boe.es/gazeta/dias/1815/06/29/pdfs/GMD-1815-78.pdf#page=8","Abrir facsímil")</f>
        <v>Abrir facsímil</v>
      </c>
      <c r="K2258" s="3" t="s">
        <v>74</v>
      </c>
    </row>
    <row r="2259" spans="1:11" ht="42" customHeight="1">
      <c r="A2259" s="2" t="s">
        <v>5743</v>
      </c>
      <c r="B2259" s="2" t="s">
        <v>5744</v>
      </c>
      <c r="C2259" s="2" t="s">
        <v>17</v>
      </c>
      <c r="D2259" s="2" t="s">
        <v>18</v>
      </c>
      <c r="E2259" s="5">
        <v>-30804</v>
      </c>
      <c r="F2259" s="3" t="s">
        <v>891</v>
      </c>
      <c r="G2259" s="3" t="s">
        <v>38</v>
      </c>
      <c r="H2259" s="2" t="s">
        <v>21</v>
      </c>
      <c r="I2259" s="2" t="s">
        <v>5745</v>
      </c>
      <c r="J2259" s="3" t="str">
        <f>HYPERLINK("https://www.boe.es/gazeta/dias/1815/08/29/pdfs/GMD-1815-106.pdf#page=8","Abrir facsímil")</f>
        <v>Abrir facsímil</v>
      </c>
      <c r="K2259" s="3" t="s">
        <v>23</v>
      </c>
    </row>
    <row r="2260" spans="1:11" ht="42" customHeight="1">
      <c r="A2260" s="2" t="s">
        <v>5746</v>
      </c>
      <c r="B2260" s="2" t="s">
        <v>5747</v>
      </c>
      <c r="C2260" s="2" t="s">
        <v>31</v>
      </c>
      <c r="D2260" s="2" t="s">
        <v>32</v>
      </c>
      <c r="E2260" s="5">
        <v>-30972</v>
      </c>
      <c r="F2260" s="3" t="s">
        <v>1382</v>
      </c>
      <c r="G2260" s="3" t="s">
        <v>38</v>
      </c>
      <c r="H2260" s="2" t="s">
        <v>72</v>
      </c>
      <c r="I2260" s="2" t="s">
        <v>5748</v>
      </c>
      <c r="J2260" s="3" t="str">
        <f>HYPERLINK("https://www.boe.es/gazeta/dias/1815/03/14/pdfs/GMD-1815-31.pdf#page=8","Abrir facsímil")</f>
        <v>Abrir facsímil</v>
      </c>
      <c r="K2260" s="3" t="s">
        <v>74</v>
      </c>
    </row>
    <row r="2261" spans="1:11" ht="42" customHeight="1">
      <c r="A2261" s="2" t="s">
        <v>5746</v>
      </c>
      <c r="B2261" s="2" t="s">
        <v>5747</v>
      </c>
      <c r="C2261" s="2" t="s">
        <v>17</v>
      </c>
      <c r="D2261" s="2" t="s">
        <v>18</v>
      </c>
      <c r="E2261" s="5">
        <v>-30690</v>
      </c>
      <c r="F2261" s="3" t="s">
        <v>1449</v>
      </c>
      <c r="G2261" s="3" t="s">
        <v>5749</v>
      </c>
      <c r="H2261" s="2" t="s">
        <v>72</v>
      </c>
      <c r="I2261" s="2" t="s">
        <v>5750</v>
      </c>
      <c r="J2261" s="3" t="str">
        <f>HYPERLINK("https://www.boe.es/gazeta/dias/1815/12/21/pdfs/GMD-1815-158.pdf#page=8","Abrir facsímil")</f>
        <v>Abrir facsímil</v>
      </c>
      <c r="K2261" s="3" t="s">
        <v>74</v>
      </c>
    </row>
    <row r="2262" spans="1:11" ht="42" customHeight="1">
      <c r="A2262" s="2" t="s">
        <v>5751</v>
      </c>
      <c r="B2262" s="2" t="s">
        <v>5752</v>
      </c>
      <c r="C2262" s="2" t="s">
        <v>31</v>
      </c>
      <c r="D2262" s="2" t="s">
        <v>32</v>
      </c>
      <c r="E2262" s="5">
        <v>-31038</v>
      </c>
      <c r="F2262" s="3" t="s">
        <v>395</v>
      </c>
      <c r="G2262" s="3" t="s">
        <v>20</v>
      </c>
      <c r="H2262" s="2" t="s">
        <v>72</v>
      </c>
      <c r="I2262" s="2" t="s">
        <v>5753</v>
      </c>
      <c r="J2262" s="3" t="str">
        <f>HYPERLINK("https://www.boe.es/gazeta/dias/1815/01/07/pdfs/GMD-1815-3.pdf#page=4","Abrir facsímil")</f>
        <v>Abrir facsímil</v>
      </c>
      <c r="K2262" s="3" t="s">
        <v>74</v>
      </c>
    </row>
    <row r="2263" spans="1:11" ht="42" customHeight="1">
      <c r="A2263" s="2" t="s">
        <v>5754</v>
      </c>
      <c r="B2263" s="2" t="s">
        <v>5755</v>
      </c>
      <c r="C2263" s="2" t="s">
        <v>17</v>
      </c>
      <c r="D2263" s="2" t="s">
        <v>18</v>
      </c>
      <c r="E2263" s="5">
        <v>-30706</v>
      </c>
      <c r="F2263" s="3" t="s">
        <v>2478</v>
      </c>
      <c r="G2263" s="3" t="s">
        <v>71</v>
      </c>
      <c r="H2263" s="2" t="s">
        <v>72</v>
      </c>
      <c r="I2263" s="2" t="s">
        <v>5756</v>
      </c>
      <c r="J2263" s="3" t="str">
        <f>HYPERLINK("https://www.boe.es/gazeta/dias/1815/12/05/pdfs/GMD-1815-151.pdf#page=7","Abrir facsímil")</f>
        <v>Abrir facsímil</v>
      </c>
      <c r="K2263" s="3" t="s">
        <v>74</v>
      </c>
    </row>
    <row r="2264" spans="1:11" ht="42" customHeight="1">
      <c r="A2264" s="2" t="s">
        <v>5757</v>
      </c>
      <c r="B2264" s="2" t="s">
        <v>5758</v>
      </c>
      <c r="C2264" s="2" t="s">
        <v>17</v>
      </c>
      <c r="D2264" s="2" t="s">
        <v>18</v>
      </c>
      <c r="E2264" s="5">
        <v>-30909</v>
      </c>
      <c r="F2264" s="3" t="s">
        <v>581</v>
      </c>
      <c r="G2264" s="3" t="s">
        <v>71</v>
      </c>
      <c r="H2264" s="2" t="s">
        <v>72</v>
      </c>
      <c r="I2264" s="2" t="s">
        <v>5759</v>
      </c>
      <c r="J2264" s="3" t="str">
        <f>HYPERLINK("https://www.boe.es/gazeta/dias/1815/05/16/pdfs/GMD-1815-59.pdf#page=7","Abrir facsímil")</f>
        <v>Abrir facsímil</v>
      </c>
      <c r="K2264" s="3" t="s">
        <v>74</v>
      </c>
    </row>
    <row r="2265" spans="1:11" ht="42" customHeight="1">
      <c r="A2265" s="2" t="s">
        <v>5760</v>
      </c>
      <c r="B2265" s="2" t="s">
        <v>5761</v>
      </c>
      <c r="C2265" s="2" t="s">
        <v>31</v>
      </c>
      <c r="D2265" s="2" t="s">
        <v>32</v>
      </c>
      <c r="E2265" s="5">
        <v>-30977</v>
      </c>
      <c r="F2265" s="3" t="s">
        <v>37</v>
      </c>
      <c r="G2265" s="3" t="s">
        <v>71</v>
      </c>
      <c r="H2265" s="2" t="s">
        <v>21</v>
      </c>
      <c r="I2265" s="2" t="s">
        <v>5762</v>
      </c>
      <c r="J2265" s="3" t="str">
        <f>HYPERLINK("https://www.boe.es/gazeta/dias/1815/03/09/pdfs/GMD-1815-29.pdf#page=7","Abrir facsímil")</f>
        <v>Abrir facsímil</v>
      </c>
      <c r="K2265" s="3" t="s">
        <v>23</v>
      </c>
    </row>
    <row r="2266" spans="1:11" ht="42" customHeight="1">
      <c r="A2266" s="2" t="s">
        <v>5763</v>
      </c>
      <c r="B2266" s="2" t="s">
        <v>5764</v>
      </c>
      <c r="C2266" s="2" t="s">
        <v>49</v>
      </c>
      <c r="D2266" s="2" t="s">
        <v>50</v>
      </c>
      <c r="E2266" s="5">
        <v>-30741</v>
      </c>
      <c r="F2266" s="3" t="s">
        <v>1000</v>
      </c>
      <c r="G2266" s="3" t="s">
        <v>38</v>
      </c>
      <c r="H2266" s="2" t="s">
        <v>72</v>
      </c>
      <c r="I2266" s="2" t="s">
        <v>5765</v>
      </c>
      <c r="J2266" s="3" t="str">
        <f>HYPERLINK("https://www.boe.es/gazeta/dias/1815/10/31/pdfs/GMD-1815-136.pdf#page=8","Abrir facsímil")</f>
        <v>Abrir facsímil</v>
      </c>
      <c r="K2266" s="3" t="s">
        <v>74</v>
      </c>
    </row>
    <row r="2267" spans="1:11" ht="42" customHeight="1">
      <c r="A2267" s="2" t="s">
        <v>5766</v>
      </c>
      <c r="B2267" s="2" t="s">
        <v>5767</v>
      </c>
      <c r="C2267" s="2" t="s">
        <v>49</v>
      </c>
      <c r="D2267" s="2" t="s">
        <v>50</v>
      </c>
      <c r="E2267" s="5">
        <v>-30767</v>
      </c>
      <c r="F2267" s="3" t="s">
        <v>228</v>
      </c>
      <c r="G2267" s="3" t="s">
        <v>88</v>
      </c>
      <c r="H2267" s="2" t="s">
        <v>21</v>
      </c>
      <c r="I2267" s="2" t="s">
        <v>5768</v>
      </c>
      <c r="J2267" s="3" t="str">
        <f>HYPERLINK("https://www.boe.es/gazeta/dias/1815/10/05/pdfs/GMD-1815-125.pdf#page=10","Abrir facsímil")</f>
        <v>Abrir facsímil</v>
      </c>
      <c r="K2267" s="3" t="s">
        <v>23</v>
      </c>
    </row>
    <row r="2268" spans="1:11" ht="42" customHeight="1">
      <c r="A2268" s="2" t="s">
        <v>5769</v>
      </c>
      <c r="B2268" s="2" t="s">
        <v>5770</v>
      </c>
      <c r="C2268" s="2" t="s">
        <v>195</v>
      </c>
      <c r="D2268" s="2" t="s">
        <v>50</v>
      </c>
      <c r="E2268" s="5">
        <v>-30874</v>
      </c>
      <c r="F2268" s="3" t="s">
        <v>208</v>
      </c>
      <c r="G2268" s="3" t="s">
        <v>38</v>
      </c>
      <c r="H2268" s="2" t="s">
        <v>72</v>
      </c>
      <c r="I2268" s="2" t="s">
        <v>5771</v>
      </c>
      <c r="J2268" s="3" t="str">
        <f>HYPERLINK("https://www.boe.es/gazeta/dias/1815/06/20/pdfs/GMD-1815-74.pdf#page=8","Abrir facsímil")</f>
        <v>Abrir facsímil</v>
      </c>
      <c r="K2268" s="3" t="s">
        <v>74</v>
      </c>
    </row>
    <row r="2269" spans="1:11" ht="42" customHeight="1">
      <c r="A2269" s="2" t="s">
        <v>5769</v>
      </c>
      <c r="B2269" s="2" t="s">
        <v>5770</v>
      </c>
      <c r="C2269" s="2" t="s">
        <v>61</v>
      </c>
      <c r="D2269" s="2" t="s">
        <v>50</v>
      </c>
      <c r="E2269" s="5">
        <v>-30870</v>
      </c>
      <c r="F2269" s="3" t="s">
        <v>122</v>
      </c>
      <c r="G2269" s="3" t="s">
        <v>38</v>
      </c>
      <c r="H2269" s="2" t="s">
        <v>72</v>
      </c>
      <c r="I2269" s="2" t="s">
        <v>5772</v>
      </c>
      <c r="J2269" s="3" t="str">
        <f>HYPERLINK("https://www.boe.es/gazeta/dias/1815/06/24/pdfs/GMD-1815-76.pdf#page=8","Abrir facsímil")</f>
        <v>Abrir facsímil</v>
      </c>
      <c r="K2269" s="3" t="s">
        <v>74</v>
      </c>
    </row>
    <row r="2270" spans="1:11" ht="42" customHeight="1">
      <c r="A2270" s="2" t="s">
        <v>5773</v>
      </c>
      <c r="B2270" s="2" t="s">
        <v>5774</v>
      </c>
      <c r="C2270" s="2" t="s">
        <v>31</v>
      </c>
      <c r="D2270" s="2" t="s">
        <v>32</v>
      </c>
      <c r="E2270" s="5">
        <v>-30860</v>
      </c>
      <c r="F2270" s="3" t="s">
        <v>184</v>
      </c>
      <c r="G2270" s="3" t="s">
        <v>20</v>
      </c>
      <c r="H2270" s="2" t="s">
        <v>72</v>
      </c>
      <c r="I2270" s="2" t="s">
        <v>5775</v>
      </c>
      <c r="J2270" s="3" t="str">
        <f>HYPERLINK("https://www.boe.es/gazeta/dias/1815/07/04/pdfs/GMD-1815-81.pdf#page=4","Abrir facsímil")</f>
        <v>Abrir facsímil</v>
      </c>
      <c r="K2270" s="3" t="s">
        <v>74</v>
      </c>
    </row>
    <row r="2271" spans="1:11" ht="42" customHeight="1">
      <c r="A2271" s="2" t="s">
        <v>5776</v>
      </c>
      <c r="B2271" s="2" t="s">
        <v>5777</v>
      </c>
      <c r="C2271" s="2" t="s">
        <v>49</v>
      </c>
      <c r="D2271" s="2" t="s">
        <v>50</v>
      </c>
      <c r="E2271" s="5">
        <v>-30886</v>
      </c>
      <c r="F2271" s="3" t="s">
        <v>140</v>
      </c>
      <c r="G2271" s="3" t="s">
        <v>276</v>
      </c>
      <c r="H2271" s="2" t="s">
        <v>72</v>
      </c>
      <c r="I2271" s="2" t="s">
        <v>5778</v>
      </c>
      <c r="J2271" s="3" t="str">
        <f>HYPERLINK("https://www.boe.es/gazeta/dias/1815/06/08/pdfs/GMD-1815-69.pdf#page=12","Abrir facsímil")</f>
        <v>Abrir facsímil</v>
      </c>
      <c r="K2271" s="3" t="s">
        <v>74</v>
      </c>
    </row>
    <row r="2272" spans="1:11" ht="42" customHeight="1">
      <c r="A2272" s="2" t="s">
        <v>5779</v>
      </c>
      <c r="B2272" s="2" t="s">
        <v>5780</v>
      </c>
      <c r="C2272" s="2" t="s">
        <v>61</v>
      </c>
      <c r="D2272" s="2" t="s">
        <v>50</v>
      </c>
      <c r="E2272" s="5">
        <v>-30949</v>
      </c>
      <c r="F2272" s="3" t="s">
        <v>420</v>
      </c>
      <c r="G2272" s="3" t="s">
        <v>71</v>
      </c>
      <c r="H2272" s="2" t="s">
        <v>72</v>
      </c>
      <c r="I2272" s="2" t="s">
        <v>5781</v>
      </c>
      <c r="J2272" s="3" t="str">
        <f>HYPERLINK("https://www.boe.es/gazeta/dias/1815/04/06/pdfs/GMD-1815-42.pdf#page=7","Abrir facsímil")</f>
        <v>Abrir facsímil</v>
      </c>
      <c r="K2272" s="3" t="s">
        <v>74</v>
      </c>
    </row>
    <row r="2273" spans="1:11" ht="42" customHeight="1">
      <c r="A2273" s="2" t="s">
        <v>5782</v>
      </c>
      <c r="B2273" s="2" t="s">
        <v>5783</v>
      </c>
      <c r="C2273" s="2" t="s">
        <v>31</v>
      </c>
      <c r="D2273" s="2" t="s">
        <v>32</v>
      </c>
      <c r="E2273" s="5">
        <v>-31038</v>
      </c>
      <c r="F2273" s="3" t="s">
        <v>395</v>
      </c>
      <c r="G2273" s="3" t="s">
        <v>396</v>
      </c>
      <c r="H2273" s="2" t="s">
        <v>72</v>
      </c>
      <c r="I2273" s="2" t="s">
        <v>5784</v>
      </c>
      <c r="J2273" s="3" t="str">
        <f>HYPERLINK("https://www.boe.es/gazeta/dias/1815/01/07/pdfs/GMD-1815-3.pdf#page=5","Abrir facsímil")</f>
        <v>Abrir facsímil</v>
      </c>
      <c r="K2273" s="3" t="s">
        <v>74</v>
      </c>
    </row>
    <row r="2274" spans="1:11" ht="42" customHeight="1">
      <c r="A2274" s="2" t="s">
        <v>5785</v>
      </c>
      <c r="B2274" s="2" t="s">
        <v>5786</v>
      </c>
      <c r="C2274" s="2" t="s">
        <v>131</v>
      </c>
      <c r="D2274" s="2" t="s">
        <v>50</v>
      </c>
      <c r="E2274" s="5">
        <v>-30928</v>
      </c>
      <c r="F2274" s="3" t="s">
        <v>330</v>
      </c>
      <c r="G2274" s="3" t="s">
        <v>27</v>
      </c>
      <c r="H2274" s="2" t="s">
        <v>72</v>
      </c>
      <c r="I2274" s="2" t="s">
        <v>5787</v>
      </c>
      <c r="J2274" s="3" t="str">
        <f>HYPERLINK("https://www.boe.es/gazeta/dias/1815/04/27/pdfs/GMD-1815-51.pdf#page=6","Abrir facsímil")</f>
        <v>Abrir facsímil</v>
      </c>
      <c r="K2274" s="3" t="s">
        <v>74</v>
      </c>
    </row>
    <row r="2275" spans="1:11" ht="42" customHeight="1">
      <c r="A2275" s="2" t="s">
        <v>5785</v>
      </c>
      <c r="B2275" s="2" t="s">
        <v>5786</v>
      </c>
      <c r="C2275" s="2" t="s">
        <v>17</v>
      </c>
      <c r="D2275" s="2" t="s">
        <v>18</v>
      </c>
      <c r="E2275" s="5">
        <v>-30692</v>
      </c>
      <c r="F2275" s="3" t="s">
        <v>508</v>
      </c>
      <c r="G2275" s="3" t="s">
        <v>1353</v>
      </c>
      <c r="H2275" s="2" t="s">
        <v>72</v>
      </c>
      <c r="I2275" s="2" t="s">
        <v>5788</v>
      </c>
      <c r="J2275" s="3" t="str">
        <f>HYPERLINK("https://www.boe.es/gazeta/dias/1815/12/19/pdfs/GMD-1815-157.pdf#page=7","Abrir facsímil")</f>
        <v>Abrir facsímil</v>
      </c>
      <c r="K2275" s="3" t="s">
        <v>74</v>
      </c>
    </row>
    <row r="2276" spans="1:11" ht="42" customHeight="1">
      <c r="A2276" s="2" t="s">
        <v>5789</v>
      </c>
      <c r="B2276" s="2" t="s">
        <v>5790</v>
      </c>
      <c r="C2276" s="2" t="s">
        <v>17</v>
      </c>
      <c r="D2276" s="2" t="s">
        <v>18</v>
      </c>
      <c r="E2276" s="5">
        <v>-30991</v>
      </c>
      <c r="F2276" s="3" t="s">
        <v>318</v>
      </c>
      <c r="G2276" s="3" t="s">
        <v>4115</v>
      </c>
      <c r="H2276" s="2" t="s">
        <v>72</v>
      </c>
      <c r="I2276" s="2" t="s">
        <v>5791</v>
      </c>
      <c r="J2276" s="3" t="str">
        <f>HYPERLINK("https://www.boe.es/gazeta/dias/1815/02/23/pdfs/GMD-1815-23.pdf#page=7","Abrir facsímil")</f>
        <v>Abrir facsímil</v>
      </c>
      <c r="K2276" s="3" t="s">
        <v>74</v>
      </c>
    </row>
    <row r="2277" spans="1:11" ht="42" customHeight="1">
      <c r="A2277" s="2" t="s">
        <v>5789</v>
      </c>
      <c r="B2277" s="2" t="s">
        <v>5790</v>
      </c>
      <c r="C2277" s="2" t="s">
        <v>17</v>
      </c>
      <c r="D2277" s="2" t="s">
        <v>18</v>
      </c>
      <c r="E2277" s="5">
        <v>-30816</v>
      </c>
      <c r="F2277" s="3" t="s">
        <v>1253</v>
      </c>
      <c r="G2277" s="3" t="s">
        <v>52</v>
      </c>
      <c r="H2277" s="2" t="s">
        <v>72</v>
      </c>
      <c r="I2277" s="2" t="s">
        <v>5792</v>
      </c>
      <c r="J2277" s="3" t="str">
        <f>HYPERLINK("https://www.boe.es/gazeta/dias/1815/08/17/pdfs/GMD-1815-101.pdf#page=11","Abrir facsímil")</f>
        <v>Abrir facsímil</v>
      </c>
      <c r="K2277" s="3" t="s">
        <v>74</v>
      </c>
    </row>
    <row r="2278" spans="1:11" ht="42" customHeight="1">
      <c r="A2278" s="2" t="s">
        <v>5793</v>
      </c>
      <c r="B2278" s="2" t="s">
        <v>5794</v>
      </c>
      <c r="C2278" s="2" t="s">
        <v>49</v>
      </c>
      <c r="D2278" s="2" t="s">
        <v>50</v>
      </c>
      <c r="E2278" s="5">
        <v>-30783</v>
      </c>
      <c r="F2278" s="3" t="s">
        <v>423</v>
      </c>
      <c r="G2278" s="3" t="s">
        <v>38</v>
      </c>
      <c r="H2278" s="2" t="s">
        <v>72</v>
      </c>
      <c r="I2278" s="2" t="s">
        <v>5795</v>
      </c>
      <c r="J2278" s="3" t="str">
        <f>HYPERLINK("https://www.boe.es/gazeta/dias/1815/09/19/pdfs/GMD-1815-116.pdf#page=8","Abrir facsímil")</f>
        <v>Abrir facsímil</v>
      </c>
      <c r="K2278" s="3" t="s">
        <v>74</v>
      </c>
    </row>
    <row r="2279" spans="1:11" ht="42" customHeight="1">
      <c r="A2279" s="2" t="s">
        <v>5796</v>
      </c>
      <c r="B2279" s="2" t="s">
        <v>5796</v>
      </c>
      <c r="C2279" s="2" t="s">
        <v>31</v>
      </c>
      <c r="D2279" s="2" t="s">
        <v>32</v>
      </c>
      <c r="E2279" s="5">
        <v>-30937</v>
      </c>
      <c r="F2279" s="3" t="s">
        <v>322</v>
      </c>
      <c r="G2279" s="3" t="s">
        <v>20</v>
      </c>
      <c r="H2279" s="2" t="s">
        <v>72</v>
      </c>
      <c r="I2279" s="2" t="s">
        <v>5797</v>
      </c>
      <c r="J2279" s="3" t="str">
        <f>HYPERLINK("https://www.boe.es/gazeta/dias/1815/04/18/pdfs/GMD-1815-47.pdf#page=4","Abrir facsímil")</f>
        <v>Abrir facsímil</v>
      </c>
      <c r="K2279" s="3" t="s">
        <v>74</v>
      </c>
    </row>
    <row r="2280" spans="1:11" ht="42" customHeight="1">
      <c r="A2280" s="2" t="s">
        <v>5798</v>
      </c>
      <c r="B2280" s="2" t="s">
        <v>5798</v>
      </c>
      <c r="C2280" s="2" t="s">
        <v>31</v>
      </c>
      <c r="D2280" s="2" t="s">
        <v>32</v>
      </c>
      <c r="E2280" s="5">
        <v>-30977</v>
      </c>
      <c r="F2280" s="3" t="s">
        <v>37</v>
      </c>
      <c r="G2280" s="3" t="s">
        <v>38</v>
      </c>
      <c r="H2280" s="2" t="s">
        <v>72</v>
      </c>
      <c r="I2280" s="2" t="s">
        <v>5799</v>
      </c>
      <c r="J2280" s="3" t="str">
        <f>HYPERLINK("https://www.boe.es/gazeta/dias/1815/03/09/pdfs/GMD-1815-29.pdf#page=8","Abrir facsímil")</f>
        <v>Abrir facsímil</v>
      </c>
      <c r="K2280" s="3" t="s">
        <v>74</v>
      </c>
    </row>
    <row r="2281" spans="1:11" ht="42" customHeight="1">
      <c r="A2281" s="2" t="s">
        <v>5800</v>
      </c>
      <c r="B2281" s="2" t="s">
        <v>5801</v>
      </c>
      <c r="C2281" s="2" t="s">
        <v>17</v>
      </c>
      <c r="D2281" s="2" t="s">
        <v>18</v>
      </c>
      <c r="E2281" s="5">
        <v>-30818</v>
      </c>
      <c r="F2281" s="3" t="s">
        <v>334</v>
      </c>
      <c r="G2281" s="3" t="s">
        <v>88</v>
      </c>
      <c r="H2281" s="2" t="s">
        <v>72</v>
      </c>
      <c r="I2281" s="2" t="s">
        <v>5802</v>
      </c>
      <c r="J2281" s="3" t="str">
        <f>HYPERLINK("https://www.boe.es/gazeta/dias/1815/08/15/pdfs/GMD-1815-100.pdf#page=10","Abrir facsímil")</f>
        <v>Abrir facsímil</v>
      </c>
      <c r="K2281" s="3" t="s">
        <v>74</v>
      </c>
    </row>
    <row r="2282" spans="1:11" ht="42" customHeight="1">
      <c r="A2282" s="2" t="s">
        <v>5803</v>
      </c>
      <c r="B2282" s="2" t="s">
        <v>5804</v>
      </c>
      <c r="C2282" s="2" t="s">
        <v>31</v>
      </c>
      <c r="D2282" s="2" t="s">
        <v>32</v>
      </c>
      <c r="E2282" s="5">
        <v>-30832</v>
      </c>
      <c r="F2282" s="3" t="s">
        <v>266</v>
      </c>
      <c r="G2282" s="3" t="s">
        <v>38</v>
      </c>
      <c r="H2282" s="2" t="s">
        <v>72</v>
      </c>
      <c r="I2282" s="2" t="s">
        <v>5805</v>
      </c>
      <c r="J2282" s="3" t="str">
        <f>HYPERLINK("https://www.boe.es/gazeta/dias/1815/08/01/pdfs/GMD-1815-94.pdf#page=8","Abrir facsímil")</f>
        <v>Abrir facsímil</v>
      </c>
      <c r="K2282" s="3" t="s">
        <v>74</v>
      </c>
    </row>
    <row r="2283" spans="1:11" ht="42" customHeight="1">
      <c r="A2283" s="2" t="s">
        <v>5806</v>
      </c>
      <c r="B2283" s="2" t="s">
        <v>5806</v>
      </c>
      <c r="C2283" s="2" t="s">
        <v>17</v>
      </c>
      <c r="D2283" s="2" t="s">
        <v>18</v>
      </c>
      <c r="E2283" s="5">
        <v>-30965</v>
      </c>
      <c r="F2283" s="3" t="s">
        <v>1679</v>
      </c>
      <c r="G2283" s="3" t="s">
        <v>97</v>
      </c>
      <c r="H2283" s="2" t="s">
        <v>72</v>
      </c>
      <c r="I2283" s="2" t="s">
        <v>5807</v>
      </c>
      <c r="J2283" s="3" t="str">
        <f>HYPERLINK("https://www.boe.es/gazeta/dias/1815/03/21/pdfs/GMD-1815-34.pdf#page=3","Abrir facsímil")</f>
        <v>Abrir facsímil</v>
      </c>
      <c r="K2283" s="3" t="s">
        <v>74</v>
      </c>
    </row>
    <row r="2284" spans="1:11" ht="42" customHeight="1">
      <c r="A2284" s="2" t="s">
        <v>5808</v>
      </c>
      <c r="B2284" s="2" t="s">
        <v>5808</v>
      </c>
      <c r="C2284" s="2" t="s">
        <v>17</v>
      </c>
      <c r="D2284" s="2" t="s">
        <v>18</v>
      </c>
      <c r="E2284" s="5">
        <v>-31019</v>
      </c>
      <c r="F2284" s="3" t="s">
        <v>1094</v>
      </c>
      <c r="G2284" s="3" t="s">
        <v>410</v>
      </c>
      <c r="H2284" s="2" t="s">
        <v>72</v>
      </c>
      <c r="I2284" s="2" t="s">
        <v>5809</v>
      </c>
      <c r="J2284" s="3" t="str">
        <f>HYPERLINK("https://www.boe.es/gazeta/dias/1815/01/26/pdfs/GMD-1815-11.pdf#page=1","Abrir facsímil")</f>
        <v>Abrir facsímil</v>
      </c>
      <c r="K2284" s="3" t="s">
        <v>74</v>
      </c>
    </row>
    <row r="2285" spans="1:11" ht="42" customHeight="1">
      <c r="A2285" s="2" t="s">
        <v>5810</v>
      </c>
      <c r="B2285" s="2" t="s">
        <v>5811</v>
      </c>
      <c r="C2285" s="2" t="s">
        <v>31</v>
      </c>
      <c r="D2285" s="2" t="s">
        <v>32</v>
      </c>
      <c r="E2285" s="5">
        <v>-30762</v>
      </c>
      <c r="F2285" s="3" t="s">
        <v>19</v>
      </c>
      <c r="G2285" s="3" t="s">
        <v>2323</v>
      </c>
      <c r="H2285" s="2" t="s">
        <v>72</v>
      </c>
      <c r="I2285" s="2" t="s">
        <v>5812</v>
      </c>
      <c r="J2285" s="3" t="str">
        <f>HYPERLINK("https://www.boe.es/gazeta/dias/1815/10/10/pdfs/GMD-1815-127.pdf#page=8","Abrir facsímil")</f>
        <v>Abrir facsímil</v>
      </c>
      <c r="K2285" s="3" t="s">
        <v>74</v>
      </c>
    </row>
    <row r="2286" spans="1:11" ht="42" customHeight="1">
      <c r="A2286" s="2" t="s">
        <v>5813</v>
      </c>
      <c r="B2286" s="2" t="s">
        <v>5814</v>
      </c>
      <c r="C2286" s="2" t="s">
        <v>49</v>
      </c>
      <c r="D2286" s="2" t="s">
        <v>50</v>
      </c>
      <c r="E2286" s="5">
        <v>-30888</v>
      </c>
      <c r="F2286" s="3" t="s">
        <v>368</v>
      </c>
      <c r="G2286" s="3" t="s">
        <v>88</v>
      </c>
      <c r="H2286" s="2" t="s">
        <v>72</v>
      </c>
      <c r="I2286" s="2" t="s">
        <v>5815</v>
      </c>
      <c r="J2286" s="3" t="str">
        <f>HYPERLINK("https://www.boe.es/gazeta/dias/1815/06/06/pdfs/GMD-1815-68.pdf#page=10","Abrir facsímil")</f>
        <v>Abrir facsímil</v>
      </c>
      <c r="K2286" s="3" t="s">
        <v>74</v>
      </c>
    </row>
    <row r="2287" spans="1:11" ht="42" customHeight="1">
      <c r="A2287" s="2" t="s">
        <v>5816</v>
      </c>
      <c r="B2287" s="2" t="s">
        <v>5817</v>
      </c>
      <c r="C2287" s="2" t="s">
        <v>49</v>
      </c>
      <c r="D2287" s="2" t="s">
        <v>50</v>
      </c>
      <c r="E2287" s="5">
        <v>-30916</v>
      </c>
      <c r="F2287" s="3" t="s">
        <v>147</v>
      </c>
      <c r="G2287" s="3" t="s">
        <v>38</v>
      </c>
      <c r="H2287" s="2" t="s">
        <v>72</v>
      </c>
      <c r="I2287" s="2" t="s">
        <v>5818</v>
      </c>
      <c r="J2287" s="3" t="str">
        <f>HYPERLINK("https://www.boe.es/gazeta/dias/1815/05/09/pdfs/GMD-1815-56.pdf#page=8","Abrir facsímil")</f>
        <v>Abrir facsímil</v>
      </c>
      <c r="K2287" s="3" t="s">
        <v>74</v>
      </c>
    </row>
    <row r="2288" spans="1:11" ht="42" customHeight="1">
      <c r="A2288" s="2" t="s">
        <v>5819</v>
      </c>
      <c r="B2288" s="2" t="s">
        <v>5820</v>
      </c>
      <c r="C2288" s="2" t="s">
        <v>894</v>
      </c>
      <c r="D2288" s="2" t="s">
        <v>18</v>
      </c>
      <c r="E2288" s="5">
        <v>-30846</v>
      </c>
      <c r="F2288" s="3" t="s">
        <v>858</v>
      </c>
      <c r="G2288" s="3" t="s">
        <v>57</v>
      </c>
      <c r="H2288" s="2" t="s">
        <v>72</v>
      </c>
      <c r="I2288" s="2" t="s">
        <v>5821</v>
      </c>
      <c r="J2288" s="3" t="str">
        <f>HYPERLINK("https://www.boe.es/gazeta/dias/1815/07/18/pdfs/GMD-1815-88.pdf#page=5","Abrir facsímil")</f>
        <v>Abrir facsímil</v>
      </c>
      <c r="K2288" s="3" t="s">
        <v>74</v>
      </c>
    </row>
    <row r="2289" spans="1:11" ht="42" customHeight="1">
      <c r="A2289" s="2" t="s">
        <v>5822</v>
      </c>
      <c r="B2289" s="2" t="s">
        <v>5823</v>
      </c>
      <c r="C2289" s="2" t="s">
        <v>49</v>
      </c>
      <c r="D2289" s="2" t="s">
        <v>50</v>
      </c>
      <c r="E2289" s="5">
        <v>-30863</v>
      </c>
      <c r="F2289" s="3" t="s">
        <v>110</v>
      </c>
      <c r="G2289" s="3" t="s">
        <v>224</v>
      </c>
      <c r="H2289" s="2" t="s">
        <v>72</v>
      </c>
      <c r="I2289" s="2" t="s">
        <v>5824</v>
      </c>
      <c r="J2289" s="3" t="str">
        <f>HYPERLINK("https://www.boe.es/gazeta/dias/1815/07/01/pdfs/GMD-1815-79.pdf#page=9","Abrir facsímil")</f>
        <v>Abrir facsímil</v>
      </c>
      <c r="K2289" s="3" t="s">
        <v>74</v>
      </c>
    </row>
    <row r="2290" spans="1:11" ht="42" customHeight="1">
      <c r="A2290" s="2" t="s">
        <v>5825</v>
      </c>
      <c r="B2290" s="2" t="s">
        <v>5826</v>
      </c>
      <c r="C2290" s="2" t="s">
        <v>49</v>
      </c>
      <c r="D2290" s="2" t="s">
        <v>50</v>
      </c>
      <c r="E2290" s="5">
        <v>-30818</v>
      </c>
      <c r="F2290" s="3" t="s">
        <v>334</v>
      </c>
      <c r="G2290" s="3" t="s">
        <v>224</v>
      </c>
      <c r="H2290" s="2" t="s">
        <v>72</v>
      </c>
      <c r="I2290" s="2" t="s">
        <v>5827</v>
      </c>
      <c r="J2290" s="3" t="str">
        <f>HYPERLINK("https://www.boe.es/gazeta/dias/1815/08/15/pdfs/GMD-1815-100.pdf#page=9","Abrir facsímil")</f>
        <v>Abrir facsímil</v>
      </c>
      <c r="K2290" s="3" t="s">
        <v>74</v>
      </c>
    </row>
    <row r="2291" spans="1:11" ht="42" customHeight="1">
      <c r="A2291" s="2" t="s">
        <v>5828</v>
      </c>
      <c r="B2291" s="2" t="s">
        <v>5829</v>
      </c>
      <c r="C2291" s="2" t="s">
        <v>49</v>
      </c>
      <c r="D2291" s="2" t="s">
        <v>50</v>
      </c>
      <c r="E2291" s="5">
        <v>-30916</v>
      </c>
      <c r="F2291" s="3" t="s">
        <v>147</v>
      </c>
      <c r="G2291" s="3" t="s">
        <v>38</v>
      </c>
      <c r="H2291" s="2" t="s">
        <v>72</v>
      </c>
      <c r="I2291" s="2" t="s">
        <v>5830</v>
      </c>
      <c r="J2291" s="3" t="str">
        <f>HYPERLINK("https://www.boe.es/gazeta/dias/1815/05/09/pdfs/GMD-1815-56.pdf#page=8","Abrir facsímil")</f>
        <v>Abrir facsímil</v>
      </c>
      <c r="K2291" s="3" t="s">
        <v>74</v>
      </c>
    </row>
    <row r="2292" spans="1:11" ht="42" customHeight="1">
      <c r="A2292" s="2" t="s">
        <v>5831</v>
      </c>
      <c r="B2292" s="2" t="s">
        <v>5832</v>
      </c>
      <c r="C2292" s="2" t="s">
        <v>81</v>
      </c>
      <c r="D2292" s="2" t="s">
        <v>50</v>
      </c>
      <c r="E2292" s="5">
        <v>-30919</v>
      </c>
      <c r="F2292" s="3" t="s">
        <v>792</v>
      </c>
      <c r="G2292" s="3" t="s">
        <v>1109</v>
      </c>
      <c r="H2292" s="2" t="s">
        <v>72</v>
      </c>
      <c r="I2292" s="2" t="s">
        <v>5833</v>
      </c>
      <c r="J2292" s="3" t="str">
        <f>HYPERLINK("https://www.boe.es/gazeta/dias/1815/05/06/pdfs/GMD-1815-55.pdf#page=8","Abrir facsímil")</f>
        <v>Abrir facsímil</v>
      </c>
      <c r="K2292" s="3" t="s">
        <v>74</v>
      </c>
    </row>
    <row r="2293" spans="1:11" ht="42" customHeight="1">
      <c r="A2293" s="2" t="s">
        <v>5831</v>
      </c>
      <c r="B2293" s="2" t="s">
        <v>5832</v>
      </c>
      <c r="C2293" s="2" t="s">
        <v>49</v>
      </c>
      <c r="D2293" s="2" t="s">
        <v>50</v>
      </c>
      <c r="E2293" s="5">
        <v>-30870</v>
      </c>
      <c r="F2293" s="3" t="s">
        <v>122</v>
      </c>
      <c r="G2293" s="3" t="s">
        <v>88</v>
      </c>
      <c r="H2293" s="2" t="s">
        <v>72</v>
      </c>
      <c r="I2293" s="2" t="s">
        <v>5834</v>
      </c>
      <c r="J2293" s="3" t="str">
        <f>HYPERLINK("https://www.boe.es/gazeta/dias/1815/06/24/pdfs/GMD-1815-76.pdf#page=10","Abrir facsímil")</f>
        <v>Abrir facsímil</v>
      </c>
      <c r="K2293" s="3" t="s">
        <v>74</v>
      </c>
    </row>
    <row r="2294" spans="1:11" ht="42" customHeight="1">
      <c r="A2294" s="2" t="s">
        <v>5831</v>
      </c>
      <c r="B2294" s="2" t="s">
        <v>5832</v>
      </c>
      <c r="C2294" s="2" t="s">
        <v>31</v>
      </c>
      <c r="D2294" s="2" t="s">
        <v>32</v>
      </c>
      <c r="E2294" s="5">
        <v>-30870</v>
      </c>
      <c r="F2294" s="3" t="s">
        <v>122</v>
      </c>
      <c r="G2294" s="3" t="s">
        <v>52</v>
      </c>
      <c r="H2294" s="2" t="s">
        <v>72</v>
      </c>
      <c r="I2294" s="2" t="s">
        <v>5835</v>
      </c>
      <c r="J2294" s="3" t="str">
        <f>HYPERLINK("https://www.boe.es/gazeta/dias/1815/06/24/pdfs/GMD-1815-76.pdf#page=11","Abrir facsímil")</f>
        <v>Abrir facsímil</v>
      </c>
      <c r="K2294" s="3" t="s">
        <v>74</v>
      </c>
    </row>
    <row r="2295" spans="1:11" ht="42" customHeight="1">
      <c r="A2295" s="2" t="s">
        <v>5836</v>
      </c>
      <c r="B2295" s="2" t="s">
        <v>5837</v>
      </c>
      <c r="C2295" s="2" t="s">
        <v>31</v>
      </c>
      <c r="D2295" s="2" t="s">
        <v>32</v>
      </c>
      <c r="E2295" s="5">
        <v>-30818</v>
      </c>
      <c r="F2295" s="3" t="s">
        <v>334</v>
      </c>
      <c r="G2295" s="3" t="s">
        <v>38</v>
      </c>
      <c r="H2295" s="2" t="s">
        <v>72</v>
      </c>
      <c r="I2295" s="2" t="s">
        <v>5838</v>
      </c>
      <c r="J2295" s="3" t="str">
        <f>HYPERLINK("https://www.boe.es/gazeta/dias/1815/08/15/pdfs/GMD-1815-100.pdf#page=8","Abrir facsímil")</f>
        <v>Abrir facsímil</v>
      </c>
      <c r="K2295" s="3" t="s">
        <v>74</v>
      </c>
    </row>
    <row r="2296" spans="1:11" ht="42" customHeight="1">
      <c r="A2296" s="2" t="s">
        <v>5839</v>
      </c>
      <c r="B2296" s="2" t="s">
        <v>5840</v>
      </c>
      <c r="C2296" s="2" t="s">
        <v>17</v>
      </c>
      <c r="D2296" s="2" t="s">
        <v>18</v>
      </c>
      <c r="E2296" s="5">
        <v>-30846</v>
      </c>
      <c r="F2296" s="3" t="s">
        <v>858</v>
      </c>
      <c r="G2296" s="3" t="s">
        <v>38</v>
      </c>
      <c r="H2296" s="2" t="s">
        <v>72</v>
      </c>
      <c r="I2296" s="2" t="s">
        <v>5841</v>
      </c>
      <c r="J2296" s="3" t="str">
        <f>HYPERLINK("https://www.boe.es/gazeta/dias/1815/07/18/pdfs/GMD-1815-88.pdf#page=8","Abrir facsímil")</f>
        <v>Abrir facsímil</v>
      </c>
      <c r="K2296" s="3" t="s">
        <v>74</v>
      </c>
    </row>
    <row r="2297" spans="1:11" ht="42" customHeight="1">
      <c r="A2297" s="2" t="s">
        <v>5842</v>
      </c>
      <c r="B2297" s="2" t="s">
        <v>5843</v>
      </c>
      <c r="C2297" s="2" t="s">
        <v>49</v>
      </c>
      <c r="D2297" s="2" t="s">
        <v>50</v>
      </c>
      <c r="E2297" s="5">
        <v>-30720</v>
      </c>
      <c r="F2297" s="3" t="s">
        <v>373</v>
      </c>
      <c r="G2297" s="3" t="s">
        <v>52</v>
      </c>
      <c r="H2297" s="2" t="s">
        <v>21</v>
      </c>
      <c r="I2297" s="2" t="s">
        <v>5844</v>
      </c>
      <c r="J2297" s="3" t="str">
        <f>HYPERLINK("https://www.boe.es/gazeta/dias/1815/11/21/pdfs/GMD-1815-145.pdf#page=11","Abrir facsímil")</f>
        <v>Abrir facsímil</v>
      </c>
      <c r="K2297" s="3" t="s">
        <v>23</v>
      </c>
    </row>
    <row r="2298" spans="1:11" ht="42" customHeight="1">
      <c r="A2298" s="2" t="s">
        <v>5845</v>
      </c>
      <c r="B2298" s="2" t="s">
        <v>5846</v>
      </c>
      <c r="C2298" s="2" t="s">
        <v>131</v>
      </c>
      <c r="D2298" s="2" t="s">
        <v>50</v>
      </c>
      <c r="E2298" s="5">
        <v>-30940</v>
      </c>
      <c r="F2298" s="3" t="s">
        <v>610</v>
      </c>
      <c r="G2298" s="3" t="s">
        <v>71</v>
      </c>
      <c r="H2298" s="2" t="s">
        <v>72</v>
      </c>
      <c r="I2298" s="2" t="s">
        <v>5847</v>
      </c>
      <c r="J2298" s="3" t="str">
        <f>HYPERLINK("https://www.boe.es/gazeta/dias/1815/04/15/pdfs/GMD-1815-46.pdf#page=7","Abrir facsímil")</f>
        <v>Abrir facsímil</v>
      </c>
      <c r="K2298" s="3" t="s">
        <v>74</v>
      </c>
    </row>
    <row r="2299" spans="1:11" ht="42" customHeight="1">
      <c r="A2299" s="2" t="s">
        <v>5848</v>
      </c>
      <c r="B2299" s="2" t="s">
        <v>5849</v>
      </c>
      <c r="C2299" s="2" t="s">
        <v>49</v>
      </c>
      <c r="D2299" s="2" t="s">
        <v>50</v>
      </c>
      <c r="E2299" s="5">
        <v>-30958</v>
      </c>
      <c r="F2299" s="3" t="s">
        <v>297</v>
      </c>
      <c r="G2299" s="3" t="s">
        <v>27</v>
      </c>
      <c r="H2299" s="2" t="s">
        <v>72</v>
      </c>
      <c r="I2299" s="2" t="s">
        <v>5850</v>
      </c>
      <c r="J2299" s="3" t="str">
        <f>HYPERLINK("https://www.boe.es/gazeta/dias/1815/03/28/pdfs/GMD-1815-37.pdf#page=6","Abrir facsímil")</f>
        <v>Abrir facsímil</v>
      </c>
      <c r="K2299" s="3" t="s">
        <v>74</v>
      </c>
    </row>
    <row r="2300" spans="1:11" ht="42" customHeight="1">
      <c r="A2300" s="2" t="s">
        <v>5851</v>
      </c>
      <c r="B2300" s="2" t="s">
        <v>5852</v>
      </c>
      <c r="C2300" s="2" t="s">
        <v>31</v>
      </c>
      <c r="D2300" s="2" t="s">
        <v>32</v>
      </c>
      <c r="E2300" s="5">
        <v>-30970</v>
      </c>
      <c r="F2300" s="3" t="s">
        <v>436</v>
      </c>
      <c r="G2300" s="3" t="s">
        <v>27</v>
      </c>
      <c r="H2300" s="2" t="s">
        <v>72</v>
      </c>
      <c r="I2300" s="2" t="s">
        <v>5853</v>
      </c>
      <c r="J2300" s="3" t="str">
        <f>HYPERLINK("https://www.boe.es/gazeta/dias/1815/03/16/pdfs/GMD-1815-32.pdf#page=6","Abrir facsímil")</f>
        <v>Abrir facsímil</v>
      </c>
      <c r="K2300" s="3" t="s">
        <v>74</v>
      </c>
    </row>
    <row r="2301" spans="1:11" ht="42" customHeight="1">
      <c r="A2301" s="2" t="s">
        <v>5854</v>
      </c>
      <c r="B2301" s="2" t="s">
        <v>5855</v>
      </c>
      <c r="C2301" s="2" t="s">
        <v>17</v>
      </c>
      <c r="D2301" s="2" t="s">
        <v>18</v>
      </c>
      <c r="E2301" s="5">
        <v>-30788</v>
      </c>
      <c r="F2301" s="3" t="s">
        <v>96</v>
      </c>
      <c r="G2301" s="3" t="s">
        <v>38</v>
      </c>
      <c r="H2301" s="2" t="s">
        <v>72</v>
      </c>
      <c r="I2301" s="2" t="s">
        <v>5856</v>
      </c>
      <c r="J2301" s="3" t="str">
        <f>HYPERLINK("https://www.boe.es/gazeta/dias/1815/09/14/pdfs/GMD-1815-114.pdf#page=8","Abrir facsímil")</f>
        <v>Abrir facsímil</v>
      </c>
      <c r="K2301" s="3" t="s">
        <v>74</v>
      </c>
    </row>
    <row r="2302" spans="1:11" ht="42" customHeight="1">
      <c r="A2302" s="2" t="s">
        <v>5857</v>
      </c>
      <c r="B2302" s="2" t="s">
        <v>5858</v>
      </c>
      <c r="C2302" s="2" t="s">
        <v>17</v>
      </c>
      <c r="D2302" s="2" t="s">
        <v>18</v>
      </c>
      <c r="E2302" s="5">
        <v>-30692</v>
      </c>
      <c r="F2302" s="3" t="s">
        <v>508</v>
      </c>
      <c r="G2302" s="3" t="s">
        <v>38</v>
      </c>
      <c r="H2302" s="2" t="s">
        <v>72</v>
      </c>
      <c r="I2302" s="2" t="s">
        <v>5859</v>
      </c>
      <c r="J2302" s="3" t="str">
        <f>HYPERLINK("https://www.boe.es/gazeta/dias/1815/12/19/pdfs/GMD-1815-157.pdf#page=8","Abrir facsímil")</f>
        <v>Abrir facsímil</v>
      </c>
      <c r="K2302" s="3" t="s">
        <v>74</v>
      </c>
    </row>
    <row r="2303" spans="1:11" ht="42" customHeight="1">
      <c r="A2303" s="2" t="s">
        <v>5860</v>
      </c>
      <c r="B2303" s="2" t="s">
        <v>5861</v>
      </c>
      <c r="C2303" s="2" t="s">
        <v>17</v>
      </c>
      <c r="D2303" s="2" t="s">
        <v>18</v>
      </c>
      <c r="E2303" s="5">
        <v>-30856</v>
      </c>
      <c r="F2303" s="3" t="s">
        <v>92</v>
      </c>
      <c r="G2303" s="3" t="s">
        <v>38</v>
      </c>
      <c r="H2303" s="2" t="s">
        <v>72</v>
      </c>
      <c r="I2303" s="2" t="s">
        <v>5862</v>
      </c>
      <c r="J2303" s="3" t="str">
        <f>HYPERLINK("https://www.boe.es/gazeta/dias/1815/07/08/pdfs/GMD-1815-84.pdf#page=8","Abrir facsímil")</f>
        <v>Abrir facsímil</v>
      </c>
      <c r="K2303" s="3" t="s">
        <v>74</v>
      </c>
    </row>
    <row r="2304" spans="1:11" ht="42" customHeight="1">
      <c r="A2304" s="2" t="s">
        <v>5863</v>
      </c>
      <c r="B2304" s="2" t="s">
        <v>5864</v>
      </c>
      <c r="C2304" s="2" t="s">
        <v>81</v>
      </c>
      <c r="D2304" s="2" t="s">
        <v>50</v>
      </c>
      <c r="E2304" s="5">
        <v>-30825</v>
      </c>
      <c r="F2304" s="3" t="s">
        <v>669</v>
      </c>
      <c r="G2304" s="3" t="s">
        <v>88</v>
      </c>
      <c r="H2304" s="2" t="s">
        <v>72</v>
      </c>
      <c r="I2304" s="2" t="s">
        <v>5865</v>
      </c>
      <c r="J2304" s="3" t="str">
        <f>HYPERLINK("https://www.boe.es/gazeta/dias/1815/08/08/pdfs/GMD-1815-97.pdf#page=10","Abrir facsímil")</f>
        <v>Abrir facsímil</v>
      </c>
      <c r="K2304" s="3" t="s">
        <v>74</v>
      </c>
    </row>
    <row r="2305" spans="1:11" ht="42" customHeight="1">
      <c r="A2305" s="2" t="s">
        <v>5866</v>
      </c>
      <c r="B2305" s="2" t="s">
        <v>5867</v>
      </c>
      <c r="C2305" s="2" t="s">
        <v>31</v>
      </c>
      <c r="D2305" s="2" t="s">
        <v>32</v>
      </c>
      <c r="E2305" s="5">
        <v>-31038</v>
      </c>
      <c r="F2305" s="3" t="s">
        <v>395</v>
      </c>
      <c r="G2305" s="3" t="s">
        <v>27</v>
      </c>
      <c r="H2305" s="2" t="s">
        <v>72</v>
      </c>
      <c r="I2305" s="2" t="s">
        <v>5868</v>
      </c>
      <c r="J2305" s="3" t="str">
        <f>HYPERLINK("https://www.boe.es/gazeta/dias/1815/01/07/pdfs/GMD-1815-3.pdf#page=6","Abrir facsímil")</f>
        <v>Abrir facsímil</v>
      </c>
      <c r="K2305" s="3" t="s">
        <v>74</v>
      </c>
    </row>
    <row r="2306" spans="1:11" ht="42" customHeight="1">
      <c r="A2306" s="2" t="s">
        <v>5869</v>
      </c>
      <c r="B2306" s="2" t="s">
        <v>5870</v>
      </c>
      <c r="C2306" s="2" t="s">
        <v>195</v>
      </c>
      <c r="D2306" s="2" t="s">
        <v>50</v>
      </c>
      <c r="E2306" s="5">
        <v>-30888</v>
      </c>
      <c r="F2306" s="3" t="s">
        <v>368</v>
      </c>
      <c r="G2306" s="3" t="s">
        <v>224</v>
      </c>
      <c r="H2306" s="2" t="s">
        <v>72</v>
      </c>
      <c r="I2306" s="2" t="s">
        <v>5871</v>
      </c>
      <c r="J2306" s="3" t="str">
        <f>HYPERLINK("https://www.boe.es/gazeta/dias/1815/06/06/pdfs/GMD-1815-68.pdf#page=9","Abrir facsímil")</f>
        <v>Abrir facsímil</v>
      </c>
      <c r="K2306" s="3" t="s">
        <v>74</v>
      </c>
    </row>
    <row r="2307" spans="1:11" ht="42" customHeight="1">
      <c r="A2307" s="2" t="s">
        <v>5872</v>
      </c>
      <c r="B2307" s="2" t="s">
        <v>5873</v>
      </c>
      <c r="C2307" s="2" t="s">
        <v>195</v>
      </c>
      <c r="D2307" s="2" t="s">
        <v>50</v>
      </c>
      <c r="E2307" s="5">
        <v>-30874</v>
      </c>
      <c r="F2307" s="3" t="s">
        <v>208</v>
      </c>
      <c r="G2307" s="3" t="s">
        <v>27</v>
      </c>
      <c r="H2307" s="2" t="s">
        <v>72</v>
      </c>
      <c r="I2307" s="2" t="s">
        <v>5874</v>
      </c>
      <c r="J2307" s="3" t="str">
        <f>HYPERLINK("https://www.boe.es/gazeta/dias/1815/06/20/pdfs/GMD-1815-74.pdf#page=6","Abrir facsímil")</f>
        <v>Abrir facsímil</v>
      </c>
      <c r="K2307" s="3" t="s">
        <v>74</v>
      </c>
    </row>
    <row r="2308" spans="1:11" ht="42" customHeight="1">
      <c r="A2308" s="2" t="s">
        <v>5875</v>
      </c>
      <c r="B2308" s="2" t="s">
        <v>5876</v>
      </c>
      <c r="C2308" s="2" t="s">
        <v>17</v>
      </c>
      <c r="D2308" s="2" t="s">
        <v>18</v>
      </c>
      <c r="E2308" s="5">
        <v>-31042</v>
      </c>
      <c r="F2308" s="3" t="s">
        <v>512</v>
      </c>
      <c r="G2308" s="3" t="s">
        <v>20</v>
      </c>
      <c r="H2308" s="2" t="s">
        <v>72</v>
      </c>
      <c r="I2308" s="2" t="s">
        <v>5877</v>
      </c>
      <c r="J2308" s="3" t="str">
        <f>HYPERLINK("https://www.boe.es/gazeta/dias/1815/01/03/pdfs/GMD-1815-1.pdf#page=4","Abrir facsímil")</f>
        <v>Abrir facsímil</v>
      </c>
      <c r="K2308" s="3" t="s">
        <v>74</v>
      </c>
    </row>
    <row r="2309" spans="1:11" ht="42" customHeight="1">
      <c r="A2309" s="2" t="s">
        <v>5878</v>
      </c>
      <c r="B2309" s="2" t="s">
        <v>5879</v>
      </c>
      <c r="C2309" s="2" t="s">
        <v>61</v>
      </c>
      <c r="D2309" s="2" t="s">
        <v>50</v>
      </c>
      <c r="E2309" s="5">
        <v>-30940</v>
      </c>
      <c r="F2309" s="3" t="s">
        <v>610</v>
      </c>
      <c r="G2309" s="3" t="s">
        <v>71</v>
      </c>
      <c r="H2309" s="2" t="s">
        <v>72</v>
      </c>
      <c r="I2309" s="2" t="s">
        <v>5880</v>
      </c>
      <c r="J2309" s="3" t="str">
        <f>HYPERLINK("https://www.boe.es/gazeta/dias/1815/04/15/pdfs/GMD-1815-46.pdf#page=7","Abrir facsímil")</f>
        <v>Abrir facsímil</v>
      </c>
      <c r="K2309" s="3" t="s">
        <v>74</v>
      </c>
    </row>
    <row r="2310" spans="1:11" ht="42" customHeight="1">
      <c r="A2310" s="2" t="s">
        <v>5878</v>
      </c>
      <c r="B2310" s="2" t="s">
        <v>5879</v>
      </c>
      <c r="C2310" s="2" t="s">
        <v>17</v>
      </c>
      <c r="D2310" s="2" t="s">
        <v>18</v>
      </c>
      <c r="E2310" s="5">
        <v>-30872</v>
      </c>
      <c r="F2310" s="3" t="s">
        <v>167</v>
      </c>
      <c r="G2310" s="3" t="s">
        <v>342</v>
      </c>
      <c r="H2310" s="2" t="s">
        <v>72</v>
      </c>
      <c r="I2310" s="2" t="s">
        <v>5881</v>
      </c>
      <c r="J2310" s="3" t="str">
        <f>HYPERLINK("https://www.boe.es/gazeta/dias/1815/06/22/pdfs/GMD-1815-75.pdf#page=8","Abrir facsímil")</f>
        <v>Abrir facsímil</v>
      </c>
      <c r="K2310" s="3" t="s">
        <v>74</v>
      </c>
    </row>
    <row r="2311" spans="1:11" ht="42" customHeight="1">
      <c r="A2311" s="2" t="s">
        <v>5878</v>
      </c>
      <c r="B2311" s="2" t="s">
        <v>5879</v>
      </c>
      <c r="C2311" s="2" t="s">
        <v>61</v>
      </c>
      <c r="D2311" s="2" t="s">
        <v>50</v>
      </c>
      <c r="E2311" s="5">
        <v>-30872</v>
      </c>
      <c r="F2311" s="3" t="s">
        <v>167</v>
      </c>
      <c r="G2311" s="3" t="s">
        <v>224</v>
      </c>
      <c r="H2311" s="2" t="s">
        <v>72</v>
      </c>
      <c r="I2311" s="2" t="s">
        <v>5882</v>
      </c>
      <c r="J2311" s="3" t="str">
        <f>HYPERLINK("https://www.boe.es/gazeta/dias/1815/06/22/pdfs/GMD-1815-75.pdf#page=9","Abrir facsímil")</f>
        <v>Abrir facsímil</v>
      </c>
      <c r="K2311" s="3" t="s">
        <v>74</v>
      </c>
    </row>
    <row r="2312" spans="1:11" ht="42" customHeight="1">
      <c r="A2312" s="2" t="s">
        <v>5883</v>
      </c>
      <c r="B2312" s="2" t="s">
        <v>5884</v>
      </c>
      <c r="C2312" s="2" t="s">
        <v>31</v>
      </c>
      <c r="D2312" s="2" t="s">
        <v>32</v>
      </c>
      <c r="E2312" s="5">
        <v>-31038</v>
      </c>
      <c r="F2312" s="3" t="s">
        <v>395</v>
      </c>
      <c r="G2312" s="3" t="s">
        <v>396</v>
      </c>
      <c r="H2312" s="2" t="s">
        <v>72</v>
      </c>
      <c r="I2312" s="2" t="s">
        <v>5885</v>
      </c>
      <c r="J2312" s="3" t="str">
        <f>HYPERLINK("https://www.boe.es/gazeta/dias/1815/01/07/pdfs/GMD-1815-3.pdf#page=5","Abrir facsímil")</f>
        <v>Abrir facsímil</v>
      </c>
      <c r="K2312" s="3" t="s">
        <v>74</v>
      </c>
    </row>
    <row r="2313" spans="1:11" ht="42" customHeight="1">
      <c r="A2313" s="2" t="s">
        <v>5883</v>
      </c>
      <c r="B2313" s="2" t="s">
        <v>5884</v>
      </c>
      <c r="C2313" s="2" t="s">
        <v>31</v>
      </c>
      <c r="D2313" s="2" t="s">
        <v>32</v>
      </c>
      <c r="E2313" s="5">
        <v>-30818</v>
      </c>
      <c r="F2313" s="3" t="s">
        <v>334</v>
      </c>
      <c r="G2313" s="3" t="s">
        <v>52</v>
      </c>
      <c r="H2313" s="2" t="s">
        <v>72</v>
      </c>
      <c r="I2313" s="2" t="s">
        <v>5886</v>
      </c>
      <c r="J2313" s="3" t="str">
        <f>HYPERLINK("https://www.boe.es/gazeta/dias/1815/08/15/pdfs/GMD-1815-100.pdf#page=11","Abrir facsímil")</f>
        <v>Abrir facsímil</v>
      </c>
      <c r="K2313" s="3" t="s">
        <v>74</v>
      </c>
    </row>
    <row r="2314" spans="1:11" ht="42" customHeight="1">
      <c r="A2314" s="2" t="s">
        <v>5887</v>
      </c>
      <c r="B2314" s="2" t="s">
        <v>5888</v>
      </c>
      <c r="C2314" s="2" t="s">
        <v>49</v>
      </c>
      <c r="D2314" s="2" t="s">
        <v>50</v>
      </c>
      <c r="E2314" s="5">
        <v>-30865</v>
      </c>
      <c r="F2314" s="3" t="s">
        <v>163</v>
      </c>
      <c r="G2314" s="3" t="s">
        <v>38</v>
      </c>
      <c r="H2314" s="2" t="s">
        <v>72</v>
      </c>
      <c r="I2314" s="2" t="s">
        <v>5889</v>
      </c>
      <c r="J2314" s="3" t="str">
        <f>HYPERLINK("https://www.boe.es/gazeta/dias/1815/06/29/pdfs/GMD-1815-78.pdf#page=8","Abrir facsímil")</f>
        <v>Abrir facsímil</v>
      </c>
      <c r="K2314" s="3" t="s">
        <v>74</v>
      </c>
    </row>
    <row r="2315" spans="1:11" ht="42" customHeight="1">
      <c r="A2315" s="2" t="s">
        <v>5890</v>
      </c>
      <c r="B2315" s="2" t="s">
        <v>5891</v>
      </c>
      <c r="C2315" s="2" t="s">
        <v>31</v>
      </c>
      <c r="D2315" s="2" t="s">
        <v>32</v>
      </c>
      <c r="E2315" s="5">
        <v>-30863</v>
      </c>
      <c r="F2315" s="3" t="s">
        <v>110</v>
      </c>
      <c r="G2315" s="3" t="s">
        <v>88</v>
      </c>
      <c r="H2315" s="2" t="s">
        <v>72</v>
      </c>
      <c r="I2315" s="2" t="s">
        <v>5892</v>
      </c>
      <c r="J2315" s="3" t="str">
        <f>HYPERLINK("https://www.boe.es/gazeta/dias/1815/07/01/pdfs/GMD-1815-79.pdf#page=10","Abrir facsímil")</f>
        <v>Abrir facsímil</v>
      </c>
      <c r="K2315" s="3" t="s">
        <v>74</v>
      </c>
    </row>
    <row r="2316" spans="1:11" ht="42" customHeight="1">
      <c r="A2316" s="2" t="s">
        <v>5893</v>
      </c>
      <c r="B2316" s="2" t="s">
        <v>5894</v>
      </c>
      <c r="C2316" s="2" t="s">
        <v>81</v>
      </c>
      <c r="D2316" s="2" t="s">
        <v>50</v>
      </c>
      <c r="E2316" s="5">
        <v>-30975</v>
      </c>
      <c r="F2316" s="3" t="s">
        <v>1194</v>
      </c>
      <c r="G2316" s="3" t="s">
        <v>38</v>
      </c>
      <c r="H2316" s="2" t="s">
        <v>72</v>
      </c>
      <c r="I2316" s="2" t="s">
        <v>5895</v>
      </c>
      <c r="J2316" s="3" t="str">
        <f>HYPERLINK("https://www.boe.es/gazeta/dias/1815/03/11/pdfs/GMD-1815-30.pdf#page=8","Abrir facsímil")</f>
        <v>Abrir facsímil</v>
      </c>
      <c r="K2316" s="3" t="s">
        <v>74</v>
      </c>
    </row>
    <row r="2317" spans="1:11" ht="42" customHeight="1">
      <c r="A2317" s="2" t="s">
        <v>5893</v>
      </c>
      <c r="B2317" s="2" t="s">
        <v>5894</v>
      </c>
      <c r="C2317" s="2" t="s">
        <v>31</v>
      </c>
      <c r="D2317" s="2" t="s">
        <v>32</v>
      </c>
      <c r="E2317" s="5">
        <v>-30697</v>
      </c>
      <c r="F2317" s="3" t="s">
        <v>381</v>
      </c>
      <c r="G2317" s="3" t="s">
        <v>5896</v>
      </c>
      <c r="H2317" s="2" t="s">
        <v>72</v>
      </c>
      <c r="I2317" s="2" t="s">
        <v>5897</v>
      </c>
      <c r="J2317" s="3" t="str">
        <f>HYPERLINK("https://www.boe.es/gazeta/dias/1815/12/14/pdfs/GMD-1815-155.pdf#page=6","Abrir facsímil")</f>
        <v>Abrir facsímil</v>
      </c>
      <c r="K2317" s="3" t="s">
        <v>74</v>
      </c>
    </row>
    <row r="2318" spans="1:11" ht="42" customHeight="1">
      <c r="A2318" s="2" t="s">
        <v>5893</v>
      </c>
      <c r="B2318" s="2" t="s">
        <v>5894</v>
      </c>
      <c r="C2318" s="2" t="s">
        <v>61</v>
      </c>
      <c r="D2318" s="2" t="s">
        <v>50</v>
      </c>
      <c r="E2318" s="5">
        <v>-30692</v>
      </c>
      <c r="F2318" s="3" t="s">
        <v>508</v>
      </c>
      <c r="G2318" s="3" t="s">
        <v>38</v>
      </c>
      <c r="H2318" s="2" t="s">
        <v>72</v>
      </c>
      <c r="I2318" s="2" t="s">
        <v>5898</v>
      </c>
      <c r="J2318" s="3" t="str">
        <f>HYPERLINK("https://www.boe.es/gazeta/dias/1815/12/19/pdfs/GMD-1815-157.pdf#page=8","Abrir facsímil")</f>
        <v>Abrir facsímil</v>
      </c>
      <c r="K2318" s="3" t="s">
        <v>74</v>
      </c>
    </row>
    <row r="2319" spans="1:11" ht="42" customHeight="1">
      <c r="A2319" s="2" t="s">
        <v>5899</v>
      </c>
      <c r="B2319" s="2" t="s">
        <v>5900</v>
      </c>
      <c r="C2319" s="2" t="s">
        <v>49</v>
      </c>
      <c r="D2319" s="2" t="s">
        <v>50</v>
      </c>
      <c r="E2319" s="5">
        <v>-30865</v>
      </c>
      <c r="F2319" s="3" t="s">
        <v>163</v>
      </c>
      <c r="G2319" s="3" t="s">
        <v>71</v>
      </c>
      <c r="H2319" s="2" t="s">
        <v>72</v>
      </c>
      <c r="I2319" s="2" t="s">
        <v>5901</v>
      </c>
      <c r="J2319" s="3" t="str">
        <f>HYPERLINK("https://www.boe.es/gazeta/dias/1815/06/29/pdfs/GMD-1815-78.pdf#page=7","Abrir facsímil")</f>
        <v>Abrir facsímil</v>
      </c>
      <c r="K2319" s="3" t="s">
        <v>74</v>
      </c>
    </row>
    <row r="2320" spans="1:11" ht="42" customHeight="1">
      <c r="A2320" s="2" t="s">
        <v>5902</v>
      </c>
      <c r="B2320" s="2" t="s">
        <v>5903</v>
      </c>
      <c r="C2320" s="2" t="s">
        <v>61</v>
      </c>
      <c r="D2320" s="2" t="s">
        <v>50</v>
      </c>
      <c r="E2320" s="5">
        <v>-30725</v>
      </c>
      <c r="F2320" s="3" t="s">
        <v>1535</v>
      </c>
      <c r="G2320" s="3" t="s">
        <v>1536</v>
      </c>
      <c r="H2320" s="2" t="s">
        <v>72</v>
      </c>
      <c r="I2320" s="2" t="s">
        <v>5904</v>
      </c>
      <c r="J2320" s="3" t="str">
        <f>HYPERLINK("https://www.boe.es/gazeta/dias/1815/11/16/pdfs/GMD-1815-143.pdf#page=8","Abrir facsímil")</f>
        <v>Abrir facsímil</v>
      </c>
      <c r="K2320" s="3" t="s">
        <v>74</v>
      </c>
    </row>
    <row r="2321" spans="1:11" ht="42" customHeight="1">
      <c r="A2321" s="2" t="s">
        <v>5905</v>
      </c>
      <c r="B2321" s="2" t="s">
        <v>5906</v>
      </c>
      <c r="C2321" s="2" t="s">
        <v>31</v>
      </c>
      <c r="D2321" s="2" t="s">
        <v>32</v>
      </c>
      <c r="E2321" s="5">
        <v>-30765</v>
      </c>
      <c r="F2321" s="3" t="s">
        <v>2150</v>
      </c>
      <c r="G2321" s="3" t="s">
        <v>27</v>
      </c>
      <c r="H2321" s="2" t="s">
        <v>72</v>
      </c>
      <c r="I2321" s="2" t="s">
        <v>5907</v>
      </c>
      <c r="J2321" s="3" t="str">
        <f>HYPERLINK("https://www.boe.es/gazeta/dias/1815/10/07/pdfs/GMD-1815-126.pdf#page=6","Abrir facsímil")</f>
        <v>Abrir facsímil</v>
      </c>
      <c r="K2321" s="3" t="s">
        <v>74</v>
      </c>
    </row>
    <row r="2322" spans="1:11" ht="42" customHeight="1">
      <c r="A2322" s="2" t="s">
        <v>5908</v>
      </c>
      <c r="B2322" s="2" t="s">
        <v>5909</v>
      </c>
      <c r="C2322" s="2" t="s">
        <v>17</v>
      </c>
      <c r="D2322" s="2" t="s">
        <v>18</v>
      </c>
      <c r="E2322" s="5">
        <v>-30891</v>
      </c>
      <c r="F2322" s="3" t="s">
        <v>498</v>
      </c>
      <c r="G2322" s="3" t="s">
        <v>27</v>
      </c>
      <c r="H2322" s="2" t="s">
        <v>72</v>
      </c>
      <c r="I2322" s="2" t="s">
        <v>5910</v>
      </c>
      <c r="J2322" s="3" t="str">
        <f>HYPERLINK("https://www.boe.es/gazeta/dias/1815/06/03/pdfs/GMD-1815-67.pdf#page=6","Abrir facsímil")</f>
        <v>Abrir facsímil</v>
      </c>
      <c r="K2322" s="3" t="s">
        <v>74</v>
      </c>
    </row>
    <row r="2323" spans="1:11" ht="42" customHeight="1">
      <c r="A2323" s="2" t="s">
        <v>5911</v>
      </c>
      <c r="B2323" s="2" t="s">
        <v>5912</v>
      </c>
      <c r="C2323" s="2" t="s">
        <v>31</v>
      </c>
      <c r="D2323" s="2" t="s">
        <v>32</v>
      </c>
      <c r="E2323" s="5">
        <v>-30807</v>
      </c>
      <c r="F2323" s="3" t="s">
        <v>586</v>
      </c>
      <c r="G2323" s="3" t="s">
        <v>20</v>
      </c>
      <c r="H2323" s="2" t="s">
        <v>72</v>
      </c>
      <c r="I2323" s="2" t="s">
        <v>5913</v>
      </c>
      <c r="J2323" s="3" t="str">
        <f>HYPERLINK("https://www.boe.es/gazeta/dias/1815/08/26/pdfs/GMD-1815-105.pdf#page=4","Abrir facsímil")</f>
        <v>Abrir facsímil</v>
      </c>
      <c r="K2323" s="3" t="s">
        <v>74</v>
      </c>
    </row>
    <row r="2324" spans="1:11" ht="42" customHeight="1">
      <c r="A2324" s="2" t="s">
        <v>5914</v>
      </c>
      <c r="B2324" s="2" t="s">
        <v>5915</v>
      </c>
      <c r="C2324" s="2" t="s">
        <v>49</v>
      </c>
      <c r="D2324" s="2" t="s">
        <v>50</v>
      </c>
      <c r="E2324" s="5">
        <v>-30825</v>
      </c>
      <c r="F2324" s="3" t="s">
        <v>669</v>
      </c>
      <c r="G2324" s="3" t="s">
        <v>88</v>
      </c>
      <c r="H2324" s="2" t="s">
        <v>72</v>
      </c>
      <c r="I2324" s="2" t="s">
        <v>5916</v>
      </c>
      <c r="J2324" s="3" t="str">
        <f>HYPERLINK("https://www.boe.es/gazeta/dias/1815/08/08/pdfs/GMD-1815-97.pdf#page=10","Abrir facsímil")</f>
        <v>Abrir facsímil</v>
      </c>
      <c r="K2324" s="3" t="s">
        <v>74</v>
      </c>
    </row>
    <row r="2325" spans="1:11" ht="42" customHeight="1">
      <c r="A2325" s="2" t="s">
        <v>5917</v>
      </c>
      <c r="B2325" s="2" t="s">
        <v>5917</v>
      </c>
      <c r="C2325" s="2" t="s">
        <v>17</v>
      </c>
      <c r="D2325" s="2" t="s">
        <v>18</v>
      </c>
      <c r="E2325" s="5">
        <v>-31040</v>
      </c>
      <c r="F2325" s="3" t="s">
        <v>326</v>
      </c>
      <c r="G2325" s="3" t="s">
        <v>27</v>
      </c>
      <c r="H2325" s="2" t="s">
        <v>72</v>
      </c>
      <c r="I2325" s="2" t="s">
        <v>5918</v>
      </c>
      <c r="J2325" s="3" t="str">
        <f>HYPERLINK("https://www.boe.es/gazeta/dias/1815/01/05/pdfs/GMD-1815-2.pdf#page=6","Abrir facsímil")</f>
        <v>Abrir facsímil</v>
      </c>
      <c r="K2325" s="3" t="s">
        <v>74</v>
      </c>
    </row>
    <row r="2326" spans="1:11" ht="42" customHeight="1">
      <c r="A2326" s="2" t="s">
        <v>5919</v>
      </c>
      <c r="B2326" s="2" t="s">
        <v>5920</v>
      </c>
      <c r="C2326" s="2" t="s">
        <v>17</v>
      </c>
      <c r="D2326" s="2" t="s">
        <v>18</v>
      </c>
      <c r="E2326" s="5">
        <v>-31003</v>
      </c>
      <c r="F2326" s="3" t="s">
        <v>405</v>
      </c>
      <c r="G2326" s="3" t="s">
        <v>38</v>
      </c>
      <c r="H2326" s="2" t="s">
        <v>72</v>
      </c>
      <c r="I2326" s="2" t="s">
        <v>5921</v>
      </c>
      <c r="J2326" s="3" t="str">
        <f>HYPERLINK("https://www.boe.es/gazeta/dias/1815/02/11/pdfs/GMD-1815-18.pdf#page=8","Abrir facsímil")</f>
        <v>Abrir facsímil</v>
      </c>
      <c r="K2326" s="3" t="s">
        <v>74</v>
      </c>
    </row>
    <row r="2327" spans="1:11" ht="42" customHeight="1">
      <c r="A2327" s="2" t="s">
        <v>5919</v>
      </c>
      <c r="B2327" s="2" t="s">
        <v>5920</v>
      </c>
      <c r="C2327" s="2" t="s">
        <v>31</v>
      </c>
      <c r="D2327" s="2" t="s">
        <v>32</v>
      </c>
      <c r="E2327" s="5">
        <v>-30977</v>
      </c>
      <c r="F2327" s="3" t="s">
        <v>37</v>
      </c>
      <c r="G2327" s="3" t="s">
        <v>38</v>
      </c>
      <c r="H2327" s="2" t="s">
        <v>72</v>
      </c>
      <c r="I2327" s="2" t="s">
        <v>5922</v>
      </c>
      <c r="J2327" s="3" t="str">
        <f>HYPERLINK("https://www.boe.es/gazeta/dias/1815/03/09/pdfs/GMD-1815-29.pdf#page=8","Abrir facsímil")</f>
        <v>Abrir facsímil</v>
      </c>
      <c r="K2327" s="3" t="s">
        <v>74</v>
      </c>
    </row>
    <row r="2328" spans="1:11" ht="42" customHeight="1">
      <c r="A2328" s="2" t="s">
        <v>5923</v>
      </c>
      <c r="B2328" s="2" t="s">
        <v>5924</v>
      </c>
      <c r="C2328" s="2" t="s">
        <v>49</v>
      </c>
      <c r="D2328" s="2" t="s">
        <v>50</v>
      </c>
      <c r="E2328" s="5">
        <v>-30865</v>
      </c>
      <c r="F2328" s="3" t="s">
        <v>163</v>
      </c>
      <c r="G2328" s="3" t="s">
        <v>71</v>
      </c>
      <c r="H2328" s="2" t="s">
        <v>72</v>
      </c>
      <c r="I2328" s="2" t="s">
        <v>5925</v>
      </c>
      <c r="J2328" s="3" t="str">
        <f>HYPERLINK("https://www.boe.es/gazeta/dias/1815/06/29/pdfs/GMD-1815-78.pdf#page=7","Abrir facsímil")</f>
        <v>Abrir facsímil</v>
      </c>
      <c r="K2328" s="3" t="s">
        <v>74</v>
      </c>
    </row>
    <row r="2329" spans="1:11" ht="42" customHeight="1">
      <c r="A2329" s="2" t="s">
        <v>5926</v>
      </c>
      <c r="B2329" s="2" t="s">
        <v>5926</v>
      </c>
      <c r="C2329" s="2" t="s">
        <v>31</v>
      </c>
      <c r="D2329" s="2" t="s">
        <v>32</v>
      </c>
      <c r="E2329" s="5">
        <v>-30842</v>
      </c>
      <c r="F2329" s="3" t="s">
        <v>126</v>
      </c>
      <c r="G2329" s="3" t="s">
        <v>1715</v>
      </c>
      <c r="H2329" s="2" t="s">
        <v>72</v>
      </c>
      <c r="I2329" s="2" t="s">
        <v>5927</v>
      </c>
      <c r="J2329" s="3" t="str">
        <f>HYPERLINK("https://www.boe.es/gazeta/dias/1815/07/22/pdfs/GMD-1815-90.pdf#page=2","Abrir facsímil")</f>
        <v>Abrir facsímil</v>
      </c>
      <c r="K2329" s="3" t="s">
        <v>74</v>
      </c>
    </row>
    <row r="2330" spans="1:11" ht="42" customHeight="1">
      <c r="A2330" s="2" t="s">
        <v>5928</v>
      </c>
      <c r="B2330" s="2" t="s">
        <v>5928</v>
      </c>
      <c r="C2330" s="2" t="s">
        <v>31</v>
      </c>
      <c r="D2330" s="2" t="s">
        <v>32</v>
      </c>
      <c r="E2330" s="5">
        <v>-31033</v>
      </c>
      <c r="F2330" s="3" t="s">
        <v>493</v>
      </c>
      <c r="G2330" s="3" t="s">
        <v>377</v>
      </c>
      <c r="H2330" s="2" t="s">
        <v>72</v>
      </c>
      <c r="I2330" s="2" t="s">
        <v>5929</v>
      </c>
      <c r="J2330" s="3" t="str">
        <f>HYPERLINK("https://www.boe.es/gazeta/dias/1815/01/12/pdfs/GMD-1815-5.pdf#page=2","Abrir facsímil")</f>
        <v>Abrir facsímil</v>
      </c>
      <c r="K2330" s="3" t="s">
        <v>74</v>
      </c>
    </row>
    <row r="2331" spans="1:11" ht="42" customHeight="1">
      <c r="A2331" s="2" t="s">
        <v>5930</v>
      </c>
      <c r="B2331" s="2" t="s">
        <v>5931</v>
      </c>
      <c r="C2331" s="2" t="s">
        <v>31</v>
      </c>
      <c r="D2331" s="2" t="s">
        <v>32</v>
      </c>
      <c r="E2331" s="5">
        <v>-30942</v>
      </c>
      <c r="F2331" s="3" t="s">
        <v>730</v>
      </c>
      <c r="G2331" s="3" t="s">
        <v>38</v>
      </c>
      <c r="H2331" s="2" t="s">
        <v>72</v>
      </c>
      <c r="I2331" s="2" t="s">
        <v>5932</v>
      </c>
      <c r="J2331" s="3" t="str">
        <f>HYPERLINK("https://www.boe.es/gazeta/dias/1815/04/13/pdfs/GMD-1815-45.pdf#page=8","Abrir facsímil")</f>
        <v>Abrir facsímil</v>
      </c>
      <c r="K2331" s="3" t="s">
        <v>74</v>
      </c>
    </row>
    <row r="2332" spans="1:11" ht="42" customHeight="1">
      <c r="A2332" s="2" t="s">
        <v>5933</v>
      </c>
      <c r="B2332" s="2" t="s">
        <v>5934</v>
      </c>
      <c r="C2332" s="2" t="s">
        <v>17</v>
      </c>
      <c r="D2332" s="2" t="s">
        <v>18</v>
      </c>
      <c r="E2332" s="5">
        <v>-31000</v>
      </c>
      <c r="F2332" s="3" t="s">
        <v>70</v>
      </c>
      <c r="G2332" s="3" t="s">
        <v>71</v>
      </c>
      <c r="H2332" s="2" t="s">
        <v>72</v>
      </c>
      <c r="I2332" s="2" t="s">
        <v>5935</v>
      </c>
      <c r="J2332" s="3" t="str">
        <f>HYPERLINK("https://www.boe.es/gazeta/dias/1815/02/14/pdfs/GMD-1815-19.pdf#page=7","Abrir facsímil")</f>
        <v>Abrir facsímil</v>
      </c>
      <c r="K2332" s="3" t="s">
        <v>74</v>
      </c>
    </row>
    <row r="2333" spans="1:11" ht="42" customHeight="1">
      <c r="A2333" s="2" t="s">
        <v>5936</v>
      </c>
      <c r="B2333" s="2" t="s">
        <v>5936</v>
      </c>
      <c r="C2333" s="2" t="s">
        <v>31</v>
      </c>
      <c r="D2333" s="2" t="s">
        <v>32</v>
      </c>
      <c r="E2333" s="5">
        <v>-30825</v>
      </c>
      <c r="F2333" s="3" t="s">
        <v>669</v>
      </c>
      <c r="G2333" s="3" t="s">
        <v>57</v>
      </c>
      <c r="H2333" s="2" t="s">
        <v>72</v>
      </c>
      <c r="I2333" s="2" t="s">
        <v>5937</v>
      </c>
      <c r="J2333" s="3" t="str">
        <f>HYPERLINK("https://www.boe.es/gazeta/dias/1815/08/08/pdfs/GMD-1815-97.pdf#page=5","Abrir facsímil")</f>
        <v>Abrir facsímil</v>
      </c>
      <c r="K2333" s="3" t="s">
        <v>74</v>
      </c>
    </row>
    <row r="2334" spans="1:11" ht="42" customHeight="1">
      <c r="A2334" s="2" t="s">
        <v>5938</v>
      </c>
      <c r="B2334" s="2" t="s">
        <v>5939</v>
      </c>
      <c r="C2334" s="2" t="s">
        <v>49</v>
      </c>
      <c r="D2334" s="2" t="s">
        <v>50</v>
      </c>
      <c r="E2334" s="5">
        <v>-30865</v>
      </c>
      <c r="F2334" s="3" t="s">
        <v>163</v>
      </c>
      <c r="G2334" s="3" t="s">
        <v>71</v>
      </c>
      <c r="H2334" s="2" t="s">
        <v>72</v>
      </c>
      <c r="I2334" s="2" t="s">
        <v>5940</v>
      </c>
      <c r="J2334" s="3" t="str">
        <f>HYPERLINK("https://www.boe.es/gazeta/dias/1815/06/29/pdfs/GMD-1815-78.pdf#page=7","Abrir facsímil")</f>
        <v>Abrir facsímil</v>
      </c>
      <c r="K2334" s="3" t="s">
        <v>74</v>
      </c>
    </row>
    <row r="2335" spans="1:11" ht="42" customHeight="1">
      <c r="A2335" s="2" t="s">
        <v>5941</v>
      </c>
      <c r="B2335" s="2" t="s">
        <v>5942</v>
      </c>
      <c r="C2335" s="2" t="s">
        <v>31</v>
      </c>
      <c r="D2335" s="2" t="s">
        <v>32</v>
      </c>
      <c r="E2335" s="5">
        <v>-30716</v>
      </c>
      <c r="F2335" s="3" t="s">
        <v>589</v>
      </c>
      <c r="G2335" s="3" t="s">
        <v>27</v>
      </c>
      <c r="H2335" s="2" t="s">
        <v>72</v>
      </c>
      <c r="I2335" s="2" t="s">
        <v>5943</v>
      </c>
      <c r="J2335" s="3" t="str">
        <f>HYPERLINK("https://www.boe.es/gazeta/dias/1815/11/25/pdfs/GMD-1815-147.pdf#page=6","Abrir facsímil")</f>
        <v>Abrir facsímil</v>
      </c>
      <c r="K2335" s="3" t="s">
        <v>74</v>
      </c>
    </row>
    <row r="2336" spans="1:11" ht="42" customHeight="1">
      <c r="A2336" s="2" t="s">
        <v>5944</v>
      </c>
      <c r="B2336" s="2" t="s">
        <v>5945</v>
      </c>
      <c r="C2336" s="2" t="s">
        <v>61</v>
      </c>
      <c r="D2336" s="2" t="s">
        <v>50</v>
      </c>
      <c r="E2336" s="5">
        <v>-30832</v>
      </c>
      <c r="F2336" s="3" t="s">
        <v>266</v>
      </c>
      <c r="G2336" s="3" t="s">
        <v>276</v>
      </c>
      <c r="H2336" s="2" t="s">
        <v>72</v>
      </c>
      <c r="I2336" s="2" t="s">
        <v>5946</v>
      </c>
      <c r="J2336" s="3" t="str">
        <f>HYPERLINK("https://www.boe.es/gazeta/dias/1815/08/01/pdfs/GMD-1815-94.pdf#page=12","Abrir facsímil")</f>
        <v>Abrir facsímil</v>
      </c>
      <c r="K2336" s="3" t="s">
        <v>74</v>
      </c>
    </row>
    <row r="2337" spans="1:11" ht="42" customHeight="1">
      <c r="A2337" s="2" t="s">
        <v>5944</v>
      </c>
      <c r="B2337" s="2" t="s">
        <v>5945</v>
      </c>
      <c r="C2337" s="2" t="s">
        <v>195</v>
      </c>
      <c r="D2337" s="2" t="s">
        <v>50</v>
      </c>
      <c r="E2337" s="5">
        <v>-30825</v>
      </c>
      <c r="F2337" s="3" t="s">
        <v>669</v>
      </c>
      <c r="G2337" s="3" t="s">
        <v>276</v>
      </c>
      <c r="H2337" s="2" t="s">
        <v>72</v>
      </c>
      <c r="I2337" s="2" t="s">
        <v>5947</v>
      </c>
      <c r="J2337" s="3" t="str">
        <f>HYPERLINK("https://www.boe.es/gazeta/dias/1815/08/08/pdfs/GMD-1815-97.pdf#page=12","Abrir facsímil")</f>
        <v>Abrir facsímil</v>
      </c>
      <c r="K2337" s="3" t="s">
        <v>74</v>
      </c>
    </row>
    <row r="2338" spans="1:11" ht="42" customHeight="1">
      <c r="A2338" s="2" t="s">
        <v>5944</v>
      </c>
      <c r="B2338" s="2" t="s">
        <v>5945</v>
      </c>
      <c r="C2338" s="2" t="s">
        <v>17</v>
      </c>
      <c r="D2338" s="2" t="s">
        <v>18</v>
      </c>
      <c r="E2338" s="5">
        <v>-30823</v>
      </c>
      <c r="F2338" s="3" t="s">
        <v>305</v>
      </c>
      <c r="G2338" s="3" t="s">
        <v>276</v>
      </c>
      <c r="H2338" s="2" t="s">
        <v>72</v>
      </c>
      <c r="I2338" s="2" t="s">
        <v>5948</v>
      </c>
      <c r="J2338" s="3" t="str">
        <f>HYPERLINK("https://www.boe.es/gazeta/dias/1815/08/10/pdfs/GMD-1815-98.pdf#page=12","Abrir facsímil")</f>
        <v>Abrir facsímil</v>
      </c>
      <c r="K2338" s="3" t="s">
        <v>74</v>
      </c>
    </row>
    <row r="2339" spans="1:11" ht="42" customHeight="1">
      <c r="A2339" s="2" t="s">
        <v>5949</v>
      </c>
      <c r="B2339" s="2" t="s">
        <v>5950</v>
      </c>
      <c r="C2339" s="2" t="s">
        <v>31</v>
      </c>
      <c r="D2339" s="2" t="s">
        <v>32</v>
      </c>
      <c r="E2339" s="5">
        <v>-30872</v>
      </c>
      <c r="F2339" s="3" t="s">
        <v>167</v>
      </c>
      <c r="G2339" s="3" t="s">
        <v>27</v>
      </c>
      <c r="H2339" s="2" t="s">
        <v>72</v>
      </c>
      <c r="I2339" s="2" t="s">
        <v>5951</v>
      </c>
      <c r="J2339" s="3" t="str">
        <f>HYPERLINK("https://www.boe.es/gazeta/dias/1815/06/22/pdfs/GMD-1815-75.pdf#page=6","Abrir facsímil")</f>
        <v>Abrir facsímil</v>
      </c>
      <c r="K2339" s="3" t="s">
        <v>74</v>
      </c>
    </row>
    <row r="2340" spans="1:11" ht="42" customHeight="1">
      <c r="A2340" s="2" t="s">
        <v>5952</v>
      </c>
      <c r="B2340" s="2" t="s">
        <v>5953</v>
      </c>
      <c r="C2340" s="2" t="s">
        <v>81</v>
      </c>
      <c r="D2340" s="2" t="s">
        <v>50</v>
      </c>
      <c r="E2340" s="5">
        <v>-30713</v>
      </c>
      <c r="F2340" s="3" t="s">
        <v>895</v>
      </c>
      <c r="G2340" s="3" t="s">
        <v>57</v>
      </c>
      <c r="H2340" s="2" t="s">
        <v>72</v>
      </c>
      <c r="I2340" s="2" t="s">
        <v>5954</v>
      </c>
      <c r="J2340" s="3" t="str">
        <f>HYPERLINK("https://www.boe.es/gazeta/dias/1815/11/28/pdfs/GMD-1815-148.pdf#page=5","Abrir facsímil")</f>
        <v>Abrir facsímil</v>
      </c>
      <c r="K2340" s="3" t="s">
        <v>74</v>
      </c>
    </row>
    <row r="2341" spans="1:11" ht="42" customHeight="1">
      <c r="A2341" s="2" t="s">
        <v>5955</v>
      </c>
      <c r="B2341" s="2" t="s">
        <v>5955</v>
      </c>
      <c r="C2341" s="2" t="s">
        <v>31</v>
      </c>
      <c r="D2341" s="2" t="s">
        <v>32</v>
      </c>
      <c r="E2341" s="5">
        <v>-30837</v>
      </c>
      <c r="F2341" s="3" t="s">
        <v>2256</v>
      </c>
      <c r="G2341" s="3" t="s">
        <v>57</v>
      </c>
      <c r="H2341" s="2" t="s">
        <v>72</v>
      </c>
      <c r="I2341" s="2" t="s">
        <v>5956</v>
      </c>
      <c r="J2341" s="3" t="str">
        <f>HYPERLINK("https://www.boe.es/gazeta/dias/1815/07/27/pdfs/GMD-1815-92.pdf#page=5","Abrir facsímil")</f>
        <v>Abrir facsímil</v>
      </c>
      <c r="K2341" s="3" t="s">
        <v>74</v>
      </c>
    </row>
    <row r="2342" spans="1:11" ht="42" customHeight="1">
      <c r="A2342" s="2" t="s">
        <v>5957</v>
      </c>
      <c r="B2342" s="2" t="s">
        <v>5957</v>
      </c>
      <c r="C2342" s="2" t="s">
        <v>17</v>
      </c>
      <c r="D2342" s="2" t="s">
        <v>18</v>
      </c>
      <c r="E2342" s="5">
        <v>-30751</v>
      </c>
      <c r="F2342" s="3" t="s">
        <v>819</v>
      </c>
      <c r="G2342" s="3" t="s">
        <v>820</v>
      </c>
      <c r="H2342" s="2" t="s">
        <v>72</v>
      </c>
      <c r="I2342" s="2" t="s">
        <v>5958</v>
      </c>
      <c r="J2342" s="3" t="str">
        <f>HYPERLINK("https://www.boe.es/gazeta/dias/1815/10/21/pdfs/GMD-1815-132.pdf#page=4","Abrir facsímil")</f>
        <v>Abrir facsímil</v>
      </c>
      <c r="K2342" s="3" t="s">
        <v>74</v>
      </c>
    </row>
    <row r="2343" spans="1:11" ht="42" customHeight="1">
      <c r="A2343" s="2" t="s">
        <v>5959</v>
      </c>
      <c r="B2343" s="2" t="s">
        <v>5960</v>
      </c>
      <c r="C2343" s="2" t="s">
        <v>17</v>
      </c>
      <c r="D2343" s="2" t="s">
        <v>18</v>
      </c>
      <c r="E2343" s="5">
        <v>-30965</v>
      </c>
      <c r="F2343" s="3" t="s">
        <v>1679</v>
      </c>
      <c r="G2343" s="3" t="s">
        <v>97</v>
      </c>
      <c r="H2343" s="2" t="s">
        <v>72</v>
      </c>
      <c r="I2343" s="2" t="s">
        <v>5961</v>
      </c>
      <c r="J2343" s="3" t="str">
        <f>HYPERLINK("https://www.boe.es/gazeta/dias/1815/03/21/pdfs/GMD-1815-34.pdf#page=3","Abrir facsímil")</f>
        <v>Abrir facsímil</v>
      </c>
      <c r="K2343" s="3" t="s">
        <v>74</v>
      </c>
    </row>
    <row r="2344" spans="1:11" ht="42" customHeight="1">
      <c r="A2344" s="2" t="s">
        <v>5962</v>
      </c>
      <c r="B2344" s="2" t="s">
        <v>5963</v>
      </c>
      <c r="C2344" s="2" t="s">
        <v>31</v>
      </c>
      <c r="D2344" s="2" t="s">
        <v>32</v>
      </c>
      <c r="E2344" s="5">
        <v>-30860</v>
      </c>
      <c r="F2344" s="3" t="s">
        <v>184</v>
      </c>
      <c r="G2344" s="3" t="s">
        <v>472</v>
      </c>
      <c r="H2344" s="2" t="s">
        <v>72</v>
      </c>
      <c r="I2344" s="2" t="s">
        <v>5964</v>
      </c>
      <c r="J2344" s="3" t="str">
        <f>HYPERLINK("https://www.boe.es/gazeta/dias/1815/07/04/pdfs/GMD-1815-81.pdf#page=8","Abrir facsímil")</f>
        <v>Abrir facsímil</v>
      </c>
      <c r="K2344" s="3" t="s">
        <v>74</v>
      </c>
    </row>
    <row r="2345" spans="1:11" ht="42" customHeight="1">
      <c r="A2345" s="2" t="s">
        <v>5965</v>
      </c>
      <c r="B2345" s="2" t="s">
        <v>5966</v>
      </c>
      <c r="C2345" s="2" t="s">
        <v>49</v>
      </c>
      <c r="D2345" s="2" t="s">
        <v>50</v>
      </c>
      <c r="E2345" s="5">
        <v>-30865</v>
      </c>
      <c r="F2345" s="3" t="s">
        <v>163</v>
      </c>
      <c r="G2345" s="3" t="s">
        <v>27</v>
      </c>
      <c r="H2345" s="2" t="s">
        <v>72</v>
      </c>
      <c r="I2345" s="2" t="s">
        <v>5967</v>
      </c>
      <c r="J2345" s="3" t="str">
        <f>HYPERLINK("https://www.boe.es/gazeta/dias/1815/06/29/pdfs/GMD-1815-78.pdf#page=6","Abrir facsímil")</f>
        <v>Abrir facsímil</v>
      </c>
      <c r="K2345" s="3" t="s">
        <v>74</v>
      </c>
    </row>
    <row r="2346" spans="1:11" ht="42" customHeight="1">
      <c r="A2346" s="2" t="s">
        <v>5968</v>
      </c>
      <c r="B2346" s="2" t="s">
        <v>5969</v>
      </c>
      <c r="C2346" s="2" t="s">
        <v>17</v>
      </c>
      <c r="D2346" s="2" t="s">
        <v>18</v>
      </c>
      <c r="E2346" s="5">
        <v>-30965</v>
      </c>
      <c r="F2346" s="3" t="s">
        <v>1679</v>
      </c>
      <c r="G2346" s="3" t="s">
        <v>97</v>
      </c>
      <c r="H2346" s="2" t="s">
        <v>72</v>
      </c>
      <c r="I2346" s="2" t="s">
        <v>5970</v>
      </c>
      <c r="J2346" s="3" t="str">
        <f>HYPERLINK("https://www.boe.es/gazeta/dias/1815/03/21/pdfs/GMD-1815-34.pdf#page=3","Abrir facsímil")</f>
        <v>Abrir facsímil</v>
      </c>
      <c r="K2346" s="3" t="s">
        <v>74</v>
      </c>
    </row>
    <row r="2347" spans="1:11" ht="42" customHeight="1">
      <c r="A2347" s="2" t="s">
        <v>5971</v>
      </c>
      <c r="B2347" s="2" t="s">
        <v>5972</v>
      </c>
      <c r="C2347" s="2" t="s">
        <v>61</v>
      </c>
      <c r="D2347" s="2" t="s">
        <v>50</v>
      </c>
      <c r="E2347" s="5">
        <v>-30949</v>
      </c>
      <c r="F2347" s="3" t="s">
        <v>420</v>
      </c>
      <c r="G2347" s="3" t="s">
        <v>38</v>
      </c>
      <c r="H2347" s="2" t="s">
        <v>72</v>
      </c>
      <c r="I2347" s="2" t="s">
        <v>5973</v>
      </c>
      <c r="J2347" s="3" t="str">
        <f>HYPERLINK("https://www.boe.es/gazeta/dias/1815/04/06/pdfs/GMD-1815-42.pdf#page=8","Abrir facsímil")</f>
        <v>Abrir facsímil</v>
      </c>
      <c r="K2347" s="3" t="s">
        <v>74</v>
      </c>
    </row>
    <row r="2348" spans="1:11" ht="42" customHeight="1">
      <c r="A2348" s="2" t="s">
        <v>5974</v>
      </c>
      <c r="B2348" s="2" t="s">
        <v>5975</v>
      </c>
      <c r="C2348" s="2" t="s">
        <v>31</v>
      </c>
      <c r="D2348" s="2" t="s">
        <v>32</v>
      </c>
      <c r="E2348" s="5">
        <v>-30867</v>
      </c>
      <c r="F2348" s="3" t="s">
        <v>3179</v>
      </c>
      <c r="G2348" s="3" t="s">
        <v>20</v>
      </c>
      <c r="H2348" s="2" t="s">
        <v>72</v>
      </c>
      <c r="I2348" s="2" t="s">
        <v>5976</v>
      </c>
      <c r="J2348" s="3" t="str">
        <f>HYPERLINK("https://www.boe.es/gazeta/dias/1815/06/27/pdfs/GMD-1815-77.pdf#page=4","Abrir facsímil")</f>
        <v>Abrir facsímil</v>
      </c>
      <c r="K2348" s="3" t="s">
        <v>74</v>
      </c>
    </row>
    <row r="2349" spans="1:11" ht="42" customHeight="1">
      <c r="A2349" s="2" t="s">
        <v>5977</v>
      </c>
      <c r="B2349" s="2" t="s">
        <v>5978</v>
      </c>
      <c r="C2349" s="2" t="s">
        <v>31</v>
      </c>
      <c r="D2349" s="2" t="s">
        <v>32</v>
      </c>
      <c r="E2349" s="5">
        <v>-30951</v>
      </c>
      <c r="F2349" s="3" t="s">
        <v>87</v>
      </c>
      <c r="G2349" s="3" t="s">
        <v>88</v>
      </c>
      <c r="H2349" s="2" t="s">
        <v>72</v>
      </c>
      <c r="I2349" s="2" t="s">
        <v>5979</v>
      </c>
      <c r="J2349" s="3" t="str">
        <f>HYPERLINK("https://www.boe.es/gazeta/dias/1815/04/04/pdfs/GMD-1815-41.pdf#page=10","Abrir facsímil")</f>
        <v>Abrir facsímil</v>
      </c>
      <c r="K2349" s="3" t="s">
        <v>74</v>
      </c>
    </row>
    <row r="2350" spans="1:11" ht="42" customHeight="1">
      <c r="A2350" s="2" t="s">
        <v>5980</v>
      </c>
      <c r="B2350" s="2" t="s">
        <v>5981</v>
      </c>
      <c r="C2350" s="2" t="s">
        <v>17</v>
      </c>
      <c r="D2350" s="2" t="s">
        <v>18</v>
      </c>
      <c r="E2350" s="5">
        <v>-30811</v>
      </c>
      <c r="F2350" s="3" t="s">
        <v>293</v>
      </c>
      <c r="G2350" s="3" t="s">
        <v>27</v>
      </c>
      <c r="H2350" s="2" t="s">
        <v>72</v>
      </c>
      <c r="I2350" s="2" t="s">
        <v>5982</v>
      </c>
      <c r="J2350" s="3" t="str">
        <f>HYPERLINK("https://www.boe.es/gazeta/dias/1815/08/22/pdfs/GMD-1815-103.pdf#page=6","Abrir facsímil")</f>
        <v>Abrir facsímil</v>
      </c>
      <c r="K2350" s="3" t="s">
        <v>74</v>
      </c>
    </row>
    <row r="2351" spans="1:11" ht="42" customHeight="1">
      <c r="A2351" s="2" t="s">
        <v>5983</v>
      </c>
      <c r="B2351" s="2" t="s">
        <v>5984</v>
      </c>
      <c r="C2351" s="2" t="s">
        <v>81</v>
      </c>
      <c r="D2351" s="2" t="s">
        <v>50</v>
      </c>
      <c r="E2351" s="5">
        <v>-30765</v>
      </c>
      <c r="F2351" s="3" t="s">
        <v>2150</v>
      </c>
      <c r="G2351" s="3" t="s">
        <v>38</v>
      </c>
      <c r="H2351" s="2" t="s">
        <v>72</v>
      </c>
      <c r="I2351" s="2" t="s">
        <v>5985</v>
      </c>
      <c r="J2351" s="3" t="str">
        <f>HYPERLINK("https://www.boe.es/gazeta/dias/1815/10/07/pdfs/GMD-1815-126.pdf#page=8","Abrir facsímil")</f>
        <v>Abrir facsímil</v>
      </c>
      <c r="K2351" s="3" t="s">
        <v>74</v>
      </c>
    </row>
    <row r="2352" spans="1:11" ht="42" customHeight="1">
      <c r="A2352" s="2" t="s">
        <v>5986</v>
      </c>
      <c r="B2352" s="2" t="s">
        <v>5987</v>
      </c>
      <c r="C2352" s="2" t="s">
        <v>49</v>
      </c>
      <c r="D2352" s="2" t="s">
        <v>50</v>
      </c>
      <c r="E2352" s="5">
        <v>-30804</v>
      </c>
      <c r="F2352" s="3" t="s">
        <v>891</v>
      </c>
      <c r="G2352" s="3" t="s">
        <v>38</v>
      </c>
      <c r="H2352" s="2" t="s">
        <v>72</v>
      </c>
      <c r="I2352" s="2" t="s">
        <v>5988</v>
      </c>
      <c r="J2352" s="3" t="str">
        <f>HYPERLINK("https://www.boe.es/gazeta/dias/1815/08/29/pdfs/GMD-1815-106.pdf#page=8","Abrir facsímil")</f>
        <v>Abrir facsímil</v>
      </c>
      <c r="K2352" s="3" t="s">
        <v>74</v>
      </c>
    </row>
    <row r="2353" spans="1:11" ht="42" customHeight="1">
      <c r="A2353" s="2" t="s">
        <v>5989</v>
      </c>
      <c r="B2353" s="2" t="s">
        <v>5990</v>
      </c>
      <c r="C2353" s="2" t="s">
        <v>31</v>
      </c>
      <c r="D2353" s="2" t="s">
        <v>32</v>
      </c>
      <c r="E2353" s="5">
        <v>-31040</v>
      </c>
      <c r="F2353" s="3" t="s">
        <v>326</v>
      </c>
      <c r="G2353" s="3" t="s">
        <v>27</v>
      </c>
      <c r="H2353" s="2" t="s">
        <v>72</v>
      </c>
      <c r="I2353" s="2" t="s">
        <v>5991</v>
      </c>
      <c r="J2353" s="3" t="str">
        <f>HYPERLINK("https://www.boe.es/gazeta/dias/1815/01/05/pdfs/GMD-1815-2.pdf#page=6","Abrir facsímil")</f>
        <v>Abrir facsímil</v>
      </c>
      <c r="K2353" s="3" t="s">
        <v>74</v>
      </c>
    </row>
    <row r="2354" spans="1:11" ht="42" customHeight="1">
      <c r="A2354" s="2" t="s">
        <v>5992</v>
      </c>
      <c r="B2354" s="2" t="s">
        <v>5993</v>
      </c>
      <c r="C2354" s="2" t="s">
        <v>61</v>
      </c>
      <c r="D2354" s="2" t="s">
        <v>50</v>
      </c>
      <c r="E2354" s="5">
        <v>-30916</v>
      </c>
      <c r="F2354" s="3" t="s">
        <v>147</v>
      </c>
      <c r="G2354" s="3" t="s">
        <v>3394</v>
      </c>
      <c r="H2354" s="2" t="s">
        <v>72</v>
      </c>
      <c r="I2354" s="2" t="s">
        <v>5994</v>
      </c>
      <c r="J2354" s="3" t="str">
        <f>HYPERLINK("https://www.boe.es/gazeta/dias/1815/05/09/pdfs/GMD-1815-56.pdf#page=12","Abrir facsímil")</f>
        <v>Abrir facsímil</v>
      </c>
      <c r="K2354" s="3" t="s">
        <v>74</v>
      </c>
    </row>
    <row r="2355" spans="1:11" ht="42" customHeight="1">
      <c r="A2355" s="2" t="s">
        <v>5995</v>
      </c>
      <c r="B2355" s="2" t="s">
        <v>5996</v>
      </c>
      <c r="C2355" s="2" t="s">
        <v>49</v>
      </c>
      <c r="D2355" s="2" t="s">
        <v>50</v>
      </c>
      <c r="E2355" s="5">
        <v>-30767</v>
      </c>
      <c r="F2355" s="3" t="s">
        <v>228</v>
      </c>
      <c r="G2355" s="3" t="s">
        <v>88</v>
      </c>
      <c r="H2355" s="2" t="s">
        <v>72</v>
      </c>
      <c r="I2355" s="2" t="s">
        <v>5997</v>
      </c>
      <c r="J2355" s="3" t="str">
        <f>HYPERLINK("https://www.boe.es/gazeta/dias/1815/10/05/pdfs/GMD-1815-125.pdf#page=10","Abrir facsímil")</f>
        <v>Abrir facsímil</v>
      </c>
      <c r="K2355" s="3" t="s">
        <v>74</v>
      </c>
    </row>
    <row r="2356" spans="1:11" ht="42" customHeight="1">
      <c r="A2356" s="2" t="s">
        <v>5998</v>
      </c>
      <c r="B2356" s="2" t="s">
        <v>5999</v>
      </c>
      <c r="C2356" s="2" t="s">
        <v>17</v>
      </c>
      <c r="D2356" s="2" t="s">
        <v>18</v>
      </c>
      <c r="E2356" s="5">
        <v>-30800</v>
      </c>
      <c r="F2356" s="3" t="s">
        <v>26</v>
      </c>
      <c r="G2356" s="3" t="s">
        <v>27</v>
      </c>
      <c r="H2356" s="2" t="s">
        <v>72</v>
      </c>
      <c r="I2356" s="2" t="s">
        <v>6000</v>
      </c>
      <c r="J2356" s="3" t="str">
        <f>HYPERLINK("https://www.boe.es/gazeta/dias/1815/09/02/pdfs/GMD-1815-109.pdf#page=6","Abrir facsímil")</f>
        <v>Abrir facsímil</v>
      </c>
      <c r="K2356" s="3" t="s">
        <v>74</v>
      </c>
    </row>
    <row r="2357" spans="1:11" ht="42" customHeight="1">
      <c r="A2357" s="2" t="s">
        <v>6001</v>
      </c>
      <c r="B2357" s="2" t="s">
        <v>6002</v>
      </c>
      <c r="C2357" s="2" t="s">
        <v>49</v>
      </c>
      <c r="D2357" s="2" t="s">
        <v>50</v>
      </c>
      <c r="E2357" s="5">
        <v>-30688</v>
      </c>
      <c r="F2357" s="3" t="s">
        <v>62</v>
      </c>
      <c r="G2357" s="3" t="s">
        <v>57</v>
      </c>
      <c r="H2357" s="2" t="s">
        <v>72</v>
      </c>
      <c r="I2357" s="2" t="s">
        <v>6003</v>
      </c>
      <c r="J2357" s="3" t="str">
        <f>HYPERLINK("https://www.boe.es/gazeta/dias/1815/12/23/pdfs/GMD-1815-159.pdf#page=5","Abrir facsímil")</f>
        <v>Abrir facsímil</v>
      </c>
      <c r="K2357" s="3" t="s">
        <v>74</v>
      </c>
    </row>
    <row r="2358" spans="1:11" ht="42" customHeight="1">
      <c r="A2358" s="2" t="s">
        <v>6004</v>
      </c>
      <c r="B2358" s="2" t="s">
        <v>6005</v>
      </c>
      <c r="C2358" s="2" t="s">
        <v>61</v>
      </c>
      <c r="D2358" s="2" t="s">
        <v>50</v>
      </c>
      <c r="E2358" s="5">
        <v>-30991</v>
      </c>
      <c r="F2358" s="3" t="s">
        <v>318</v>
      </c>
      <c r="G2358" s="3" t="s">
        <v>1829</v>
      </c>
      <c r="H2358" s="2" t="s">
        <v>72</v>
      </c>
      <c r="I2358" s="2" t="s">
        <v>6006</v>
      </c>
      <c r="J2358" s="3" t="str">
        <f>HYPERLINK("https://www.boe.es/gazeta/dias/1815/02/23/pdfs/GMD-1815-23.pdf#page=8","Abrir facsímil")</f>
        <v>Abrir facsímil</v>
      </c>
      <c r="K2358" s="3" t="s">
        <v>74</v>
      </c>
    </row>
    <row r="2359" spans="1:11" ht="42" customHeight="1">
      <c r="A2359" s="2" t="s">
        <v>6007</v>
      </c>
      <c r="B2359" s="2" t="s">
        <v>6008</v>
      </c>
      <c r="C2359" s="2" t="s">
        <v>17</v>
      </c>
      <c r="D2359" s="2" t="s">
        <v>18</v>
      </c>
      <c r="E2359" s="5">
        <v>-30697</v>
      </c>
      <c r="F2359" s="3" t="s">
        <v>381</v>
      </c>
      <c r="G2359" s="3" t="s">
        <v>1556</v>
      </c>
      <c r="H2359" s="2" t="s">
        <v>72</v>
      </c>
      <c r="I2359" s="2" t="s">
        <v>6009</v>
      </c>
      <c r="J2359" s="3" t="str">
        <f>HYPERLINK("https://www.boe.es/gazeta/dias/1815/12/14/pdfs/GMD-1815-155.pdf#page=8","Abrir facsímil")</f>
        <v>Abrir facsímil</v>
      </c>
      <c r="K2359" s="3" t="s">
        <v>74</v>
      </c>
    </row>
    <row r="2360" spans="1:11" ht="42" customHeight="1">
      <c r="A2360" s="2" t="s">
        <v>6010</v>
      </c>
      <c r="B2360" s="2" t="s">
        <v>6011</v>
      </c>
      <c r="C2360" s="2" t="s">
        <v>31</v>
      </c>
      <c r="D2360" s="2" t="s">
        <v>32</v>
      </c>
      <c r="E2360" s="5">
        <v>-30811</v>
      </c>
      <c r="F2360" s="3" t="s">
        <v>293</v>
      </c>
      <c r="G2360" s="3" t="s">
        <v>27</v>
      </c>
      <c r="H2360" s="2" t="s">
        <v>72</v>
      </c>
      <c r="I2360" s="2" t="s">
        <v>6012</v>
      </c>
      <c r="J2360" s="3" t="str">
        <f>HYPERLINK("https://www.boe.es/gazeta/dias/1815/08/22/pdfs/GMD-1815-103.pdf#page=6","Abrir facsímil")</f>
        <v>Abrir facsímil</v>
      </c>
      <c r="K2360" s="3" t="s">
        <v>74</v>
      </c>
    </row>
    <row r="2361" spans="1:11" ht="42" customHeight="1">
      <c r="A2361" s="2" t="s">
        <v>6013</v>
      </c>
      <c r="B2361" s="2" t="s">
        <v>6014</v>
      </c>
      <c r="C2361" s="2" t="s">
        <v>195</v>
      </c>
      <c r="D2361" s="2" t="s">
        <v>50</v>
      </c>
      <c r="E2361" s="5">
        <v>-30970</v>
      </c>
      <c r="F2361" s="3" t="s">
        <v>436</v>
      </c>
      <c r="G2361" s="3" t="s">
        <v>20</v>
      </c>
      <c r="H2361" s="2" t="s">
        <v>72</v>
      </c>
      <c r="I2361" s="2" t="s">
        <v>6015</v>
      </c>
      <c r="J2361" s="3" t="str">
        <f>HYPERLINK("https://www.boe.es/gazeta/dias/1815/03/16/pdfs/GMD-1815-32.pdf#page=4","Abrir facsímil")</f>
        <v>Abrir facsímil</v>
      </c>
      <c r="K2361" s="3" t="s">
        <v>74</v>
      </c>
    </row>
    <row r="2362" spans="1:11" ht="42" customHeight="1">
      <c r="A2362" s="2" t="s">
        <v>6013</v>
      </c>
      <c r="B2362" s="2" t="s">
        <v>6014</v>
      </c>
      <c r="C2362" s="2" t="s">
        <v>49</v>
      </c>
      <c r="D2362" s="2" t="s">
        <v>50</v>
      </c>
      <c r="E2362" s="5">
        <v>-30968</v>
      </c>
      <c r="F2362" s="3" t="s">
        <v>2695</v>
      </c>
      <c r="G2362" s="3" t="s">
        <v>57</v>
      </c>
      <c r="H2362" s="2" t="s">
        <v>72</v>
      </c>
      <c r="I2362" s="2" t="s">
        <v>6016</v>
      </c>
      <c r="J2362" s="3" t="str">
        <f>HYPERLINK("https://www.boe.es/gazeta/dias/1815/03/18/pdfs/GMD-1815-33.pdf#page=5","Abrir facsímil")</f>
        <v>Abrir facsímil</v>
      </c>
      <c r="K2362" s="3" t="s">
        <v>74</v>
      </c>
    </row>
    <row r="2363" spans="1:11" ht="42" customHeight="1">
      <c r="A2363" s="2" t="s">
        <v>6013</v>
      </c>
      <c r="B2363" s="2" t="s">
        <v>6014</v>
      </c>
      <c r="C2363" s="2" t="s">
        <v>49</v>
      </c>
      <c r="D2363" s="2" t="s">
        <v>50</v>
      </c>
      <c r="E2363" s="5">
        <v>-30958</v>
      </c>
      <c r="F2363" s="3" t="s">
        <v>297</v>
      </c>
      <c r="G2363" s="3" t="s">
        <v>20</v>
      </c>
      <c r="H2363" s="2" t="s">
        <v>72</v>
      </c>
      <c r="I2363" s="2" t="s">
        <v>6017</v>
      </c>
      <c r="J2363" s="3" t="str">
        <f>HYPERLINK("https://www.boe.es/gazeta/dias/1815/03/28/pdfs/GMD-1815-37.pdf#page=4","Abrir facsímil")</f>
        <v>Abrir facsímil</v>
      </c>
      <c r="K2363" s="3" t="s">
        <v>74</v>
      </c>
    </row>
    <row r="2364" spans="1:11" ht="42" customHeight="1">
      <c r="A2364" s="2" t="s">
        <v>6013</v>
      </c>
      <c r="B2364" s="2" t="s">
        <v>6014</v>
      </c>
      <c r="C2364" s="2" t="s">
        <v>195</v>
      </c>
      <c r="D2364" s="2" t="s">
        <v>50</v>
      </c>
      <c r="E2364" s="5">
        <v>-30884</v>
      </c>
      <c r="F2364" s="3" t="s">
        <v>136</v>
      </c>
      <c r="G2364" s="3" t="s">
        <v>38</v>
      </c>
      <c r="H2364" s="2" t="s">
        <v>72</v>
      </c>
      <c r="I2364" s="2" t="s">
        <v>6018</v>
      </c>
      <c r="J2364" s="3" t="str">
        <f>HYPERLINK("https://www.boe.es/gazeta/dias/1815/06/10/pdfs/GMD-1815-70.pdf#page=8","Abrir facsímil")</f>
        <v>Abrir facsímil</v>
      </c>
      <c r="K2364" s="3" t="s">
        <v>74</v>
      </c>
    </row>
    <row r="2365" spans="1:11" ht="42" customHeight="1">
      <c r="A2365" s="2" t="s">
        <v>6019</v>
      </c>
      <c r="B2365" s="2" t="s">
        <v>6019</v>
      </c>
      <c r="C2365" s="2" t="s">
        <v>49</v>
      </c>
      <c r="D2365" s="2" t="s">
        <v>50</v>
      </c>
      <c r="E2365" s="5">
        <v>-30870</v>
      </c>
      <c r="F2365" s="3" t="s">
        <v>122</v>
      </c>
      <c r="G2365" s="3" t="s">
        <v>52</v>
      </c>
      <c r="H2365" s="2" t="s">
        <v>72</v>
      </c>
      <c r="I2365" s="2" t="s">
        <v>6020</v>
      </c>
      <c r="J2365" s="3" t="str">
        <f>HYPERLINK("https://www.boe.es/gazeta/dias/1815/06/24/pdfs/GMD-1815-76.pdf#page=11","Abrir facsímil")</f>
        <v>Abrir facsímil</v>
      </c>
      <c r="K2365" s="3" t="s">
        <v>74</v>
      </c>
    </row>
    <row r="2366" spans="1:11" ht="42" customHeight="1">
      <c r="A2366" s="2" t="s">
        <v>6021</v>
      </c>
      <c r="B2366" s="2" t="s">
        <v>6021</v>
      </c>
      <c r="C2366" s="2" t="s">
        <v>17</v>
      </c>
      <c r="D2366" s="2" t="s">
        <v>18</v>
      </c>
      <c r="E2366" s="5">
        <v>-30762</v>
      </c>
      <c r="F2366" s="3" t="s">
        <v>19</v>
      </c>
      <c r="G2366" s="3" t="s">
        <v>20</v>
      </c>
      <c r="H2366" s="2" t="s">
        <v>72</v>
      </c>
      <c r="I2366" s="2" t="s">
        <v>6022</v>
      </c>
      <c r="J2366" s="3" t="str">
        <f>HYPERLINK("https://www.boe.es/gazeta/dias/1815/10/10/pdfs/GMD-1815-127.pdf#page=4","Abrir facsímil")</f>
        <v>Abrir facsímil</v>
      </c>
      <c r="K2366" s="3" t="s">
        <v>74</v>
      </c>
    </row>
    <row r="2367" spans="1:11" ht="42" customHeight="1">
      <c r="A2367" s="2" t="s">
        <v>6023</v>
      </c>
      <c r="B2367" s="2" t="s">
        <v>6023</v>
      </c>
      <c r="C2367" s="2" t="s">
        <v>31</v>
      </c>
      <c r="D2367" s="2" t="s">
        <v>32</v>
      </c>
      <c r="E2367" s="5">
        <v>-30886</v>
      </c>
      <c r="F2367" s="3" t="s">
        <v>140</v>
      </c>
      <c r="G2367" s="3" t="s">
        <v>88</v>
      </c>
      <c r="H2367" s="2" t="s">
        <v>72</v>
      </c>
      <c r="I2367" s="2" t="s">
        <v>6024</v>
      </c>
      <c r="J2367" s="3" t="str">
        <f>HYPERLINK("https://www.boe.es/gazeta/dias/1815/06/08/pdfs/GMD-1815-69.pdf#page=10","Abrir facsímil")</f>
        <v>Abrir facsímil</v>
      </c>
      <c r="K2367" s="3" t="s">
        <v>74</v>
      </c>
    </row>
    <row r="2368" spans="1:11" ht="42" customHeight="1">
      <c r="A2368" s="2" t="s">
        <v>6023</v>
      </c>
      <c r="B2368" s="2" t="s">
        <v>6023</v>
      </c>
      <c r="C2368" s="2" t="s">
        <v>31</v>
      </c>
      <c r="D2368" s="2" t="s">
        <v>32</v>
      </c>
      <c r="E2368" s="5">
        <v>-30865</v>
      </c>
      <c r="F2368" s="3" t="s">
        <v>163</v>
      </c>
      <c r="G2368" s="3" t="s">
        <v>52</v>
      </c>
      <c r="H2368" s="2" t="s">
        <v>72</v>
      </c>
      <c r="I2368" s="2" t="s">
        <v>6025</v>
      </c>
      <c r="J2368" s="3" t="str">
        <f>HYPERLINK("https://www.boe.es/gazeta/dias/1815/06/29/pdfs/GMD-1815-78.pdf#page=11","Abrir facsímil")</f>
        <v>Abrir facsímil</v>
      </c>
      <c r="K2368" s="3" t="s">
        <v>74</v>
      </c>
    </row>
    <row r="2369" spans="1:11" ht="42" customHeight="1">
      <c r="A2369" s="2" t="s">
        <v>6026</v>
      </c>
      <c r="B2369" s="2" t="s">
        <v>6027</v>
      </c>
      <c r="C2369" s="2" t="s">
        <v>31</v>
      </c>
      <c r="D2369" s="2" t="s">
        <v>32</v>
      </c>
      <c r="E2369" s="5">
        <v>-30781</v>
      </c>
      <c r="F2369" s="3" t="s">
        <v>685</v>
      </c>
      <c r="G2369" s="3" t="s">
        <v>38</v>
      </c>
      <c r="H2369" s="2" t="s">
        <v>72</v>
      </c>
      <c r="I2369" s="2" t="s">
        <v>6028</v>
      </c>
      <c r="J2369" s="3" t="str">
        <f>HYPERLINK("https://www.boe.es/gazeta/dias/1815/09/21/pdfs/GMD-1815-117.pdf#page=8","Abrir facsímil")</f>
        <v>Abrir facsímil</v>
      </c>
      <c r="K2369" s="3" t="s">
        <v>74</v>
      </c>
    </row>
    <row r="2370" spans="1:11" ht="42" customHeight="1">
      <c r="A2370" s="2" t="s">
        <v>6029</v>
      </c>
      <c r="B2370" s="2" t="s">
        <v>6029</v>
      </c>
      <c r="C2370" s="2" t="s">
        <v>31</v>
      </c>
      <c r="D2370" s="2" t="s">
        <v>32</v>
      </c>
      <c r="E2370" s="5">
        <v>-30856</v>
      </c>
      <c r="F2370" s="3" t="s">
        <v>92</v>
      </c>
      <c r="G2370" s="3" t="s">
        <v>20</v>
      </c>
      <c r="H2370" s="2" t="s">
        <v>72</v>
      </c>
      <c r="I2370" s="2" t="s">
        <v>6030</v>
      </c>
      <c r="J2370" s="3" t="str">
        <f>HYPERLINK("https://www.boe.es/gazeta/dias/1815/07/08/pdfs/GMD-1815-84.pdf#page=4","Abrir facsímil")</f>
        <v>Abrir facsímil</v>
      </c>
      <c r="K2370" s="3" t="s">
        <v>74</v>
      </c>
    </row>
    <row r="2371" spans="1:11" ht="42" customHeight="1">
      <c r="A2371" s="2" t="s">
        <v>6031</v>
      </c>
      <c r="B2371" s="2" t="s">
        <v>6031</v>
      </c>
      <c r="C2371" s="2" t="s">
        <v>31</v>
      </c>
      <c r="D2371" s="2" t="s">
        <v>32</v>
      </c>
      <c r="E2371" s="5">
        <v>-30972</v>
      </c>
      <c r="F2371" s="3" t="s">
        <v>1382</v>
      </c>
      <c r="G2371" s="3" t="s">
        <v>97</v>
      </c>
      <c r="H2371" s="2" t="s">
        <v>72</v>
      </c>
      <c r="I2371" s="2" t="s">
        <v>6032</v>
      </c>
      <c r="J2371" s="3" t="str">
        <f>HYPERLINK("https://www.boe.es/gazeta/dias/1815/03/14/pdfs/GMD-1815-31.pdf#page=3","Abrir facsímil")</f>
        <v>Abrir facsímil</v>
      </c>
      <c r="K2371" s="3" t="s">
        <v>74</v>
      </c>
    </row>
    <row r="2372" spans="1:11" ht="42" customHeight="1">
      <c r="A2372" s="2" t="s">
        <v>6033</v>
      </c>
      <c r="B2372" s="2" t="s">
        <v>6033</v>
      </c>
      <c r="C2372" s="2" t="s">
        <v>897</v>
      </c>
      <c r="D2372" s="2" t="s">
        <v>50</v>
      </c>
      <c r="E2372" s="5">
        <v>-30872</v>
      </c>
      <c r="F2372" s="3" t="s">
        <v>167</v>
      </c>
      <c r="G2372" s="3" t="s">
        <v>410</v>
      </c>
      <c r="H2372" s="2" t="s">
        <v>72</v>
      </c>
      <c r="I2372" s="2" t="s">
        <v>6034</v>
      </c>
      <c r="J2372" s="3" t="str">
        <f>HYPERLINK("https://www.boe.es/gazeta/dias/1815/06/22/pdfs/GMD-1815-75.pdf#page=1","Abrir facsímil")</f>
        <v>Abrir facsímil</v>
      </c>
      <c r="K2372" s="3" t="s">
        <v>74</v>
      </c>
    </row>
    <row r="2373" spans="1:11" ht="42" customHeight="1">
      <c r="A2373" s="2" t="s">
        <v>6035</v>
      </c>
      <c r="B2373" s="2" t="s">
        <v>6036</v>
      </c>
      <c r="C2373" s="2" t="s">
        <v>61</v>
      </c>
      <c r="D2373" s="2" t="s">
        <v>50</v>
      </c>
      <c r="E2373" s="5">
        <v>-30937</v>
      </c>
      <c r="F2373" s="3" t="s">
        <v>322</v>
      </c>
      <c r="G2373" s="3" t="s">
        <v>3521</v>
      </c>
      <c r="H2373" s="2" t="s">
        <v>72</v>
      </c>
      <c r="I2373" s="2" t="s">
        <v>6037</v>
      </c>
      <c r="J2373" s="3" t="str">
        <f>HYPERLINK("https://www.boe.es/gazeta/dias/1815/04/18/pdfs/GMD-1815-47.pdf#page=8","Abrir facsímil")</f>
        <v>Abrir facsímil</v>
      </c>
      <c r="K2373" s="3" t="s">
        <v>74</v>
      </c>
    </row>
    <row r="2374" spans="1:11" ht="42" customHeight="1">
      <c r="A2374" s="2" t="s">
        <v>6035</v>
      </c>
      <c r="B2374" s="2" t="s">
        <v>6036</v>
      </c>
      <c r="C2374" s="2" t="s">
        <v>31</v>
      </c>
      <c r="D2374" s="2" t="s">
        <v>32</v>
      </c>
      <c r="E2374" s="5">
        <v>-30737</v>
      </c>
      <c r="F2374" s="3" t="s">
        <v>1932</v>
      </c>
      <c r="G2374" s="3" t="s">
        <v>38</v>
      </c>
      <c r="H2374" s="2" t="s">
        <v>72</v>
      </c>
      <c r="I2374" s="2" t="s">
        <v>6038</v>
      </c>
      <c r="J2374" s="3" t="str">
        <f>HYPERLINK("https://www.boe.es/gazeta/dias/1815/11/04/pdfs/GMD-1815-138.pdf#page=8","Abrir facsímil")</f>
        <v>Abrir facsímil</v>
      </c>
      <c r="K2374" s="3" t="s">
        <v>74</v>
      </c>
    </row>
    <row r="2375" spans="1:11" ht="42" customHeight="1">
      <c r="A2375" s="2" t="s">
        <v>6039</v>
      </c>
      <c r="B2375" s="2" t="s">
        <v>6039</v>
      </c>
      <c r="C2375" s="2" t="s">
        <v>31</v>
      </c>
      <c r="D2375" s="2" t="s">
        <v>32</v>
      </c>
      <c r="E2375" s="5">
        <v>-30916</v>
      </c>
      <c r="F2375" s="3" t="s">
        <v>147</v>
      </c>
      <c r="G2375" s="3" t="s">
        <v>377</v>
      </c>
      <c r="H2375" s="2" t="s">
        <v>72</v>
      </c>
      <c r="I2375" s="2" t="s">
        <v>6040</v>
      </c>
      <c r="J2375" s="3" t="str">
        <f>HYPERLINK("https://www.boe.es/gazeta/dias/1815/05/09/pdfs/GMD-1815-56.pdf#page=2","Abrir facsímil")</f>
        <v>Abrir facsímil</v>
      </c>
      <c r="K2375" s="3" t="s">
        <v>74</v>
      </c>
    </row>
    <row r="2376" spans="1:11" ht="42" customHeight="1">
      <c r="A2376" s="2" t="s">
        <v>6039</v>
      </c>
      <c r="B2376" s="2" t="s">
        <v>6039</v>
      </c>
      <c r="C2376" s="2" t="s">
        <v>31</v>
      </c>
      <c r="D2376" s="2" t="s">
        <v>179</v>
      </c>
      <c r="E2376" s="5">
        <v>-30863</v>
      </c>
      <c r="F2376" s="3" t="s">
        <v>2024</v>
      </c>
      <c r="G2376" s="3" t="s">
        <v>5585</v>
      </c>
      <c r="H2376" s="2" t="s">
        <v>72</v>
      </c>
      <c r="I2376" s="2" t="s">
        <v>6041</v>
      </c>
      <c r="J2376" s="3" t="str">
        <f>HYPERLINK("https://www.boe.es/gazeta/dias/1815/07/01/pdfs/GMD-1815-80E.pdf#page=3","Abrir facsímil")</f>
        <v>Abrir facsímil</v>
      </c>
      <c r="K2376" s="3" t="s">
        <v>74</v>
      </c>
    </row>
    <row r="2377" spans="1:11" ht="42" customHeight="1">
      <c r="A2377" s="2" t="s">
        <v>6039</v>
      </c>
      <c r="B2377" s="2" t="s">
        <v>6039</v>
      </c>
      <c r="C2377" s="2" t="s">
        <v>31</v>
      </c>
      <c r="D2377" s="2" t="s">
        <v>179</v>
      </c>
      <c r="E2377" s="5">
        <v>-30863</v>
      </c>
      <c r="F2377" s="3" t="s">
        <v>2024</v>
      </c>
      <c r="G2377" s="3" t="s">
        <v>410</v>
      </c>
      <c r="H2377" s="2" t="s">
        <v>72</v>
      </c>
      <c r="I2377" s="2" t="s">
        <v>6042</v>
      </c>
      <c r="J2377" s="3" t="str">
        <f>HYPERLINK("https://www.boe.es/gazeta/dias/1815/07/01/pdfs/GMD-1815-80E.pdf#page=1","Abrir facsímil")</f>
        <v>Abrir facsímil</v>
      </c>
      <c r="K2377" s="3" t="s">
        <v>74</v>
      </c>
    </row>
    <row r="2378" spans="1:11" ht="42" customHeight="1">
      <c r="A2378" s="2" t="s">
        <v>6039</v>
      </c>
      <c r="B2378" s="2" t="s">
        <v>6039</v>
      </c>
      <c r="C2378" s="2" t="s">
        <v>31</v>
      </c>
      <c r="D2378" s="2" t="s">
        <v>179</v>
      </c>
      <c r="E2378" s="5">
        <v>-30863</v>
      </c>
      <c r="F2378" s="3" t="s">
        <v>2024</v>
      </c>
      <c r="G2378" s="3" t="s">
        <v>377</v>
      </c>
      <c r="H2378" s="2" t="s">
        <v>72</v>
      </c>
      <c r="I2378" s="2" t="s">
        <v>6043</v>
      </c>
      <c r="J2378" s="3" t="str">
        <f>HYPERLINK("https://www.boe.es/gazeta/dias/1815/07/01/pdfs/GMD-1815-80E.pdf#page=2","Abrir facsímil")</f>
        <v>Abrir facsímil</v>
      </c>
      <c r="K2378" s="3" t="s">
        <v>74</v>
      </c>
    </row>
    <row r="2379" spans="1:11" ht="42" customHeight="1">
      <c r="A2379" s="2" t="s">
        <v>6039</v>
      </c>
      <c r="B2379" s="2" t="s">
        <v>6039</v>
      </c>
      <c r="C2379" s="2" t="s">
        <v>31</v>
      </c>
      <c r="D2379" s="2" t="s">
        <v>179</v>
      </c>
      <c r="E2379" s="5">
        <v>-30863</v>
      </c>
      <c r="F2379" s="3" t="s">
        <v>2024</v>
      </c>
      <c r="G2379" s="3" t="s">
        <v>57</v>
      </c>
      <c r="H2379" s="2" t="s">
        <v>72</v>
      </c>
      <c r="I2379" s="2" t="s">
        <v>6044</v>
      </c>
      <c r="J2379" s="3" t="str">
        <f>HYPERLINK("https://www.boe.es/gazeta/dias/1815/07/01/pdfs/GMD-1815-80E.pdf#page=5","Abrir facsímil")</f>
        <v>Abrir facsímil</v>
      </c>
      <c r="K2379" s="3" t="s">
        <v>74</v>
      </c>
    </row>
    <row r="2380" spans="1:11" ht="42" customHeight="1">
      <c r="A2380" s="2" t="s">
        <v>6039</v>
      </c>
      <c r="B2380" s="2" t="s">
        <v>6039</v>
      </c>
      <c r="C2380" s="2" t="s">
        <v>31</v>
      </c>
      <c r="D2380" s="2" t="s">
        <v>32</v>
      </c>
      <c r="E2380" s="5">
        <v>-30844</v>
      </c>
      <c r="F2380" s="3" t="s">
        <v>114</v>
      </c>
      <c r="G2380" s="3" t="s">
        <v>20</v>
      </c>
      <c r="H2380" s="2" t="s">
        <v>72</v>
      </c>
      <c r="I2380" s="2" t="s">
        <v>6045</v>
      </c>
      <c r="J2380" s="3" t="str">
        <f>HYPERLINK("https://www.boe.es/gazeta/dias/1815/07/20/pdfs/GMD-1815-89.pdf#page=4","Abrir facsímil")</f>
        <v>Abrir facsímil</v>
      </c>
      <c r="K2380" s="3" t="s">
        <v>74</v>
      </c>
    </row>
    <row r="2381" spans="1:11" ht="42" customHeight="1">
      <c r="A2381" s="2" t="s">
        <v>6039</v>
      </c>
      <c r="B2381" s="2" t="s">
        <v>6039</v>
      </c>
      <c r="C2381" s="2" t="s">
        <v>31</v>
      </c>
      <c r="D2381" s="2" t="s">
        <v>32</v>
      </c>
      <c r="E2381" s="5">
        <v>-30842</v>
      </c>
      <c r="F2381" s="3" t="s">
        <v>126</v>
      </c>
      <c r="G2381" s="3" t="s">
        <v>1715</v>
      </c>
      <c r="H2381" s="2" t="s">
        <v>72</v>
      </c>
      <c r="I2381" s="2" t="s">
        <v>6046</v>
      </c>
      <c r="J2381" s="3" t="str">
        <f>HYPERLINK("https://www.boe.es/gazeta/dias/1815/07/22/pdfs/GMD-1815-90.pdf#page=2","Abrir facsímil")</f>
        <v>Abrir facsímil</v>
      </c>
      <c r="K2381" s="3" t="s">
        <v>74</v>
      </c>
    </row>
    <row r="2382" spans="1:11" ht="42" customHeight="1">
      <c r="A2382" s="2" t="s">
        <v>6039</v>
      </c>
      <c r="B2382" s="2" t="s">
        <v>6039</v>
      </c>
      <c r="C2382" s="2" t="s">
        <v>31</v>
      </c>
      <c r="D2382" s="2" t="s">
        <v>32</v>
      </c>
      <c r="E2382" s="5">
        <v>-30842</v>
      </c>
      <c r="F2382" s="3" t="s">
        <v>126</v>
      </c>
      <c r="G2382" s="3" t="s">
        <v>97</v>
      </c>
      <c r="H2382" s="2" t="s">
        <v>72</v>
      </c>
      <c r="I2382" s="2" t="s">
        <v>6047</v>
      </c>
      <c r="J2382" s="3" t="str">
        <f>HYPERLINK("https://www.boe.es/gazeta/dias/1815/07/22/pdfs/GMD-1815-90.pdf#page=3","Abrir facsímil")</f>
        <v>Abrir facsímil</v>
      </c>
      <c r="K2382" s="3" t="s">
        <v>74</v>
      </c>
    </row>
    <row r="2383" spans="1:11" ht="42" customHeight="1">
      <c r="A2383" s="2" t="s">
        <v>6048</v>
      </c>
      <c r="B2383" s="2" t="s">
        <v>6048</v>
      </c>
      <c r="C2383" s="2" t="s">
        <v>31</v>
      </c>
      <c r="D2383" s="2" t="s">
        <v>32</v>
      </c>
      <c r="E2383" s="5">
        <v>-30697</v>
      </c>
      <c r="F2383" s="3" t="s">
        <v>381</v>
      </c>
      <c r="G2383" s="3" t="s">
        <v>20</v>
      </c>
      <c r="H2383" s="2" t="s">
        <v>72</v>
      </c>
      <c r="I2383" s="2" t="s">
        <v>6049</v>
      </c>
      <c r="J2383" s="3" t="str">
        <f>HYPERLINK("https://www.boe.es/gazeta/dias/1815/12/14/pdfs/GMD-1815-155.pdf#page=4","Abrir facsímil")</f>
        <v>Abrir facsímil</v>
      </c>
      <c r="K2383" s="3" t="s">
        <v>74</v>
      </c>
    </row>
    <row r="2384" spans="1:11" ht="42" customHeight="1">
      <c r="A2384" s="2" t="s">
        <v>6050</v>
      </c>
      <c r="B2384" s="2" t="s">
        <v>6050</v>
      </c>
      <c r="C2384" s="2" t="s">
        <v>31</v>
      </c>
      <c r="D2384" s="2" t="s">
        <v>32</v>
      </c>
      <c r="E2384" s="5">
        <v>-30842</v>
      </c>
      <c r="F2384" s="3" t="s">
        <v>126</v>
      </c>
      <c r="G2384" s="3" t="s">
        <v>1715</v>
      </c>
      <c r="H2384" s="2" t="s">
        <v>72</v>
      </c>
      <c r="I2384" s="2" t="s">
        <v>6051</v>
      </c>
      <c r="J2384" s="3" t="str">
        <f>HYPERLINK("https://www.boe.es/gazeta/dias/1815/07/22/pdfs/GMD-1815-90.pdf#page=2","Abrir facsímil")</f>
        <v>Abrir facsímil</v>
      </c>
      <c r="K2384" s="3" t="s">
        <v>74</v>
      </c>
    </row>
    <row r="2385" spans="1:11" ht="42" customHeight="1">
      <c r="A2385" s="2" t="s">
        <v>6052</v>
      </c>
      <c r="B2385" s="2" t="s">
        <v>6053</v>
      </c>
      <c r="C2385" s="2" t="s">
        <v>31</v>
      </c>
      <c r="D2385" s="2" t="s">
        <v>32</v>
      </c>
      <c r="E2385" s="5">
        <v>-30818</v>
      </c>
      <c r="F2385" s="3" t="s">
        <v>334</v>
      </c>
      <c r="G2385" s="3" t="s">
        <v>38</v>
      </c>
      <c r="H2385" s="2" t="s">
        <v>72</v>
      </c>
      <c r="I2385" s="2" t="s">
        <v>6054</v>
      </c>
      <c r="J2385" s="3" t="str">
        <f>HYPERLINK("https://www.boe.es/gazeta/dias/1815/08/15/pdfs/GMD-1815-100.pdf#page=8","Abrir facsímil")</f>
        <v>Abrir facsímil</v>
      </c>
      <c r="K2385" s="3" t="s">
        <v>74</v>
      </c>
    </row>
    <row r="2386" spans="1:11" ht="42" customHeight="1">
      <c r="A2386" s="2" t="s">
        <v>6055</v>
      </c>
      <c r="B2386" s="2" t="s">
        <v>6055</v>
      </c>
      <c r="C2386" s="2" t="s">
        <v>31</v>
      </c>
      <c r="D2386" s="2" t="s">
        <v>32</v>
      </c>
      <c r="E2386" s="5">
        <v>-30804</v>
      </c>
      <c r="F2386" s="3" t="s">
        <v>891</v>
      </c>
      <c r="G2386" s="3" t="s">
        <v>20</v>
      </c>
      <c r="H2386" s="2" t="s">
        <v>72</v>
      </c>
      <c r="I2386" s="2" t="s">
        <v>6056</v>
      </c>
      <c r="J2386" s="3" t="str">
        <f>HYPERLINK("https://www.boe.es/gazeta/dias/1815/08/29/pdfs/GMD-1815-106.pdf#page=4","Abrir facsímil")</f>
        <v>Abrir facsímil</v>
      </c>
      <c r="K2386" s="3" t="s">
        <v>74</v>
      </c>
    </row>
    <row r="2387" spans="1:11" ht="42" customHeight="1">
      <c r="A2387" s="2" t="s">
        <v>6055</v>
      </c>
      <c r="B2387" s="2" t="s">
        <v>6055</v>
      </c>
      <c r="C2387" s="2" t="s">
        <v>31</v>
      </c>
      <c r="D2387" s="2" t="s">
        <v>32</v>
      </c>
      <c r="E2387" s="5">
        <v>-30767</v>
      </c>
      <c r="F2387" s="3" t="s">
        <v>228</v>
      </c>
      <c r="G2387" s="3" t="s">
        <v>1516</v>
      </c>
      <c r="H2387" s="2" t="s">
        <v>72</v>
      </c>
      <c r="I2387" s="2" t="s">
        <v>6057</v>
      </c>
      <c r="J2387" s="3" t="str">
        <f>HYPERLINK("https://www.boe.es/gazeta/dias/1815/10/05/pdfs/GMD-1815-125.pdf#page=4","Abrir facsímil")</f>
        <v>Abrir facsímil</v>
      </c>
      <c r="K2387" s="3" t="s">
        <v>74</v>
      </c>
    </row>
    <row r="2388" spans="1:11" ht="42" customHeight="1">
      <c r="A2388" s="2" t="s">
        <v>6055</v>
      </c>
      <c r="B2388" s="2" t="s">
        <v>6055</v>
      </c>
      <c r="C2388" s="2" t="s">
        <v>31</v>
      </c>
      <c r="D2388" s="2" t="s">
        <v>32</v>
      </c>
      <c r="E2388" s="5">
        <v>-30718</v>
      </c>
      <c r="F2388" s="3" t="s">
        <v>3115</v>
      </c>
      <c r="G2388" s="3" t="s">
        <v>6058</v>
      </c>
      <c r="H2388" s="2" t="s">
        <v>72</v>
      </c>
      <c r="I2388" s="2" t="s">
        <v>6059</v>
      </c>
      <c r="J2388" s="3" t="str">
        <f>HYPERLINK("https://www.boe.es/gazeta/dias/1815/11/23/pdfs/GMD-1815-146.pdf#page=4","Abrir facsímil")</f>
        <v>Abrir facsímil</v>
      </c>
      <c r="K2388" s="3" t="s">
        <v>74</v>
      </c>
    </row>
    <row r="2389" spans="1:11" ht="42" customHeight="1">
      <c r="A2389" s="2" t="s">
        <v>6060</v>
      </c>
      <c r="B2389" s="2" t="s">
        <v>6061</v>
      </c>
      <c r="C2389" s="2" t="s">
        <v>49</v>
      </c>
      <c r="D2389" s="2" t="s">
        <v>50</v>
      </c>
      <c r="E2389" s="5">
        <v>-30982</v>
      </c>
      <c r="F2389" s="3" t="s">
        <v>220</v>
      </c>
      <c r="G2389" s="3" t="s">
        <v>57</v>
      </c>
      <c r="H2389" s="2" t="s">
        <v>72</v>
      </c>
      <c r="I2389" s="2" t="s">
        <v>6062</v>
      </c>
      <c r="J2389" s="3" t="str">
        <f>HYPERLINK("https://www.boe.es/gazeta/dias/1815/03/04/pdfs/GMD-1815-27.pdf#page=5","Abrir facsímil")</f>
        <v>Abrir facsímil</v>
      </c>
      <c r="K2389" s="3" t="s">
        <v>74</v>
      </c>
    </row>
    <row r="2390" spans="1:11" ht="42" customHeight="1">
      <c r="A2390" s="2" t="s">
        <v>6063</v>
      </c>
      <c r="B2390" s="2" t="s">
        <v>6064</v>
      </c>
      <c r="C2390" s="2" t="s">
        <v>49</v>
      </c>
      <c r="D2390" s="2" t="s">
        <v>50</v>
      </c>
      <c r="E2390" s="5">
        <v>-30718</v>
      </c>
      <c r="F2390" s="3" t="s">
        <v>3115</v>
      </c>
      <c r="G2390" s="3" t="s">
        <v>38</v>
      </c>
      <c r="H2390" s="2" t="s">
        <v>72</v>
      </c>
      <c r="I2390" s="2" t="s">
        <v>6065</v>
      </c>
      <c r="J2390" s="3" t="str">
        <f>HYPERLINK("https://www.boe.es/gazeta/dias/1815/11/23/pdfs/GMD-1815-146.pdf#page=8","Abrir facsímil")</f>
        <v>Abrir facsímil</v>
      </c>
      <c r="K2390" s="3" t="s">
        <v>74</v>
      </c>
    </row>
    <row r="2391" spans="1:11" ht="42" customHeight="1">
      <c r="A2391" s="2" t="s">
        <v>6066</v>
      </c>
      <c r="B2391" s="2" t="s">
        <v>6067</v>
      </c>
      <c r="C2391" s="2" t="s">
        <v>49</v>
      </c>
      <c r="D2391" s="2" t="s">
        <v>50</v>
      </c>
      <c r="E2391" s="5">
        <v>-30977</v>
      </c>
      <c r="F2391" s="3" t="s">
        <v>37</v>
      </c>
      <c r="G2391" s="3" t="s">
        <v>71</v>
      </c>
      <c r="H2391" s="2" t="s">
        <v>72</v>
      </c>
      <c r="I2391" s="2" t="s">
        <v>6068</v>
      </c>
      <c r="J2391" s="3" t="str">
        <f>HYPERLINK("https://www.boe.es/gazeta/dias/1815/03/09/pdfs/GMD-1815-29.pdf#page=7","Abrir facsímil")</f>
        <v>Abrir facsímil</v>
      </c>
      <c r="K2391" s="3" t="s">
        <v>74</v>
      </c>
    </row>
    <row r="2392" spans="1:11" ht="42" customHeight="1">
      <c r="A2392" s="2" t="s">
        <v>6069</v>
      </c>
      <c r="B2392" s="2" t="s">
        <v>6070</v>
      </c>
      <c r="C2392" s="2" t="s">
        <v>49</v>
      </c>
      <c r="D2392" s="2" t="s">
        <v>50</v>
      </c>
      <c r="E2392" s="5">
        <v>-30916</v>
      </c>
      <c r="F2392" s="3" t="s">
        <v>147</v>
      </c>
      <c r="G2392" s="3" t="s">
        <v>38</v>
      </c>
      <c r="H2392" s="2" t="s">
        <v>72</v>
      </c>
      <c r="I2392" s="2" t="s">
        <v>6071</v>
      </c>
      <c r="J2392" s="3" t="str">
        <f>HYPERLINK("https://www.boe.es/gazeta/dias/1815/05/09/pdfs/GMD-1815-56.pdf#page=8","Abrir facsímil")</f>
        <v>Abrir facsímil</v>
      </c>
      <c r="K2392" s="3" t="s">
        <v>74</v>
      </c>
    </row>
    <row r="2393" spans="1:11" ht="42" customHeight="1">
      <c r="A2393" s="2" t="s">
        <v>6072</v>
      </c>
      <c r="B2393" s="2" t="s">
        <v>6073</v>
      </c>
      <c r="C2393" s="2" t="s">
        <v>31</v>
      </c>
      <c r="D2393" s="2" t="s">
        <v>32</v>
      </c>
      <c r="E2393" s="5">
        <v>-30886</v>
      </c>
      <c r="F2393" s="3" t="s">
        <v>140</v>
      </c>
      <c r="G2393" s="3" t="s">
        <v>71</v>
      </c>
      <c r="H2393" s="2" t="s">
        <v>72</v>
      </c>
      <c r="I2393" s="2" t="s">
        <v>6074</v>
      </c>
      <c r="J2393" s="3" t="str">
        <f>HYPERLINK("https://www.boe.es/gazeta/dias/1815/06/08/pdfs/GMD-1815-69.pdf#page=7","Abrir facsímil")</f>
        <v>Abrir facsímil</v>
      </c>
      <c r="K2393" s="3" t="s">
        <v>74</v>
      </c>
    </row>
    <row r="2394" spans="1:11" ht="42" customHeight="1">
      <c r="A2394" s="2" t="s">
        <v>6075</v>
      </c>
      <c r="B2394" s="2" t="s">
        <v>6076</v>
      </c>
      <c r="C2394" s="2" t="s">
        <v>31</v>
      </c>
      <c r="D2394" s="2" t="s">
        <v>32</v>
      </c>
      <c r="E2394" s="5">
        <v>-30867</v>
      </c>
      <c r="F2394" s="3" t="s">
        <v>3179</v>
      </c>
      <c r="G2394" s="3" t="s">
        <v>57</v>
      </c>
      <c r="H2394" s="2" t="s">
        <v>72</v>
      </c>
      <c r="I2394" s="2" t="s">
        <v>6077</v>
      </c>
      <c r="J2394" s="3" t="str">
        <f>HYPERLINK("https://www.boe.es/gazeta/dias/1815/06/27/pdfs/GMD-1815-77.pdf#page=5","Abrir facsímil")</f>
        <v>Abrir facsímil</v>
      </c>
      <c r="K2394" s="3" t="s">
        <v>74</v>
      </c>
    </row>
    <row r="2395" spans="1:11" ht="42" customHeight="1">
      <c r="A2395" s="2" t="s">
        <v>6078</v>
      </c>
      <c r="B2395" s="2" t="s">
        <v>6079</v>
      </c>
      <c r="C2395" s="2" t="s">
        <v>61</v>
      </c>
      <c r="D2395" s="2" t="s">
        <v>50</v>
      </c>
      <c r="E2395" s="5">
        <v>-30970</v>
      </c>
      <c r="F2395" s="3" t="s">
        <v>436</v>
      </c>
      <c r="G2395" s="3" t="s">
        <v>38</v>
      </c>
      <c r="H2395" s="2" t="s">
        <v>72</v>
      </c>
      <c r="I2395" s="2" t="s">
        <v>6080</v>
      </c>
      <c r="J2395" s="3" t="str">
        <f>HYPERLINK("https://www.boe.es/gazeta/dias/1815/03/16/pdfs/GMD-1815-32.pdf#page=8","Abrir facsímil")</f>
        <v>Abrir facsímil</v>
      </c>
      <c r="K2395" s="3" t="s">
        <v>74</v>
      </c>
    </row>
    <row r="2396" spans="1:11" ht="42" customHeight="1">
      <c r="A2396" s="2" t="s">
        <v>6078</v>
      </c>
      <c r="B2396" s="2" t="s">
        <v>6079</v>
      </c>
      <c r="C2396" s="2" t="s">
        <v>31</v>
      </c>
      <c r="D2396" s="2" t="s">
        <v>32</v>
      </c>
      <c r="E2396" s="5">
        <v>-30916</v>
      </c>
      <c r="F2396" s="3" t="s">
        <v>147</v>
      </c>
      <c r="G2396" s="3" t="s">
        <v>148</v>
      </c>
      <c r="H2396" s="2" t="s">
        <v>72</v>
      </c>
      <c r="I2396" s="2" t="s">
        <v>6081</v>
      </c>
      <c r="J2396" s="3" t="str">
        <f>HYPERLINK("https://www.boe.es/gazeta/dias/1815/05/09/pdfs/GMD-1815-56.pdf#page=7","Abrir facsímil")</f>
        <v>Abrir facsímil</v>
      </c>
      <c r="K2396" s="3" t="s">
        <v>74</v>
      </c>
    </row>
    <row r="2397" spans="1:11" ht="42" customHeight="1">
      <c r="A2397" s="2" t="s">
        <v>6078</v>
      </c>
      <c r="B2397" s="2" t="s">
        <v>6079</v>
      </c>
      <c r="C2397" s="2" t="s">
        <v>61</v>
      </c>
      <c r="D2397" s="2" t="s">
        <v>50</v>
      </c>
      <c r="E2397" s="5">
        <v>-30902</v>
      </c>
      <c r="F2397" s="3" t="s">
        <v>648</v>
      </c>
      <c r="G2397" s="3" t="s">
        <v>38</v>
      </c>
      <c r="H2397" s="2" t="s">
        <v>72</v>
      </c>
      <c r="I2397" s="2" t="s">
        <v>6082</v>
      </c>
      <c r="J2397" s="3" t="str">
        <f>HYPERLINK("https://www.boe.es/gazeta/dias/1815/05/23/pdfs/GMD-1815-62.pdf#page=8","Abrir facsímil")</f>
        <v>Abrir facsímil</v>
      </c>
      <c r="K2397" s="3" t="s">
        <v>74</v>
      </c>
    </row>
    <row r="2398" spans="1:11" ht="42" customHeight="1">
      <c r="A2398" s="2" t="s">
        <v>6078</v>
      </c>
      <c r="B2398" s="2" t="s">
        <v>6079</v>
      </c>
      <c r="C2398" s="2" t="s">
        <v>81</v>
      </c>
      <c r="D2398" s="2" t="s">
        <v>50</v>
      </c>
      <c r="E2398" s="5">
        <v>-30744</v>
      </c>
      <c r="F2398" s="3" t="s">
        <v>391</v>
      </c>
      <c r="G2398" s="3" t="s">
        <v>38</v>
      </c>
      <c r="H2398" s="2" t="s">
        <v>72</v>
      </c>
      <c r="I2398" s="2" t="s">
        <v>6083</v>
      </c>
      <c r="J2398" s="3" t="str">
        <f>HYPERLINK("https://www.boe.es/gazeta/dias/1815/10/28/pdfs/GMD-1815-135.pdf#page=8","Abrir facsímil")</f>
        <v>Abrir facsímil</v>
      </c>
      <c r="K2398" s="3" t="s">
        <v>74</v>
      </c>
    </row>
    <row r="2399" spans="1:11" ht="42" customHeight="1">
      <c r="A2399" s="2" t="s">
        <v>6084</v>
      </c>
      <c r="B2399" s="2" t="s">
        <v>6085</v>
      </c>
      <c r="C2399" s="2" t="s">
        <v>31</v>
      </c>
      <c r="D2399" s="2" t="s">
        <v>32</v>
      </c>
      <c r="E2399" s="5">
        <v>-30958</v>
      </c>
      <c r="F2399" s="3" t="s">
        <v>297</v>
      </c>
      <c r="G2399" s="3" t="s">
        <v>71</v>
      </c>
      <c r="H2399" s="2" t="s">
        <v>72</v>
      </c>
      <c r="I2399" s="2" t="s">
        <v>6086</v>
      </c>
      <c r="J2399" s="3" t="str">
        <f>HYPERLINK("https://www.boe.es/gazeta/dias/1815/03/28/pdfs/GMD-1815-37.pdf#page=7","Abrir facsímil")</f>
        <v>Abrir facsímil</v>
      </c>
      <c r="K2399" s="3" t="s">
        <v>74</v>
      </c>
    </row>
    <row r="2400" spans="1:11" ht="42" customHeight="1">
      <c r="A2400" s="2" t="s">
        <v>6087</v>
      </c>
      <c r="B2400" s="2" t="s">
        <v>6088</v>
      </c>
      <c r="C2400" s="2" t="s">
        <v>49</v>
      </c>
      <c r="D2400" s="2" t="s">
        <v>50</v>
      </c>
      <c r="E2400" s="5">
        <v>-30916</v>
      </c>
      <c r="F2400" s="3" t="s">
        <v>147</v>
      </c>
      <c r="G2400" s="3" t="s">
        <v>148</v>
      </c>
      <c r="H2400" s="2" t="s">
        <v>72</v>
      </c>
      <c r="I2400" s="2" t="s">
        <v>6089</v>
      </c>
      <c r="J2400" s="3" t="str">
        <f>HYPERLINK("https://www.boe.es/gazeta/dias/1815/05/09/pdfs/GMD-1815-56.pdf#page=7","Abrir facsímil")</f>
        <v>Abrir facsímil</v>
      </c>
      <c r="K2400" s="3" t="s">
        <v>74</v>
      </c>
    </row>
    <row r="2401" spans="1:11" ht="42" customHeight="1">
      <c r="A2401" s="2" t="s">
        <v>6087</v>
      </c>
      <c r="B2401" s="2" t="s">
        <v>6088</v>
      </c>
      <c r="C2401" s="2" t="s">
        <v>49</v>
      </c>
      <c r="D2401" s="2" t="s">
        <v>50</v>
      </c>
      <c r="E2401" s="5">
        <v>-30865</v>
      </c>
      <c r="F2401" s="3" t="s">
        <v>163</v>
      </c>
      <c r="G2401" s="3" t="s">
        <v>71</v>
      </c>
      <c r="H2401" s="2" t="s">
        <v>72</v>
      </c>
      <c r="I2401" s="2" t="s">
        <v>6090</v>
      </c>
      <c r="J2401" s="3" t="str">
        <f>HYPERLINK("https://www.boe.es/gazeta/dias/1815/06/29/pdfs/GMD-1815-78.pdf#page=7","Abrir facsímil")</f>
        <v>Abrir facsímil</v>
      </c>
      <c r="K2401" s="3" t="s">
        <v>74</v>
      </c>
    </row>
    <row r="2402" spans="1:11" ht="42" customHeight="1">
      <c r="A2402" s="2" t="s">
        <v>6091</v>
      </c>
      <c r="B2402" s="2" t="s">
        <v>6092</v>
      </c>
      <c r="C2402" s="2" t="s">
        <v>31</v>
      </c>
      <c r="D2402" s="2" t="s">
        <v>32</v>
      </c>
      <c r="E2402" s="5">
        <v>-30916</v>
      </c>
      <c r="F2402" s="3" t="s">
        <v>147</v>
      </c>
      <c r="G2402" s="3" t="s">
        <v>148</v>
      </c>
      <c r="H2402" s="2" t="s">
        <v>72</v>
      </c>
      <c r="I2402" s="2" t="s">
        <v>6093</v>
      </c>
      <c r="J2402" s="3" t="str">
        <f>HYPERLINK("https://www.boe.es/gazeta/dias/1815/05/09/pdfs/GMD-1815-56.pdf#page=7","Abrir facsímil")</f>
        <v>Abrir facsímil</v>
      </c>
      <c r="K2402" s="3" t="s">
        <v>74</v>
      </c>
    </row>
    <row r="2403" spans="1:11" ht="42" customHeight="1">
      <c r="A2403" s="2" t="s">
        <v>6094</v>
      </c>
      <c r="B2403" s="2" t="s">
        <v>6095</v>
      </c>
      <c r="C2403" s="2" t="s">
        <v>49</v>
      </c>
      <c r="D2403" s="2" t="s">
        <v>50</v>
      </c>
      <c r="E2403" s="5">
        <v>-30865</v>
      </c>
      <c r="F2403" s="3" t="s">
        <v>163</v>
      </c>
      <c r="G2403" s="3" t="s">
        <v>71</v>
      </c>
      <c r="H2403" s="2" t="s">
        <v>72</v>
      </c>
      <c r="I2403" s="2" t="s">
        <v>6096</v>
      </c>
      <c r="J2403" s="3" t="str">
        <f>HYPERLINK("https://www.boe.es/gazeta/dias/1815/06/29/pdfs/GMD-1815-78.pdf#page=7","Abrir facsímil")</f>
        <v>Abrir facsímil</v>
      </c>
      <c r="K2403" s="3" t="s">
        <v>74</v>
      </c>
    </row>
    <row r="2404" spans="1:11" ht="42" customHeight="1">
      <c r="A2404" s="2" t="s">
        <v>6097</v>
      </c>
      <c r="B2404" s="2" t="s">
        <v>6098</v>
      </c>
      <c r="C2404" s="2" t="s">
        <v>61</v>
      </c>
      <c r="D2404" s="2" t="s">
        <v>50</v>
      </c>
      <c r="E2404" s="5">
        <v>-30916</v>
      </c>
      <c r="F2404" s="3" t="s">
        <v>147</v>
      </c>
      <c r="G2404" s="3" t="s">
        <v>3394</v>
      </c>
      <c r="H2404" s="2" t="s">
        <v>72</v>
      </c>
      <c r="I2404" s="2" t="s">
        <v>6099</v>
      </c>
      <c r="J2404" s="3" t="str">
        <f>HYPERLINK("https://www.boe.es/gazeta/dias/1815/05/09/pdfs/GMD-1815-56.pdf#page=12","Abrir facsímil")</f>
        <v>Abrir facsímil</v>
      </c>
      <c r="K2404" s="3" t="s">
        <v>74</v>
      </c>
    </row>
    <row r="2405" spans="1:11" ht="42" customHeight="1">
      <c r="A2405" s="2" t="s">
        <v>6100</v>
      </c>
      <c r="B2405" s="2" t="s">
        <v>6100</v>
      </c>
      <c r="C2405" s="2" t="s">
        <v>31</v>
      </c>
      <c r="D2405" s="2" t="s">
        <v>32</v>
      </c>
      <c r="E2405" s="5">
        <v>-30849</v>
      </c>
      <c r="F2405" s="3" t="s">
        <v>501</v>
      </c>
      <c r="G2405" s="3" t="s">
        <v>71</v>
      </c>
      <c r="H2405" s="2" t="s">
        <v>72</v>
      </c>
      <c r="I2405" s="2" t="s">
        <v>6101</v>
      </c>
      <c r="J2405" s="3" t="str">
        <f>HYPERLINK("https://www.boe.es/gazeta/dias/1815/07/15/pdfs/GMD-1815-87.pdf#page=7","Abrir facsímil")</f>
        <v>Abrir facsímil</v>
      </c>
      <c r="K2405" s="3" t="s">
        <v>74</v>
      </c>
    </row>
    <row r="2406" spans="1:11" ht="42" customHeight="1">
      <c r="A2406" s="2" t="s">
        <v>6102</v>
      </c>
      <c r="B2406" s="2" t="s">
        <v>6103</v>
      </c>
      <c r="C2406" s="2" t="s">
        <v>49</v>
      </c>
      <c r="D2406" s="2" t="s">
        <v>50</v>
      </c>
      <c r="E2406" s="5">
        <v>-30886</v>
      </c>
      <c r="F2406" s="3" t="s">
        <v>140</v>
      </c>
      <c r="G2406" s="3" t="s">
        <v>224</v>
      </c>
      <c r="H2406" s="2" t="s">
        <v>72</v>
      </c>
      <c r="I2406" s="2" t="s">
        <v>6104</v>
      </c>
      <c r="J2406" s="3" t="str">
        <f>HYPERLINK("https://www.boe.es/gazeta/dias/1815/06/08/pdfs/GMD-1815-69.pdf#page=9","Abrir facsímil")</f>
        <v>Abrir facsímil</v>
      </c>
      <c r="K2406" s="3" t="s">
        <v>74</v>
      </c>
    </row>
    <row r="2407" spans="1:11" ht="42" customHeight="1">
      <c r="A2407" s="2" t="s">
        <v>6105</v>
      </c>
      <c r="B2407" s="2" t="s">
        <v>6106</v>
      </c>
      <c r="C2407" s="2" t="s">
        <v>31</v>
      </c>
      <c r="D2407" s="2" t="s">
        <v>32</v>
      </c>
      <c r="E2407" s="5">
        <v>-30842</v>
      </c>
      <c r="F2407" s="3" t="s">
        <v>126</v>
      </c>
      <c r="G2407" s="3" t="s">
        <v>71</v>
      </c>
      <c r="H2407" s="2" t="s">
        <v>72</v>
      </c>
      <c r="I2407" s="2" t="s">
        <v>6107</v>
      </c>
      <c r="J2407" s="3" t="str">
        <f>HYPERLINK("https://www.boe.es/gazeta/dias/1815/07/22/pdfs/GMD-1815-90.pdf#page=7","Abrir facsímil")</f>
        <v>Abrir facsímil</v>
      </c>
      <c r="K2407" s="3" t="s">
        <v>74</v>
      </c>
    </row>
    <row r="2408" spans="1:11" ht="42" customHeight="1">
      <c r="A2408" s="2" t="s">
        <v>6108</v>
      </c>
      <c r="B2408" s="2" t="s">
        <v>6109</v>
      </c>
      <c r="C2408" s="2" t="s">
        <v>49</v>
      </c>
      <c r="D2408" s="2" t="s">
        <v>50</v>
      </c>
      <c r="E2408" s="5">
        <v>-30842</v>
      </c>
      <c r="F2408" s="3" t="s">
        <v>126</v>
      </c>
      <c r="G2408" s="3" t="s">
        <v>224</v>
      </c>
      <c r="H2408" s="2" t="s">
        <v>72</v>
      </c>
      <c r="I2408" s="2" t="s">
        <v>6110</v>
      </c>
      <c r="J2408" s="3" t="str">
        <f>HYPERLINK("https://www.boe.es/gazeta/dias/1815/07/22/pdfs/GMD-1815-90.pdf#page=9","Abrir facsímil")</f>
        <v>Abrir facsímil</v>
      </c>
      <c r="K2408" s="3" t="s">
        <v>74</v>
      </c>
    </row>
    <row r="2409" spans="1:11" ht="42" customHeight="1">
      <c r="A2409" s="2" t="s">
        <v>6111</v>
      </c>
      <c r="B2409" s="2" t="s">
        <v>6112</v>
      </c>
      <c r="C2409" s="2" t="s">
        <v>17</v>
      </c>
      <c r="D2409" s="2" t="s">
        <v>18</v>
      </c>
      <c r="E2409" s="5">
        <v>-30865</v>
      </c>
      <c r="F2409" s="3" t="s">
        <v>163</v>
      </c>
      <c r="G2409" s="3" t="s">
        <v>71</v>
      </c>
      <c r="H2409" s="2" t="s">
        <v>72</v>
      </c>
      <c r="I2409" s="2" t="s">
        <v>6113</v>
      </c>
      <c r="J2409" s="3" t="str">
        <f>HYPERLINK("https://www.boe.es/gazeta/dias/1815/06/29/pdfs/GMD-1815-78.pdf#page=7","Abrir facsímil")</f>
        <v>Abrir facsímil</v>
      </c>
      <c r="K2409" s="3" t="s">
        <v>74</v>
      </c>
    </row>
    <row r="2410" spans="1:11" ht="42" customHeight="1">
      <c r="A2410" s="2" t="s">
        <v>6114</v>
      </c>
      <c r="B2410" s="2" t="s">
        <v>6115</v>
      </c>
      <c r="C2410" s="2" t="s">
        <v>17</v>
      </c>
      <c r="D2410" s="2" t="s">
        <v>18</v>
      </c>
      <c r="E2410" s="5">
        <v>-30818</v>
      </c>
      <c r="F2410" s="3" t="s">
        <v>334</v>
      </c>
      <c r="G2410" s="3" t="s">
        <v>52</v>
      </c>
      <c r="H2410" s="2" t="s">
        <v>72</v>
      </c>
      <c r="I2410" s="2" t="s">
        <v>6116</v>
      </c>
      <c r="J2410" s="3" t="str">
        <f>HYPERLINK("https://www.boe.es/gazeta/dias/1815/08/15/pdfs/GMD-1815-100.pdf#page=11","Abrir facsímil")</f>
        <v>Abrir facsímil</v>
      </c>
      <c r="K2410" s="3" t="s">
        <v>74</v>
      </c>
    </row>
    <row r="2411" spans="1:11" ht="42" customHeight="1">
      <c r="A2411" s="2" t="s">
        <v>6117</v>
      </c>
      <c r="B2411" s="2" t="s">
        <v>6118</v>
      </c>
      <c r="C2411" s="2" t="s">
        <v>81</v>
      </c>
      <c r="D2411" s="2" t="s">
        <v>50</v>
      </c>
      <c r="E2411" s="5">
        <v>-30732</v>
      </c>
      <c r="F2411" s="3" t="s">
        <v>554</v>
      </c>
      <c r="G2411" s="3" t="s">
        <v>71</v>
      </c>
      <c r="H2411" s="2" t="s">
        <v>72</v>
      </c>
      <c r="I2411" s="2" t="s">
        <v>6119</v>
      </c>
      <c r="J2411" s="3" t="str">
        <f>HYPERLINK("https://www.boe.es/gazeta/dias/1815/11/09/pdfs/GMD-1815-140.pdf#page=7","Abrir facsímil")</f>
        <v>Abrir facsímil</v>
      </c>
      <c r="K2411" s="3" t="s">
        <v>74</v>
      </c>
    </row>
    <row r="2412" spans="1:11" ht="42" customHeight="1">
      <c r="A2412" s="2" t="s">
        <v>6120</v>
      </c>
      <c r="B2412" s="2" t="s">
        <v>6120</v>
      </c>
      <c r="C2412" s="2" t="s">
        <v>31</v>
      </c>
      <c r="D2412" s="2" t="s">
        <v>32</v>
      </c>
      <c r="E2412" s="5">
        <v>-30846</v>
      </c>
      <c r="F2412" s="3" t="s">
        <v>858</v>
      </c>
      <c r="G2412" s="3" t="s">
        <v>20</v>
      </c>
      <c r="H2412" s="2" t="s">
        <v>72</v>
      </c>
      <c r="I2412" s="2" t="s">
        <v>6121</v>
      </c>
      <c r="J2412" s="3" t="str">
        <f>HYPERLINK("https://www.boe.es/gazeta/dias/1815/07/18/pdfs/GMD-1815-88.pdf#page=4","Abrir facsímil")</f>
        <v>Abrir facsímil</v>
      </c>
      <c r="K2412" s="3" t="s">
        <v>74</v>
      </c>
    </row>
    <row r="2413" spans="1:11" ht="42" customHeight="1">
      <c r="A2413" s="2" t="s">
        <v>6122</v>
      </c>
      <c r="B2413" s="2" t="s">
        <v>6123</v>
      </c>
      <c r="C2413" s="2" t="s">
        <v>31</v>
      </c>
      <c r="D2413" s="2" t="s">
        <v>32</v>
      </c>
      <c r="E2413" s="5">
        <v>-30697</v>
      </c>
      <c r="F2413" s="3" t="s">
        <v>381</v>
      </c>
      <c r="G2413" s="3" t="s">
        <v>410</v>
      </c>
      <c r="H2413" s="2" t="s">
        <v>72</v>
      </c>
      <c r="I2413" s="2" t="s">
        <v>6124</v>
      </c>
      <c r="J2413" s="3" t="str">
        <f>HYPERLINK("https://www.boe.es/gazeta/dias/1815/12/14/pdfs/GMD-1815-155.pdf#page=1","Abrir facsímil")</f>
        <v>Abrir facsímil</v>
      </c>
      <c r="K2413" s="3" t="s">
        <v>74</v>
      </c>
    </row>
    <row r="2414" spans="1:11" ht="42" customHeight="1">
      <c r="A2414" s="2" t="s">
        <v>6125</v>
      </c>
      <c r="B2414" s="2" t="s">
        <v>6126</v>
      </c>
      <c r="C2414" s="2" t="s">
        <v>49</v>
      </c>
      <c r="D2414" s="2" t="s">
        <v>50</v>
      </c>
      <c r="E2414" s="5">
        <v>-30886</v>
      </c>
      <c r="F2414" s="3" t="s">
        <v>140</v>
      </c>
      <c r="G2414" s="3" t="s">
        <v>38</v>
      </c>
      <c r="H2414" s="2" t="s">
        <v>72</v>
      </c>
      <c r="I2414" s="2" t="s">
        <v>6127</v>
      </c>
      <c r="J2414" s="3" t="str">
        <f>HYPERLINK("https://www.boe.es/gazeta/dias/1815/06/08/pdfs/GMD-1815-69.pdf#page=8","Abrir facsímil")</f>
        <v>Abrir facsímil</v>
      </c>
      <c r="K2414" s="3" t="s">
        <v>74</v>
      </c>
    </row>
    <row r="2415" spans="1:11" ht="42" customHeight="1">
      <c r="A2415" s="2" t="s">
        <v>6128</v>
      </c>
      <c r="B2415" s="2" t="s">
        <v>6129</v>
      </c>
      <c r="C2415" s="2" t="s">
        <v>31</v>
      </c>
      <c r="D2415" s="2" t="s">
        <v>32</v>
      </c>
      <c r="E2415" s="5">
        <v>-30767</v>
      </c>
      <c r="F2415" s="3" t="s">
        <v>228</v>
      </c>
      <c r="G2415" s="3" t="s">
        <v>224</v>
      </c>
      <c r="H2415" s="2" t="s">
        <v>72</v>
      </c>
      <c r="I2415" s="2" t="s">
        <v>6130</v>
      </c>
      <c r="J2415" s="3" t="str">
        <f>HYPERLINK("https://www.boe.es/gazeta/dias/1815/10/05/pdfs/GMD-1815-125.pdf#page=9","Abrir facsímil")</f>
        <v>Abrir facsímil</v>
      </c>
      <c r="K2415" s="3" t="s">
        <v>74</v>
      </c>
    </row>
    <row r="2416" spans="1:11" ht="42" customHeight="1">
      <c r="A2416" s="2" t="s">
        <v>6131</v>
      </c>
      <c r="B2416" s="2" t="s">
        <v>6132</v>
      </c>
      <c r="C2416" s="2" t="s">
        <v>49</v>
      </c>
      <c r="D2416" s="2" t="s">
        <v>50</v>
      </c>
      <c r="E2416" s="5">
        <v>-30783</v>
      </c>
      <c r="F2416" s="3" t="s">
        <v>423</v>
      </c>
      <c r="G2416" s="3" t="s">
        <v>38</v>
      </c>
      <c r="H2416" s="2" t="s">
        <v>72</v>
      </c>
      <c r="I2416" s="2" t="s">
        <v>6133</v>
      </c>
      <c r="J2416" s="3" t="str">
        <f>HYPERLINK("https://www.boe.es/gazeta/dias/1815/09/19/pdfs/GMD-1815-116.pdf#page=8","Abrir facsímil")</f>
        <v>Abrir facsímil</v>
      </c>
      <c r="K2416" s="3" t="s">
        <v>74</v>
      </c>
    </row>
    <row r="2417" spans="1:11" ht="42" customHeight="1">
      <c r="A2417" s="2" t="s">
        <v>6134</v>
      </c>
      <c r="B2417" s="2" t="s">
        <v>6135</v>
      </c>
      <c r="C2417" s="2" t="s">
        <v>195</v>
      </c>
      <c r="D2417" s="2" t="s">
        <v>50</v>
      </c>
      <c r="E2417" s="5">
        <v>-30872</v>
      </c>
      <c r="F2417" s="3" t="s">
        <v>167</v>
      </c>
      <c r="G2417" s="3" t="s">
        <v>342</v>
      </c>
      <c r="H2417" s="2" t="s">
        <v>72</v>
      </c>
      <c r="I2417" s="2" t="s">
        <v>6136</v>
      </c>
      <c r="J2417" s="3" t="str">
        <f>HYPERLINK("https://www.boe.es/gazeta/dias/1815/06/22/pdfs/GMD-1815-75.pdf#page=8","Abrir facsímil")</f>
        <v>Abrir facsímil</v>
      </c>
      <c r="K2417" s="3" t="s">
        <v>74</v>
      </c>
    </row>
    <row r="2418" spans="1:11" ht="42" customHeight="1">
      <c r="A2418" s="2" t="s">
        <v>6137</v>
      </c>
      <c r="B2418" s="2" t="s">
        <v>6138</v>
      </c>
      <c r="C2418" s="2" t="s">
        <v>17</v>
      </c>
      <c r="D2418" s="2" t="s">
        <v>18</v>
      </c>
      <c r="E2418" s="5">
        <v>-30877</v>
      </c>
      <c r="F2418" s="3" t="s">
        <v>548</v>
      </c>
      <c r="G2418" s="3" t="s">
        <v>224</v>
      </c>
      <c r="H2418" s="2" t="s">
        <v>72</v>
      </c>
      <c r="I2418" s="2" t="s">
        <v>6139</v>
      </c>
      <c r="J2418" s="3" t="str">
        <f>HYPERLINK("https://www.boe.es/gazeta/dias/1815/06/17/pdfs/GMD-1815-73.pdf#page=9","Abrir facsímil")</f>
        <v>Abrir facsímil</v>
      </c>
      <c r="K2418" s="3" t="s">
        <v>74</v>
      </c>
    </row>
    <row r="2419" spans="1:11" ht="42" customHeight="1">
      <c r="A2419" s="2" t="s">
        <v>6140</v>
      </c>
      <c r="B2419" s="2" t="s">
        <v>6141</v>
      </c>
      <c r="C2419" s="2" t="s">
        <v>17</v>
      </c>
      <c r="D2419" s="2" t="s">
        <v>18</v>
      </c>
      <c r="E2419" s="5">
        <v>-30982</v>
      </c>
      <c r="F2419" s="3" t="s">
        <v>220</v>
      </c>
      <c r="G2419" s="3" t="s">
        <v>57</v>
      </c>
      <c r="H2419" s="2" t="s">
        <v>72</v>
      </c>
      <c r="I2419" s="2" t="s">
        <v>6142</v>
      </c>
      <c r="J2419" s="3" t="str">
        <f>HYPERLINK("https://www.boe.es/gazeta/dias/1815/03/04/pdfs/GMD-1815-27.pdf#page=5","Abrir facsímil")</f>
        <v>Abrir facsímil</v>
      </c>
      <c r="K2419" s="3" t="s">
        <v>74</v>
      </c>
    </row>
    <row r="2420" spans="1:11" ht="42" customHeight="1">
      <c r="A2420" s="2" t="s">
        <v>6143</v>
      </c>
      <c r="B2420" s="2" t="s">
        <v>6144</v>
      </c>
      <c r="C2420" s="2" t="s">
        <v>49</v>
      </c>
      <c r="D2420" s="2" t="s">
        <v>50</v>
      </c>
      <c r="E2420" s="5">
        <v>-30818</v>
      </c>
      <c r="F2420" s="3" t="s">
        <v>334</v>
      </c>
      <c r="G2420" s="3" t="s">
        <v>224</v>
      </c>
      <c r="H2420" s="2" t="s">
        <v>72</v>
      </c>
      <c r="I2420" s="2" t="s">
        <v>6145</v>
      </c>
      <c r="J2420" s="3" t="str">
        <f>HYPERLINK("https://www.boe.es/gazeta/dias/1815/08/15/pdfs/GMD-1815-100.pdf#page=9","Abrir facsímil")</f>
        <v>Abrir facsímil</v>
      </c>
      <c r="K2420" s="3" t="s">
        <v>74</v>
      </c>
    </row>
    <row r="2421" spans="1:11" ht="42" customHeight="1">
      <c r="A2421" s="2" t="s">
        <v>6146</v>
      </c>
      <c r="B2421" s="2" t="s">
        <v>6147</v>
      </c>
      <c r="C2421" s="2" t="s">
        <v>195</v>
      </c>
      <c r="D2421" s="2" t="s">
        <v>50</v>
      </c>
      <c r="E2421" s="5">
        <v>-31000</v>
      </c>
      <c r="F2421" s="3" t="s">
        <v>70</v>
      </c>
      <c r="G2421" s="3" t="s">
        <v>847</v>
      </c>
      <c r="H2421" s="2" t="s">
        <v>72</v>
      </c>
      <c r="I2421" s="2" t="s">
        <v>6148</v>
      </c>
      <c r="J2421" s="3" t="str">
        <f>HYPERLINK("https://www.boe.es/gazeta/dias/1815/02/14/pdfs/GMD-1815-19.pdf#page=6","Abrir facsímil")</f>
        <v>Abrir facsímil</v>
      </c>
      <c r="K2421" s="3" t="s">
        <v>74</v>
      </c>
    </row>
    <row r="2422" spans="1:11" ht="42" customHeight="1">
      <c r="A2422" s="2" t="s">
        <v>6146</v>
      </c>
      <c r="B2422" s="2" t="s">
        <v>6147</v>
      </c>
      <c r="C2422" s="2" t="s">
        <v>49</v>
      </c>
      <c r="D2422" s="2" t="s">
        <v>50</v>
      </c>
      <c r="E2422" s="5">
        <v>-30865</v>
      </c>
      <c r="F2422" s="3" t="s">
        <v>163</v>
      </c>
      <c r="G2422" s="3" t="s">
        <v>71</v>
      </c>
      <c r="H2422" s="2" t="s">
        <v>72</v>
      </c>
      <c r="I2422" s="2" t="s">
        <v>6149</v>
      </c>
      <c r="J2422" s="3" t="str">
        <f>HYPERLINK("https://www.boe.es/gazeta/dias/1815/06/29/pdfs/GMD-1815-78.pdf#page=7","Abrir facsímil")</f>
        <v>Abrir facsímil</v>
      </c>
      <c r="K2422" s="3" t="s">
        <v>74</v>
      </c>
    </row>
    <row r="2423" spans="1:11" ht="42" customHeight="1">
      <c r="A2423" s="2" t="s">
        <v>6150</v>
      </c>
      <c r="B2423" s="2" t="s">
        <v>6151</v>
      </c>
      <c r="C2423" s="2" t="s">
        <v>894</v>
      </c>
      <c r="D2423" s="2" t="s">
        <v>18</v>
      </c>
      <c r="E2423" s="5">
        <v>-30846</v>
      </c>
      <c r="F2423" s="3" t="s">
        <v>858</v>
      </c>
      <c r="G2423" s="3" t="s">
        <v>57</v>
      </c>
      <c r="H2423" s="2" t="s">
        <v>72</v>
      </c>
      <c r="I2423" s="2" t="s">
        <v>6152</v>
      </c>
      <c r="J2423" s="3" t="str">
        <f>HYPERLINK("https://www.boe.es/gazeta/dias/1815/07/18/pdfs/GMD-1815-88.pdf#page=5","Abrir facsímil")</f>
        <v>Abrir facsímil</v>
      </c>
      <c r="K2423" s="3" t="s">
        <v>74</v>
      </c>
    </row>
    <row r="2424" spans="1:11" ht="42" customHeight="1">
      <c r="A2424" s="2" t="s">
        <v>6153</v>
      </c>
      <c r="B2424" s="2" t="s">
        <v>6154</v>
      </c>
      <c r="C2424" s="2" t="s">
        <v>31</v>
      </c>
      <c r="D2424" s="2" t="s">
        <v>32</v>
      </c>
      <c r="E2424" s="5">
        <v>-31038</v>
      </c>
      <c r="F2424" s="3" t="s">
        <v>395</v>
      </c>
      <c r="G2424" s="3" t="s">
        <v>396</v>
      </c>
      <c r="H2424" s="2" t="s">
        <v>72</v>
      </c>
      <c r="I2424" s="2" t="s">
        <v>6155</v>
      </c>
      <c r="J2424" s="3" t="str">
        <f>HYPERLINK("https://www.boe.es/gazeta/dias/1815/01/07/pdfs/GMD-1815-3.pdf#page=5","Abrir facsímil")</f>
        <v>Abrir facsímil</v>
      </c>
      <c r="K2424" s="3" t="s">
        <v>74</v>
      </c>
    </row>
    <row r="2425" spans="1:11" ht="42" customHeight="1">
      <c r="A2425" s="2" t="s">
        <v>6156</v>
      </c>
      <c r="B2425" s="2" t="s">
        <v>6157</v>
      </c>
      <c r="C2425" s="2" t="s">
        <v>17</v>
      </c>
      <c r="D2425" s="2" t="s">
        <v>18</v>
      </c>
      <c r="E2425" s="5">
        <v>-30914</v>
      </c>
      <c r="F2425" s="3" t="s">
        <v>338</v>
      </c>
      <c r="G2425" s="3" t="s">
        <v>276</v>
      </c>
      <c r="H2425" s="2" t="s">
        <v>72</v>
      </c>
      <c r="I2425" s="2" t="s">
        <v>6158</v>
      </c>
      <c r="J2425" s="3" t="str">
        <f>HYPERLINK("https://www.boe.es/gazeta/dias/1815/05/11/pdfs/GMD-1815-57.pdf#page=12","Abrir facsímil")</f>
        <v>Abrir facsímil</v>
      </c>
      <c r="K2425" s="3" t="s">
        <v>74</v>
      </c>
    </row>
    <row r="2426" spans="1:11" ht="42" customHeight="1">
      <c r="A2426" s="2" t="s">
        <v>6159</v>
      </c>
      <c r="B2426" s="2" t="s">
        <v>6160</v>
      </c>
      <c r="C2426" s="2" t="s">
        <v>49</v>
      </c>
      <c r="D2426" s="2" t="s">
        <v>50</v>
      </c>
      <c r="E2426" s="5">
        <v>-30699</v>
      </c>
      <c r="F2426" s="3" t="s">
        <v>810</v>
      </c>
      <c r="G2426" s="3" t="s">
        <v>71</v>
      </c>
      <c r="H2426" s="2" t="s">
        <v>72</v>
      </c>
      <c r="I2426" s="2" t="s">
        <v>6161</v>
      </c>
      <c r="J2426" s="3" t="str">
        <f>HYPERLINK("https://www.boe.es/gazeta/dias/1815/12/12/pdfs/GMD-1815-154.pdf#page=7","Abrir facsímil")</f>
        <v>Abrir facsímil</v>
      </c>
      <c r="K2426" s="3" t="s">
        <v>74</v>
      </c>
    </row>
    <row r="2427" spans="1:11" ht="42" customHeight="1">
      <c r="A2427" s="2" t="s">
        <v>6162</v>
      </c>
      <c r="B2427" s="2" t="s">
        <v>6163</v>
      </c>
      <c r="C2427" s="2" t="s">
        <v>31</v>
      </c>
      <c r="D2427" s="2" t="s">
        <v>32</v>
      </c>
      <c r="E2427" s="5">
        <v>-30849</v>
      </c>
      <c r="F2427" s="3" t="s">
        <v>501</v>
      </c>
      <c r="G2427" s="3" t="s">
        <v>52</v>
      </c>
      <c r="H2427" s="2" t="s">
        <v>21</v>
      </c>
      <c r="I2427" s="2" t="s">
        <v>6164</v>
      </c>
      <c r="J2427" s="3" t="str">
        <f>HYPERLINK("https://www.boe.es/gazeta/dias/1815/07/15/pdfs/GMD-1815-87.pdf#page=11","Abrir facsímil")</f>
        <v>Abrir facsímil</v>
      </c>
      <c r="K2427" s="3" t="s">
        <v>23</v>
      </c>
    </row>
    <row r="2428" spans="1:11" ht="42" customHeight="1">
      <c r="A2428" s="2" t="s">
        <v>6165</v>
      </c>
      <c r="B2428" s="2" t="s">
        <v>6166</v>
      </c>
      <c r="C2428" s="2" t="s">
        <v>17</v>
      </c>
      <c r="D2428" s="2" t="s">
        <v>18</v>
      </c>
      <c r="E2428" s="5">
        <v>-30979</v>
      </c>
      <c r="F2428" s="3" t="s">
        <v>56</v>
      </c>
      <c r="G2428" s="3" t="s">
        <v>27</v>
      </c>
      <c r="H2428" s="2" t="s">
        <v>72</v>
      </c>
      <c r="I2428" s="2" t="s">
        <v>6167</v>
      </c>
      <c r="J2428" s="3" t="str">
        <f>HYPERLINK("https://www.boe.es/gazeta/dias/1815/03/07/pdfs/GMD-1815-28.pdf#page=6","Abrir facsímil")</f>
        <v>Abrir facsímil</v>
      </c>
      <c r="K2428" s="3" t="s">
        <v>74</v>
      </c>
    </row>
    <row r="2429" spans="1:11" ht="42" customHeight="1">
      <c r="A2429" s="2" t="s">
        <v>6168</v>
      </c>
      <c r="B2429" s="2" t="s">
        <v>6169</v>
      </c>
      <c r="C2429" s="2" t="s">
        <v>17</v>
      </c>
      <c r="D2429" s="2" t="s">
        <v>18</v>
      </c>
      <c r="E2429" s="5">
        <v>-30683</v>
      </c>
      <c r="F2429" s="3" t="s">
        <v>1693</v>
      </c>
      <c r="G2429" s="3" t="s">
        <v>71</v>
      </c>
      <c r="H2429" s="2" t="s">
        <v>21</v>
      </c>
      <c r="I2429" s="2" t="s">
        <v>6170</v>
      </c>
      <c r="J2429" s="3" t="str">
        <f>HYPERLINK("https://www.boe.es/gazeta/dias/1815/12/28/pdfs/GMD-1815-161.pdf#page=7","Abrir facsímil")</f>
        <v>Abrir facsímil</v>
      </c>
      <c r="K2429" s="3" t="s">
        <v>23</v>
      </c>
    </row>
    <row r="2430" spans="1:11" ht="42" customHeight="1">
      <c r="A2430" s="2" t="s">
        <v>6171</v>
      </c>
      <c r="B2430" s="2" t="s">
        <v>6172</v>
      </c>
      <c r="C2430" s="2" t="s">
        <v>31</v>
      </c>
      <c r="D2430" s="2" t="s">
        <v>32</v>
      </c>
      <c r="E2430" s="5">
        <v>-31007</v>
      </c>
      <c r="F2430" s="3" t="s">
        <v>200</v>
      </c>
      <c r="G2430" s="3" t="s">
        <v>52</v>
      </c>
      <c r="H2430" s="2" t="s">
        <v>72</v>
      </c>
      <c r="I2430" s="2" t="s">
        <v>6173</v>
      </c>
      <c r="J2430" s="3" t="str">
        <f>HYPERLINK("https://www.boe.es/gazeta/dias/1815/02/07/pdfs/GMD-1815-16.pdf#page=11","Abrir facsímil")</f>
        <v>Abrir facsímil</v>
      </c>
      <c r="K2430" s="3" t="s">
        <v>74</v>
      </c>
    </row>
    <row r="2431" spans="1:11" ht="42" customHeight="1">
      <c r="A2431" s="2" t="s">
        <v>6174</v>
      </c>
      <c r="B2431" s="2" t="s">
        <v>6175</v>
      </c>
      <c r="C2431" s="2" t="s">
        <v>31</v>
      </c>
      <c r="D2431" s="2" t="s">
        <v>32</v>
      </c>
      <c r="E2431" s="5">
        <v>-31014</v>
      </c>
      <c r="F2431" s="3" t="s">
        <v>3193</v>
      </c>
      <c r="G2431" s="3" t="s">
        <v>57</v>
      </c>
      <c r="H2431" s="2" t="s">
        <v>72</v>
      </c>
      <c r="I2431" s="2" t="s">
        <v>6176</v>
      </c>
      <c r="J2431" s="3" t="str">
        <f>HYPERLINK("https://www.boe.es/gazeta/dias/1815/01/31/pdfs/GMD-1815-13.pdf#page=5","Abrir facsímil")</f>
        <v>Abrir facsímil</v>
      </c>
      <c r="K2431" s="3" t="s">
        <v>74</v>
      </c>
    </row>
    <row r="2432" spans="1:11" ht="42" customHeight="1">
      <c r="A2432" s="2" t="s">
        <v>6174</v>
      </c>
      <c r="B2432" s="2" t="s">
        <v>6175</v>
      </c>
      <c r="C2432" s="2" t="s">
        <v>31</v>
      </c>
      <c r="D2432" s="2" t="s">
        <v>32</v>
      </c>
      <c r="E2432" s="5">
        <v>-30970</v>
      </c>
      <c r="F2432" s="3" t="s">
        <v>436</v>
      </c>
      <c r="G2432" s="3" t="s">
        <v>27</v>
      </c>
      <c r="H2432" s="2" t="s">
        <v>72</v>
      </c>
      <c r="I2432" s="2" t="s">
        <v>6177</v>
      </c>
      <c r="J2432" s="3" t="str">
        <f>HYPERLINK("https://www.boe.es/gazeta/dias/1815/03/16/pdfs/GMD-1815-32.pdf#page=6","Abrir facsímil")</f>
        <v>Abrir facsímil</v>
      </c>
      <c r="K2432" s="3" t="s">
        <v>74</v>
      </c>
    </row>
    <row r="2433" spans="1:11" ht="42" customHeight="1">
      <c r="A2433" s="2" t="s">
        <v>6174</v>
      </c>
      <c r="B2433" s="2" t="s">
        <v>6175</v>
      </c>
      <c r="C2433" s="2" t="s">
        <v>31</v>
      </c>
      <c r="D2433" s="2" t="s">
        <v>32</v>
      </c>
      <c r="E2433" s="5">
        <v>-30933</v>
      </c>
      <c r="F2433" s="3" t="s">
        <v>725</v>
      </c>
      <c r="G2433" s="3" t="s">
        <v>71</v>
      </c>
      <c r="H2433" s="2" t="s">
        <v>72</v>
      </c>
      <c r="I2433" s="2" t="s">
        <v>6178</v>
      </c>
      <c r="J2433" s="3" t="str">
        <f>HYPERLINK("https://www.boe.es/gazeta/dias/1815/04/22/pdfs/GMD-1815-49.pdf#page=7","Abrir facsímil")</f>
        <v>Abrir facsímil</v>
      </c>
      <c r="K2433" s="3" t="s">
        <v>74</v>
      </c>
    </row>
    <row r="2434" spans="1:11" ht="42" customHeight="1">
      <c r="A2434" s="2" t="s">
        <v>6174</v>
      </c>
      <c r="B2434" s="2" t="s">
        <v>6175</v>
      </c>
      <c r="C2434" s="2" t="s">
        <v>31</v>
      </c>
      <c r="D2434" s="2" t="s">
        <v>32</v>
      </c>
      <c r="E2434" s="5">
        <v>-30912</v>
      </c>
      <c r="F2434" s="3" t="s">
        <v>579</v>
      </c>
      <c r="G2434" s="3" t="s">
        <v>20</v>
      </c>
      <c r="H2434" s="2" t="s">
        <v>72</v>
      </c>
      <c r="I2434" s="2" t="s">
        <v>6179</v>
      </c>
      <c r="J2434" s="3" t="str">
        <f>HYPERLINK("https://www.boe.es/gazeta/dias/1815/05/13/pdfs/GMD-1815-58.pdf#page=4","Abrir facsímil")</f>
        <v>Abrir facsímil</v>
      </c>
      <c r="K2434" s="3" t="s">
        <v>74</v>
      </c>
    </row>
    <row r="2435" spans="1:11" ht="42" customHeight="1">
      <c r="A2435" s="2" t="s">
        <v>6180</v>
      </c>
      <c r="B2435" s="2" t="s">
        <v>6181</v>
      </c>
      <c r="C2435" s="2" t="s">
        <v>31</v>
      </c>
      <c r="D2435" s="2" t="s">
        <v>179</v>
      </c>
      <c r="E2435" s="5">
        <v>-30860</v>
      </c>
      <c r="F2435" s="3" t="s">
        <v>180</v>
      </c>
      <c r="G2435" s="3" t="s">
        <v>377</v>
      </c>
      <c r="H2435" s="2" t="s">
        <v>21</v>
      </c>
      <c r="I2435" s="2" t="s">
        <v>6182</v>
      </c>
      <c r="J2435" s="3" t="str">
        <f>HYPERLINK("https://www.boe.es/gazeta/dias/1815/07/04/pdfs/GMD-1815-82E.pdf#page=2","Abrir facsímil")</f>
        <v>Abrir facsímil</v>
      </c>
      <c r="K2435" s="3" t="s">
        <v>23</v>
      </c>
    </row>
    <row r="2436" spans="1:11" ht="42" customHeight="1">
      <c r="A2436" s="2" t="s">
        <v>6183</v>
      </c>
      <c r="B2436" s="2" t="s">
        <v>6184</v>
      </c>
      <c r="C2436" s="2" t="s">
        <v>31</v>
      </c>
      <c r="D2436" s="2" t="s">
        <v>179</v>
      </c>
      <c r="E2436" s="5">
        <v>-30860</v>
      </c>
      <c r="F2436" s="3" t="s">
        <v>180</v>
      </c>
      <c r="G2436" s="3" t="s">
        <v>20</v>
      </c>
      <c r="H2436" s="2" t="s">
        <v>21</v>
      </c>
      <c r="I2436" s="2" t="s">
        <v>6185</v>
      </c>
      <c r="J2436" s="3" t="str">
        <f>HYPERLINK("https://www.boe.es/gazeta/dias/1815/07/04/pdfs/GMD-1815-82E.pdf#page=4","Abrir facsímil")</f>
        <v>Abrir facsímil</v>
      </c>
      <c r="K2436" s="3" t="s">
        <v>23</v>
      </c>
    </row>
    <row r="2437" spans="1:11" ht="42" customHeight="1">
      <c r="A2437" s="2" t="s">
        <v>6186</v>
      </c>
      <c r="B2437" s="2" t="s">
        <v>6186</v>
      </c>
      <c r="C2437" s="2" t="s">
        <v>31</v>
      </c>
      <c r="D2437" s="2" t="s">
        <v>32</v>
      </c>
      <c r="E2437" s="5">
        <v>-30744</v>
      </c>
      <c r="F2437" s="3" t="s">
        <v>391</v>
      </c>
      <c r="G2437" s="3" t="s">
        <v>97</v>
      </c>
      <c r="H2437" s="2" t="s">
        <v>72</v>
      </c>
      <c r="I2437" s="2" t="s">
        <v>6187</v>
      </c>
      <c r="J2437" s="3" t="str">
        <f>HYPERLINK("https://www.boe.es/gazeta/dias/1815/10/28/pdfs/GMD-1815-135.pdf#page=3","Abrir facsímil")</f>
        <v>Abrir facsímil</v>
      </c>
      <c r="K2437" s="3" t="s">
        <v>74</v>
      </c>
    </row>
    <row r="2438" spans="1:11" ht="42" customHeight="1">
      <c r="A2438" s="2" t="s">
        <v>6188</v>
      </c>
      <c r="B2438" s="2" t="s">
        <v>6188</v>
      </c>
      <c r="C2438" s="2" t="s">
        <v>31</v>
      </c>
      <c r="D2438" s="2" t="s">
        <v>32</v>
      </c>
      <c r="E2438" s="5">
        <v>-30912</v>
      </c>
      <c r="F2438" s="3" t="s">
        <v>579</v>
      </c>
      <c r="G2438" s="3" t="s">
        <v>377</v>
      </c>
      <c r="H2438" s="2" t="s">
        <v>72</v>
      </c>
      <c r="I2438" s="2" t="s">
        <v>6189</v>
      </c>
      <c r="J2438" s="3" t="str">
        <f>HYPERLINK("https://www.boe.es/gazeta/dias/1815/05/13/pdfs/GMD-1815-58.pdf#page=2","Abrir facsímil")</f>
        <v>Abrir facsímil</v>
      </c>
      <c r="K2438" s="3" t="s">
        <v>74</v>
      </c>
    </row>
    <row r="2439" spans="1:11" ht="42" customHeight="1">
      <c r="A2439" s="2" t="s">
        <v>6190</v>
      </c>
      <c r="B2439" s="2" t="s">
        <v>6190</v>
      </c>
      <c r="C2439" s="2" t="s">
        <v>31</v>
      </c>
      <c r="D2439" s="2" t="s">
        <v>32</v>
      </c>
      <c r="E2439" s="5">
        <v>-30905</v>
      </c>
      <c r="F2439" s="3" t="s">
        <v>901</v>
      </c>
      <c r="G2439" s="3" t="s">
        <v>410</v>
      </c>
      <c r="H2439" s="2" t="s">
        <v>72</v>
      </c>
      <c r="I2439" s="2" t="s">
        <v>6191</v>
      </c>
      <c r="J2439" s="3" t="str">
        <f>HYPERLINK("https://www.boe.es/gazeta/dias/1815/05/20/pdfs/GMD-1815-61.pdf#page=1","Abrir facsímil")</f>
        <v>Abrir facsímil</v>
      </c>
      <c r="K2439" s="3" t="s">
        <v>74</v>
      </c>
    </row>
    <row r="2440" spans="1:11" ht="42" customHeight="1">
      <c r="A2440" s="2" t="s">
        <v>6192</v>
      </c>
      <c r="B2440" s="2" t="s">
        <v>6192</v>
      </c>
      <c r="C2440" s="2" t="s">
        <v>31</v>
      </c>
      <c r="D2440" s="2" t="s">
        <v>32</v>
      </c>
      <c r="E2440" s="5">
        <v>-30851</v>
      </c>
      <c r="F2440" s="3" t="s">
        <v>442</v>
      </c>
      <c r="G2440" s="3" t="s">
        <v>20</v>
      </c>
      <c r="H2440" s="2" t="s">
        <v>72</v>
      </c>
      <c r="I2440" s="2" t="s">
        <v>6193</v>
      </c>
      <c r="J2440" s="3" t="str">
        <f>HYPERLINK("https://www.boe.es/gazeta/dias/1815/07/13/pdfs/GMD-1815-86.pdf#page=4","Abrir facsímil")</f>
        <v>Abrir facsímil</v>
      </c>
      <c r="K2440" s="3" t="s">
        <v>74</v>
      </c>
    </row>
    <row r="2441" spans="1:11" ht="42" customHeight="1">
      <c r="A2441" s="2" t="s">
        <v>6194</v>
      </c>
      <c r="B2441" s="2" t="s">
        <v>6195</v>
      </c>
      <c r="C2441" s="2" t="s">
        <v>195</v>
      </c>
      <c r="D2441" s="2" t="s">
        <v>50</v>
      </c>
      <c r="E2441" s="5">
        <v>-30888</v>
      </c>
      <c r="F2441" s="3" t="s">
        <v>368</v>
      </c>
      <c r="G2441" s="3" t="s">
        <v>38</v>
      </c>
      <c r="H2441" s="2" t="s">
        <v>72</v>
      </c>
      <c r="I2441" s="2" t="s">
        <v>6196</v>
      </c>
      <c r="J2441" s="3" t="str">
        <f>HYPERLINK("https://www.boe.es/gazeta/dias/1815/06/06/pdfs/GMD-1815-68.pdf#page=8","Abrir facsímil")</f>
        <v>Abrir facsímil</v>
      </c>
      <c r="K2441" s="3" t="s">
        <v>74</v>
      </c>
    </row>
    <row r="2442" spans="1:11" ht="42" customHeight="1">
      <c r="A2442" s="2" t="s">
        <v>6197</v>
      </c>
      <c r="B2442" s="2" t="s">
        <v>6198</v>
      </c>
      <c r="C2442" s="2" t="s">
        <v>49</v>
      </c>
      <c r="D2442" s="2" t="s">
        <v>50</v>
      </c>
      <c r="E2442" s="5">
        <v>-30886</v>
      </c>
      <c r="F2442" s="3" t="s">
        <v>140</v>
      </c>
      <c r="G2442" s="3" t="s">
        <v>38</v>
      </c>
      <c r="H2442" s="2" t="s">
        <v>72</v>
      </c>
      <c r="I2442" s="2" t="s">
        <v>6199</v>
      </c>
      <c r="J2442" s="3" t="str">
        <f>HYPERLINK("https://www.boe.es/gazeta/dias/1815/06/08/pdfs/GMD-1815-69.pdf#page=8","Abrir facsímil")</f>
        <v>Abrir facsímil</v>
      </c>
      <c r="K2442" s="3" t="s">
        <v>74</v>
      </c>
    </row>
    <row r="2443" spans="1:11" ht="42" customHeight="1">
      <c r="A2443" s="2" t="s">
        <v>6200</v>
      </c>
      <c r="B2443" s="2" t="s">
        <v>6201</v>
      </c>
      <c r="C2443" s="2" t="s">
        <v>61</v>
      </c>
      <c r="D2443" s="2" t="s">
        <v>50</v>
      </c>
      <c r="E2443" s="5">
        <v>-30870</v>
      </c>
      <c r="F2443" s="3" t="s">
        <v>122</v>
      </c>
      <c r="G2443" s="3" t="s">
        <v>38</v>
      </c>
      <c r="H2443" s="2" t="s">
        <v>72</v>
      </c>
      <c r="I2443" s="2" t="s">
        <v>6202</v>
      </c>
      <c r="J2443" s="3" t="str">
        <f>HYPERLINK("https://www.boe.es/gazeta/dias/1815/06/24/pdfs/GMD-1815-76.pdf#page=8","Abrir facsímil")</f>
        <v>Abrir facsímil</v>
      </c>
      <c r="K2443" s="3" t="s">
        <v>74</v>
      </c>
    </row>
    <row r="2444" spans="1:11" ht="42" customHeight="1">
      <c r="A2444" s="2" t="s">
        <v>6203</v>
      </c>
      <c r="B2444" s="2" t="s">
        <v>6204</v>
      </c>
      <c r="C2444" s="2" t="s">
        <v>49</v>
      </c>
      <c r="D2444" s="2" t="s">
        <v>50</v>
      </c>
      <c r="E2444" s="5">
        <v>-30865</v>
      </c>
      <c r="F2444" s="3" t="s">
        <v>163</v>
      </c>
      <c r="G2444" s="3" t="s">
        <v>71</v>
      </c>
      <c r="H2444" s="2" t="s">
        <v>72</v>
      </c>
      <c r="I2444" s="2" t="s">
        <v>6205</v>
      </c>
      <c r="J2444" s="3" t="str">
        <f>HYPERLINK("https://www.boe.es/gazeta/dias/1815/06/29/pdfs/GMD-1815-78.pdf#page=7","Abrir facsímil")</f>
        <v>Abrir facsímil</v>
      </c>
      <c r="K2444" s="3" t="s">
        <v>74</v>
      </c>
    </row>
    <row r="2445" spans="1:11" ht="42" customHeight="1">
      <c r="A2445" s="2" t="s">
        <v>6206</v>
      </c>
      <c r="B2445" s="2" t="s">
        <v>6207</v>
      </c>
      <c r="C2445" s="2" t="s">
        <v>31</v>
      </c>
      <c r="D2445" s="2" t="s">
        <v>32</v>
      </c>
      <c r="E2445" s="5">
        <v>-30958</v>
      </c>
      <c r="F2445" s="3" t="s">
        <v>297</v>
      </c>
      <c r="G2445" s="3" t="s">
        <v>57</v>
      </c>
      <c r="H2445" s="2" t="s">
        <v>72</v>
      </c>
      <c r="I2445" s="2" t="s">
        <v>6208</v>
      </c>
      <c r="J2445" s="3" t="str">
        <f>HYPERLINK("https://www.boe.es/gazeta/dias/1815/03/28/pdfs/GMD-1815-37.pdf#page=5","Abrir facsímil")</f>
        <v>Abrir facsímil</v>
      </c>
      <c r="K2445" s="3" t="s">
        <v>74</v>
      </c>
    </row>
    <row r="2446" spans="1:11" ht="42" customHeight="1">
      <c r="A2446" s="2" t="s">
        <v>6209</v>
      </c>
      <c r="B2446" s="2" t="s">
        <v>6209</v>
      </c>
      <c r="C2446" s="2" t="s">
        <v>17</v>
      </c>
      <c r="D2446" s="2" t="s">
        <v>18</v>
      </c>
      <c r="E2446" s="5">
        <v>-30886</v>
      </c>
      <c r="F2446" s="3" t="s">
        <v>140</v>
      </c>
      <c r="G2446" s="3" t="s">
        <v>57</v>
      </c>
      <c r="H2446" s="2" t="s">
        <v>72</v>
      </c>
      <c r="I2446" s="2" t="s">
        <v>6210</v>
      </c>
      <c r="J2446" s="3" t="str">
        <f>HYPERLINK("https://www.boe.es/gazeta/dias/1815/06/08/pdfs/GMD-1815-69.pdf#page=5","Abrir facsímil")</f>
        <v>Abrir facsímil</v>
      </c>
      <c r="K2446" s="3" t="s">
        <v>74</v>
      </c>
    </row>
    <row r="2447" spans="1:11" ht="42" customHeight="1">
      <c r="A2447" s="2" t="s">
        <v>6209</v>
      </c>
      <c r="B2447" s="2" t="s">
        <v>6209</v>
      </c>
      <c r="C2447" s="2" t="s">
        <v>195</v>
      </c>
      <c r="D2447" s="2" t="s">
        <v>50</v>
      </c>
      <c r="E2447" s="5">
        <v>-30851</v>
      </c>
      <c r="F2447" s="3" t="s">
        <v>442</v>
      </c>
      <c r="G2447" s="3" t="s">
        <v>20</v>
      </c>
      <c r="H2447" s="2" t="s">
        <v>72</v>
      </c>
      <c r="I2447" s="2" t="s">
        <v>6211</v>
      </c>
      <c r="J2447" s="3" t="str">
        <f>HYPERLINK("https://www.boe.es/gazeta/dias/1815/07/13/pdfs/GMD-1815-86.pdf#page=4","Abrir facsímil")</f>
        <v>Abrir facsímil</v>
      </c>
      <c r="K2447" s="3" t="s">
        <v>74</v>
      </c>
    </row>
    <row r="2448" spans="1:11" ht="42" customHeight="1">
      <c r="A2448" s="2" t="s">
        <v>6209</v>
      </c>
      <c r="B2448" s="2" t="s">
        <v>6209</v>
      </c>
      <c r="C2448" s="2" t="s">
        <v>61</v>
      </c>
      <c r="D2448" s="2" t="s">
        <v>50</v>
      </c>
      <c r="E2448" s="5">
        <v>-30839</v>
      </c>
      <c r="F2448" s="3" t="s">
        <v>616</v>
      </c>
      <c r="G2448" s="3" t="s">
        <v>617</v>
      </c>
      <c r="H2448" s="2" t="s">
        <v>72</v>
      </c>
      <c r="I2448" s="2" t="s">
        <v>6212</v>
      </c>
      <c r="J2448" s="3" t="str">
        <f>HYPERLINK("https://www.boe.es/gazeta/dias/1815/07/25/pdfs/GMD-1815-91.pdf#page=8","Abrir facsímil")</f>
        <v>Abrir facsímil</v>
      </c>
      <c r="K2448" s="3" t="s">
        <v>74</v>
      </c>
    </row>
    <row r="2449" spans="1:11" ht="42" customHeight="1">
      <c r="A2449" s="2" t="s">
        <v>6213</v>
      </c>
      <c r="B2449" s="2" t="s">
        <v>6214</v>
      </c>
      <c r="C2449" s="2" t="s">
        <v>31</v>
      </c>
      <c r="D2449" s="2" t="s">
        <v>32</v>
      </c>
      <c r="E2449" s="5">
        <v>-30748</v>
      </c>
      <c r="F2449" s="3" t="s">
        <v>2077</v>
      </c>
      <c r="G2449" s="3" t="s">
        <v>38</v>
      </c>
      <c r="H2449" s="2" t="s">
        <v>72</v>
      </c>
      <c r="I2449" s="2" t="s">
        <v>6215</v>
      </c>
      <c r="J2449" s="3" t="str">
        <f>HYPERLINK("https://www.boe.es/gazeta/dias/1815/10/24/pdfs/GMD-1815-133.pdf#page=8","Abrir facsímil")</f>
        <v>Abrir facsímil</v>
      </c>
      <c r="K2449" s="3" t="s">
        <v>74</v>
      </c>
    </row>
    <row r="2450" spans="1:11" ht="42" customHeight="1">
      <c r="A2450" s="2" t="s">
        <v>6216</v>
      </c>
      <c r="B2450" s="2" t="s">
        <v>6217</v>
      </c>
      <c r="C2450" s="2" t="s">
        <v>49</v>
      </c>
      <c r="D2450" s="2" t="s">
        <v>50</v>
      </c>
      <c r="E2450" s="5">
        <v>-30839</v>
      </c>
      <c r="F2450" s="3" t="s">
        <v>616</v>
      </c>
      <c r="G2450" s="3" t="s">
        <v>71</v>
      </c>
      <c r="H2450" s="2" t="s">
        <v>72</v>
      </c>
      <c r="I2450" s="2" t="s">
        <v>6218</v>
      </c>
      <c r="J2450" s="3" t="str">
        <f>HYPERLINK("https://www.boe.es/gazeta/dias/1815/07/25/pdfs/GMD-1815-91.pdf#page=7","Abrir facsímil")</f>
        <v>Abrir facsímil</v>
      </c>
      <c r="K2450" s="3" t="s">
        <v>74</v>
      </c>
    </row>
    <row r="2451" spans="1:11" ht="42" customHeight="1">
      <c r="A2451" s="2" t="s">
        <v>6219</v>
      </c>
      <c r="B2451" s="2" t="s">
        <v>6220</v>
      </c>
      <c r="C2451" s="2" t="s">
        <v>49</v>
      </c>
      <c r="D2451" s="2" t="s">
        <v>50</v>
      </c>
      <c r="E2451" s="5">
        <v>-30818</v>
      </c>
      <c r="F2451" s="3" t="s">
        <v>334</v>
      </c>
      <c r="G2451" s="3" t="s">
        <v>224</v>
      </c>
      <c r="H2451" s="2" t="s">
        <v>72</v>
      </c>
      <c r="I2451" s="2" t="s">
        <v>6221</v>
      </c>
      <c r="J2451" s="3" t="str">
        <f>HYPERLINK("https://www.boe.es/gazeta/dias/1815/08/15/pdfs/GMD-1815-100.pdf#page=9","Abrir facsímil")</f>
        <v>Abrir facsímil</v>
      </c>
      <c r="K2451" s="3" t="s">
        <v>74</v>
      </c>
    </row>
    <row r="2452" spans="1:11" ht="42" customHeight="1">
      <c r="A2452" s="2" t="s">
        <v>6222</v>
      </c>
      <c r="B2452" s="2" t="s">
        <v>6223</v>
      </c>
      <c r="C2452" s="2" t="s">
        <v>49</v>
      </c>
      <c r="D2452" s="2" t="s">
        <v>50</v>
      </c>
      <c r="E2452" s="5">
        <v>-30886</v>
      </c>
      <c r="F2452" s="3" t="s">
        <v>140</v>
      </c>
      <c r="G2452" s="3" t="s">
        <v>38</v>
      </c>
      <c r="H2452" s="2" t="s">
        <v>72</v>
      </c>
      <c r="I2452" s="2" t="s">
        <v>6224</v>
      </c>
      <c r="J2452" s="3" t="str">
        <f>HYPERLINK("https://www.boe.es/gazeta/dias/1815/06/08/pdfs/GMD-1815-69.pdf#page=8","Abrir facsímil")</f>
        <v>Abrir facsímil</v>
      </c>
      <c r="K2452" s="3" t="s">
        <v>74</v>
      </c>
    </row>
    <row r="2453" spans="1:11" ht="42" customHeight="1">
      <c r="A2453" s="2" t="s">
        <v>6225</v>
      </c>
      <c r="B2453" s="2" t="s">
        <v>6226</v>
      </c>
      <c r="C2453" s="2" t="s">
        <v>17</v>
      </c>
      <c r="D2453" s="2" t="s">
        <v>18</v>
      </c>
      <c r="E2453" s="5">
        <v>-30818</v>
      </c>
      <c r="F2453" s="3" t="s">
        <v>334</v>
      </c>
      <c r="G2453" s="3" t="s">
        <v>52</v>
      </c>
      <c r="H2453" s="2" t="s">
        <v>72</v>
      </c>
      <c r="I2453" s="2" t="s">
        <v>6227</v>
      </c>
      <c r="J2453" s="3" t="str">
        <f>HYPERLINK("https://www.boe.es/gazeta/dias/1815/08/15/pdfs/GMD-1815-100.pdf#page=11","Abrir facsímil")</f>
        <v>Abrir facsímil</v>
      </c>
      <c r="K2453" s="3" t="s">
        <v>74</v>
      </c>
    </row>
    <row r="2454" spans="1:11" ht="42" customHeight="1">
      <c r="A2454" s="2" t="s">
        <v>6228</v>
      </c>
      <c r="B2454" s="2" t="s">
        <v>6229</v>
      </c>
      <c r="C2454" s="2" t="s">
        <v>31</v>
      </c>
      <c r="D2454" s="2" t="s">
        <v>32</v>
      </c>
      <c r="E2454" s="5">
        <v>-30907</v>
      </c>
      <c r="F2454" s="3" t="s">
        <v>301</v>
      </c>
      <c r="G2454" s="3" t="s">
        <v>71</v>
      </c>
      <c r="H2454" s="2" t="s">
        <v>72</v>
      </c>
      <c r="I2454" s="2" t="s">
        <v>6230</v>
      </c>
      <c r="J2454" s="3" t="str">
        <f>HYPERLINK("https://www.boe.es/gazeta/dias/1815/05/18/pdfs/GMD-1815-60.pdf#page=7","Abrir facsímil")</f>
        <v>Abrir facsímil</v>
      </c>
      <c r="K2454" s="3" t="s">
        <v>74</v>
      </c>
    </row>
    <row r="2455" spans="1:11" ht="42" customHeight="1">
      <c r="A2455" s="2" t="s">
        <v>6231</v>
      </c>
      <c r="B2455" s="2" t="s">
        <v>6231</v>
      </c>
      <c r="C2455" s="2" t="s">
        <v>31</v>
      </c>
      <c r="D2455" s="2" t="s">
        <v>32</v>
      </c>
      <c r="E2455" s="5">
        <v>-30849</v>
      </c>
      <c r="F2455" s="3" t="s">
        <v>501</v>
      </c>
      <c r="G2455" s="3" t="s">
        <v>71</v>
      </c>
      <c r="H2455" s="2" t="s">
        <v>72</v>
      </c>
      <c r="I2455" s="2" t="s">
        <v>6232</v>
      </c>
      <c r="J2455" s="3" t="str">
        <f>HYPERLINK("https://www.boe.es/gazeta/dias/1815/07/15/pdfs/GMD-1815-87.pdf#page=7","Abrir facsímil")</f>
        <v>Abrir facsímil</v>
      </c>
      <c r="K2455" s="3" t="s">
        <v>74</v>
      </c>
    </row>
    <row r="2456" spans="1:11" ht="42" customHeight="1">
      <c r="A2456" s="2" t="s">
        <v>6233</v>
      </c>
      <c r="B2456" s="2" t="s">
        <v>6234</v>
      </c>
      <c r="C2456" s="2" t="s">
        <v>49</v>
      </c>
      <c r="D2456" s="2" t="s">
        <v>50</v>
      </c>
      <c r="E2456" s="5">
        <v>-30767</v>
      </c>
      <c r="F2456" s="3" t="s">
        <v>228</v>
      </c>
      <c r="G2456" s="3" t="s">
        <v>88</v>
      </c>
      <c r="H2456" s="2" t="s">
        <v>72</v>
      </c>
      <c r="I2456" s="2" t="s">
        <v>6235</v>
      </c>
      <c r="J2456" s="3" t="str">
        <f>HYPERLINK("https://www.boe.es/gazeta/dias/1815/10/05/pdfs/GMD-1815-125.pdf#page=10","Abrir facsímil")</f>
        <v>Abrir facsímil</v>
      </c>
      <c r="K2456" s="3" t="s">
        <v>74</v>
      </c>
    </row>
    <row r="2457" spans="1:11" ht="42" customHeight="1">
      <c r="A2457" s="2" t="s">
        <v>6236</v>
      </c>
      <c r="B2457" s="2" t="s">
        <v>6237</v>
      </c>
      <c r="C2457" s="2" t="s">
        <v>49</v>
      </c>
      <c r="D2457" s="2" t="s">
        <v>50</v>
      </c>
      <c r="E2457" s="5">
        <v>-30888</v>
      </c>
      <c r="F2457" s="3" t="s">
        <v>368</v>
      </c>
      <c r="G2457" s="3" t="s">
        <v>38</v>
      </c>
      <c r="H2457" s="2" t="s">
        <v>72</v>
      </c>
      <c r="I2457" s="2" t="s">
        <v>6238</v>
      </c>
      <c r="J2457" s="3" t="str">
        <f>HYPERLINK("https://www.boe.es/gazeta/dias/1815/06/06/pdfs/GMD-1815-68.pdf#page=8","Abrir facsímil")</f>
        <v>Abrir facsímil</v>
      </c>
      <c r="K2457" s="3" t="s">
        <v>74</v>
      </c>
    </row>
    <row r="2458" spans="1:11" ht="42" customHeight="1">
      <c r="A2458" s="2" t="s">
        <v>6239</v>
      </c>
      <c r="B2458" s="2" t="s">
        <v>6239</v>
      </c>
      <c r="C2458" s="2" t="s">
        <v>31</v>
      </c>
      <c r="D2458" s="2" t="s">
        <v>32</v>
      </c>
      <c r="E2458" s="5">
        <v>-31007</v>
      </c>
      <c r="F2458" s="3" t="s">
        <v>200</v>
      </c>
      <c r="G2458" s="3" t="s">
        <v>71</v>
      </c>
      <c r="H2458" s="2" t="s">
        <v>72</v>
      </c>
      <c r="I2458" s="2" t="s">
        <v>6240</v>
      </c>
      <c r="J2458" s="3" t="str">
        <f>HYPERLINK("https://www.boe.es/gazeta/dias/1815/02/07/pdfs/GMD-1815-16.pdf#page=7","Abrir facsímil")</f>
        <v>Abrir facsímil</v>
      </c>
      <c r="K2458" s="3" t="s">
        <v>74</v>
      </c>
    </row>
    <row r="2459" spans="1:11" ht="42" customHeight="1">
      <c r="A2459" s="2" t="s">
        <v>6241</v>
      </c>
      <c r="B2459" s="2" t="s">
        <v>6242</v>
      </c>
      <c r="C2459" s="2" t="s">
        <v>17</v>
      </c>
      <c r="D2459" s="2" t="s">
        <v>18</v>
      </c>
      <c r="E2459" s="5">
        <v>-30720</v>
      </c>
      <c r="F2459" s="3" t="s">
        <v>373</v>
      </c>
      <c r="G2459" s="3" t="s">
        <v>224</v>
      </c>
      <c r="H2459" s="2" t="s">
        <v>72</v>
      </c>
      <c r="I2459" s="2" t="s">
        <v>6243</v>
      </c>
      <c r="J2459" s="3" t="str">
        <f>HYPERLINK("https://www.boe.es/gazeta/dias/1815/11/21/pdfs/GMD-1815-145.pdf#page=9","Abrir facsímil")</f>
        <v>Abrir facsímil</v>
      </c>
      <c r="K2459" s="3" t="s">
        <v>74</v>
      </c>
    </row>
    <row r="2460" spans="1:11" ht="42" customHeight="1">
      <c r="A2460" s="2" t="s">
        <v>6244</v>
      </c>
      <c r="B2460" s="2" t="s">
        <v>6245</v>
      </c>
      <c r="C2460" s="2" t="s">
        <v>195</v>
      </c>
      <c r="D2460" s="2" t="s">
        <v>50</v>
      </c>
      <c r="E2460" s="5">
        <v>-31042</v>
      </c>
      <c r="F2460" s="3" t="s">
        <v>512</v>
      </c>
      <c r="G2460" s="3" t="s">
        <v>38</v>
      </c>
      <c r="H2460" s="2" t="s">
        <v>72</v>
      </c>
      <c r="I2460" s="2" t="s">
        <v>6246</v>
      </c>
      <c r="J2460" s="3" t="str">
        <f>HYPERLINK("https://www.boe.es/gazeta/dias/1815/01/03/pdfs/GMD-1815-1.pdf#page=8","Abrir facsímil")</f>
        <v>Abrir facsímil</v>
      </c>
      <c r="K2460" s="3" t="s">
        <v>74</v>
      </c>
    </row>
    <row r="2461" spans="1:11" ht="42" customHeight="1">
      <c r="A2461" s="2" t="s">
        <v>6247</v>
      </c>
      <c r="B2461" s="2" t="s">
        <v>6248</v>
      </c>
      <c r="C2461" s="2" t="s">
        <v>195</v>
      </c>
      <c r="D2461" s="2" t="s">
        <v>50</v>
      </c>
      <c r="E2461" s="5">
        <v>-30996</v>
      </c>
      <c r="F2461" s="3" t="s">
        <v>289</v>
      </c>
      <c r="G2461" s="3" t="s">
        <v>57</v>
      </c>
      <c r="H2461" s="2" t="s">
        <v>72</v>
      </c>
      <c r="I2461" s="2" t="s">
        <v>6249</v>
      </c>
      <c r="J2461" s="3" t="str">
        <f>HYPERLINK("https://www.boe.es/gazeta/dias/1815/02/18/pdfs/GMD-1815-21.pdf#page=5","Abrir facsímil")</f>
        <v>Abrir facsímil</v>
      </c>
      <c r="K2461" s="3" t="s">
        <v>74</v>
      </c>
    </row>
    <row r="2462" spans="1:11" ht="42" customHeight="1">
      <c r="A2462" s="2" t="s">
        <v>6250</v>
      </c>
      <c r="B2462" s="2" t="s">
        <v>6251</v>
      </c>
      <c r="C2462" s="2" t="s">
        <v>49</v>
      </c>
      <c r="D2462" s="2" t="s">
        <v>50</v>
      </c>
      <c r="E2462" s="5">
        <v>-30886</v>
      </c>
      <c r="F2462" s="3" t="s">
        <v>140</v>
      </c>
      <c r="G2462" s="3" t="s">
        <v>88</v>
      </c>
      <c r="H2462" s="2" t="s">
        <v>72</v>
      </c>
      <c r="I2462" s="2" t="s">
        <v>6252</v>
      </c>
      <c r="J2462" s="3" t="str">
        <f>HYPERLINK("https://www.boe.es/gazeta/dias/1815/06/08/pdfs/GMD-1815-69.pdf#page=10","Abrir facsímil")</f>
        <v>Abrir facsímil</v>
      </c>
      <c r="K2462" s="3" t="s">
        <v>74</v>
      </c>
    </row>
    <row r="2463" spans="1:11" ht="42" customHeight="1">
      <c r="A2463" s="2" t="s">
        <v>6253</v>
      </c>
      <c r="B2463" s="2" t="s">
        <v>6253</v>
      </c>
      <c r="C2463" s="2" t="s">
        <v>31</v>
      </c>
      <c r="D2463" s="2" t="s">
        <v>32</v>
      </c>
      <c r="E2463" s="5">
        <v>-31033</v>
      </c>
      <c r="F2463" s="3" t="s">
        <v>493</v>
      </c>
      <c r="G2463" s="3" t="s">
        <v>377</v>
      </c>
      <c r="H2463" s="2" t="s">
        <v>72</v>
      </c>
      <c r="I2463" s="2" t="s">
        <v>6254</v>
      </c>
      <c r="J2463" s="3" t="str">
        <f>HYPERLINK("https://www.boe.es/gazeta/dias/1815/01/12/pdfs/GMD-1815-5.pdf#page=2","Abrir facsímil")</f>
        <v>Abrir facsímil</v>
      </c>
      <c r="K2463" s="3" t="s">
        <v>74</v>
      </c>
    </row>
    <row r="2464" spans="1:11" ht="42" customHeight="1">
      <c r="A2464" s="2" t="s">
        <v>6255</v>
      </c>
      <c r="B2464" s="2" t="s">
        <v>6256</v>
      </c>
      <c r="C2464" s="2" t="s">
        <v>195</v>
      </c>
      <c r="D2464" s="2" t="s">
        <v>50</v>
      </c>
      <c r="E2464" s="5">
        <v>-31000</v>
      </c>
      <c r="F2464" s="3" t="s">
        <v>70</v>
      </c>
      <c r="G2464" s="3" t="s">
        <v>71</v>
      </c>
      <c r="H2464" s="2" t="s">
        <v>72</v>
      </c>
      <c r="I2464" s="2" t="s">
        <v>6257</v>
      </c>
      <c r="J2464" s="3" t="str">
        <f>HYPERLINK("https://www.boe.es/gazeta/dias/1815/02/14/pdfs/GMD-1815-19.pdf#page=7","Abrir facsímil")</f>
        <v>Abrir facsímil</v>
      </c>
      <c r="K2464" s="3" t="s">
        <v>74</v>
      </c>
    </row>
    <row r="2465" spans="1:11" ht="42" customHeight="1">
      <c r="A2465" s="2" t="s">
        <v>6258</v>
      </c>
      <c r="B2465" s="2" t="s">
        <v>6259</v>
      </c>
      <c r="C2465" s="2" t="s">
        <v>49</v>
      </c>
      <c r="D2465" s="2" t="s">
        <v>50</v>
      </c>
      <c r="E2465" s="5">
        <v>-31040</v>
      </c>
      <c r="F2465" s="3" t="s">
        <v>326</v>
      </c>
      <c r="G2465" s="3" t="s">
        <v>27</v>
      </c>
      <c r="H2465" s="2" t="s">
        <v>72</v>
      </c>
      <c r="I2465" s="2" t="s">
        <v>6260</v>
      </c>
      <c r="J2465" s="3" t="str">
        <f>HYPERLINK("https://www.boe.es/gazeta/dias/1815/01/05/pdfs/GMD-1815-2.pdf#page=6","Abrir facsímil")</f>
        <v>Abrir facsímil</v>
      </c>
      <c r="K2465" s="3" t="s">
        <v>74</v>
      </c>
    </row>
    <row r="2466" spans="1:11" ht="42" customHeight="1">
      <c r="A2466" s="2" t="s">
        <v>6261</v>
      </c>
      <c r="B2466" s="2" t="s">
        <v>6262</v>
      </c>
      <c r="C2466" s="2" t="s">
        <v>31</v>
      </c>
      <c r="D2466" s="2" t="s">
        <v>32</v>
      </c>
      <c r="E2466" s="5">
        <v>-30872</v>
      </c>
      <c r="F2466" s="3" t="s">
        <v>167</v>
      </c>
      <c r="G2466" s="3" t="s">
        <v>224</v>
      </c>
      <c r="H2466" s="2" t="s">
        <v>72</v>
      </c>
      <c r="I2466" s="2" t="s">
        <v>6263</v>
      </c>
      <c r="J2466" s="3" t="str">
        <f>HYPERLINK("https://www.boe.es/gazeta/dias/1815/06/22/pdfs/GMD-1815-75.pdf#page=9","Abrir facsímil")</f>
        <v>Abrir facsímil</v>
      </c>
      <c r="K2466" s="3" t="s">
        <v>74</v>
      </c>
    </row>
    <row r="2467" spans="1:11" ht="42" customHeight="1">
      <c r="A2467" s="2" t="s">
        <v>6264</v>
      </c>
      <c r="B2467" s="2" t="s">
        <v>6265</v>
      </c>
      <c r="C2467" s="2" t="s">
        <v>61</v>
      </c>
      <c r="D2467" s="2" t="s">
        <v>50</v>
      </c>
      <c r="E2467" s="5">
        <v>-31028</v>
      </c>
      <c r="F2467" s="3" t="s">
        <v>517</v>
      </c>
      <c r="G2467" s="3" t="s">
        <v>276</v>
      </c>
      <c r="H2467" s="2" t="s">
        <v>72</v>
      </c>
      <c r="I2467" s="2" t="s">
        <v>6266</v>
      </c>
      <c r="J2467" s="3" t="str">
        <f>HYPERLINK("https://www.boe.es/gazeta/dias/1815/01/17/pdfs/GMD-1815-7.pdf#page=12","Abrir facsímil")</f>
        <v>Abrir facsímil</v>
      </c>
      <c r="K2467" s="3" t="s">
        <v>74</v>
      </c>
    </row>
    <row r="2468" spans="1:11" ht="42" customHeight="1">
      <c r="A2468" s="2" t="s">
        <v>6267</v>
      </c>
      <c r="B2468" s="2" t="s">
        <v>6268</v>
      </c>
      <c r="C2468" s="2" t="s">
        <v>17</v>
      </c>
      <c r="D2468" s="2" t="s">
        <v>18</v>
      </c>
      <c r="E2468" s="5">
        <v>-30772</v>
      </c>
      <c r="F2468" s="3" t="s">
        <v>216</v>
      </c>
      <c r="G2468" s="3" t="s">
        <v>27</v>
      </c>
      <c r="H2468" s="2" t="s">
        <v>72</v>
      </c>
      <c r="I2468" s="2" t="s">
        <v>6269</v>
      </c>
      <c r="J2468" s="3" t="str">
        <f>HYPERLINK("https://www.boe.es/gazeta/dias/1815/09/30/pdfs/GMD-1815-123.pdf#page=6","Abrir facsímil")</f>
        <v>Abrir facsímil</v>
      </c>
      <c r="K2468" s="3" t="s">
        <v>74</v>
      </c>
    </row>
    <row r="2469" spans="1:11" ht="42" customHeight="1">
      <c r="A2469" s="2" t="s">
        <v>6270</v>
      </c>
      <c r="B2469" s="2" t="s">
        <v>6271</v>
      </c>
      <c r="C2469" s="2" t="s">
        <v>31</v>
      </c>
      <c r="D2469" s="2" t="s">
        <v>32</v>
      </c>
      <c r="E2469" s="5">
        <v>-30977</v>
      </c>
      <c r="F2469" s="3" t="s">
        <v>37</v>
      </c>
      <c r="G2469" s="3" t="s">
        <v>71</v>
      </c>
      <c r="H2469" s="2" t="s">
        <v>72</v>
      </c>
      <c r="I2469" s="2" t="s">
        <v>6272</v>
      </c>
      <c r="J2469" s="3" t="str">
        <f>HYPERLINK("https://www.boe.es/gazeta/dias/1815/03/09/pdfs/GMD-1815-29.pdf#page=7","Abrir facsímil")</f>
        <v>Abrir facsímil</v>
      </c>
      <c r="K2469" s="3" t="s">
        <v>74</v>
      </c>
    </row>
    <row r="2470" spans="1:11" ht="42" customHeight="1">
      <c r="A2470" s="2" t="s">
        <v>6273</v>
      </c>
      <c r="B2470" s="2" t="s">
        <v>6274</v>
      </c>
      <c r="C2470" s="2" t="s">
        <v>49</v>
      </c>
      <c r="D2470" s="2" t="s">
        <v>50</v>
      </c>
      <c r="E2470" s="5">
        <v>-30741</v>
      </c>
      <c r="F2470" s="3" t="s">
        <v>1000</v>
      </c>
      <c r="G2470" s="3" t="s">
        <v>38</v>
      </c>
      <c r="H2470" s="2" t="s">
        <v>72</v>
      </c>
      <c r="I2470" s="2" t="s">
        <v>6275</v>
      </c>
      <c r="J2470" s="3" t="str">
        <f>HYPERLINK("https://www.boe.es/gazeta/dias/1815/10/31/pdfs/GMD-1815-136.pdf#page=8","Abrir facsímil")</f>
        <v>Abrir facsímil</v>
      </c>
      <c r="K2470" s="3" t="s">
        <v>74</v>
      </c>
    </row>
    <row r="2471" spans="1:11" ht="42" customHeight="1">
      <c r="A2471" s="2" t="s">
        <v>6276</v>
      </c>
      <c r="B2471" s="2" t="s">
        <v>6277</v>
      </c>
      <c r="C2471" s="2" t="s">
        <v>31</v>
      </c>
      <c r="D2471" s="2" t="s">
        <v>32</v>
      </c>
      <c r="E2471" s="5">
        <v>-30907</v>
      </c>
      <c r="F2471" s="3" t="s">
        <v>301</v>
      </c>
      <c r="G2471" s="3" t="s">
        <v>71</v>
      </c>
      <c r="H2471" s="2" t="s">
        <v>72</v>
      </c>
      <c r="I2471" s="2" t="s">
        <v>6278</v>
      </c>
      <c r="J2471" s="3" t="str">
        <f>HYPERLINK("https://www.boe.es/gazeta/dias/1815/05/18/pdfs/GMD-1815-60.pdf#page=7","Abrir facsímil")</f>
        <v>Abrir facsímil</v>
      </c>
      <c r="K2471" s="3" t="s">
        <v>74</v>
      </c>
    </row>
    <row r="2472" spans="1:11" ht="42" customHeight="1">
      <c r="A2472" s="2" t="s">
        <v>6279</v>
      </c>
      <c r="B2472" s="2" t="s">
        <v>6280</v>
      </c>
      <c r="C2472" s="2" t="s">
        <v>31</v>
      </c>
      <c r="D2472" s="2" t="s">
        <v>32</v>
      </c>
      <c r="E2472" s="5">
        <v>-30958</v>
      </c>
      <c r="F2472" s="3" t="s">
        <v>297</v>
      </c>
      <c r="G2472" s="3" t="s">
        <v>57</v>
      </c>
      <c r="H2472" s="2" t="s">
        <v>72</v>
      </c>
      <c r="I2472" s="2" t="s">
        <v>6281</v>
      </c>
      <c r="J2472" s="3" t="str">
        <f>HYPERLINK("https://www.boe.es/gazeta/dias/1815/03/28/pdfs/GMD-1815-37.pdf#page=5","Abrir facsímil")</f>
        <v>Abrir facsímil</v>
      </c>
      <c r="K2472" s="3" t="s">
        <v>74</v>
      </c>
    </row>
    <row r="2473" spans="1:11" ht="42" customHeight="1">
      <c r="A2473" s="2" t="s">
        <v>6282</v>
      </c>
      <c r="B2473" s="2" t="s">
        <v>6283</v>
      </c>
      <c r="C2473" s="2" t="s">
        <v>31</v>
      </c>
      <c r="D2473" s="2" t="s">
        <v>32</v>
      </c>
      <c r="E2473" s="5">
        <v>-30823</v>
      </c>
      <c r="F2473" s="3" t="s">
        <v>305</v>
      </c>
      <c r="G2473" s="3" t="s">
        <v>306</v>
      </c>
      <c r="H2473" s="2" t="s">
        <v>72</v>
      </c>
      <c r="I2473" s="2" t="s">
        <v>6284</v>
      </c>
      <c r="J2473" s="3" t="str">
        <f>HYPERLINK("https://www.boe.es/gazeta/dias/1815/08/10/pdfs/GMD-1815-98.pdf#page=7","Abrir facsímil")</f>
        <v>Abrir facsímil</v>
      </c>
      <c r="K2473" s="3" t="s">
        <v>74</v>
      </c>
    </row>
    <row r="2474" spans="1:11" ht="42" customHeight="1">
      <c r="A2474" s="2" t="s">
        <v>6285</v>
      </c>
      <c r="B2474" s="2" t="s">
        <v>6286</v>
      </c>
      <c r="C2474" s="2" t="s">
        <v>195</v>
      </c>
      <c r="D2474" s="2" t="s">
        <v>50</v>
      </c>
      <c r="E2474" s="5">
        <v>-31000</v>
      </c>
      <c r="F2474" s="3" t="s">
        <v>70</v>
      </c>
      <c r="G2474" s="3" t="s">
        <v>71</v>
      </c>
      <c r="H2474" s="2" t="s">
        <v>72</v>
      </c>
      <c r="I2474" s="2" t="s">
        <v>6287</v>
      </c>
      <c r="J2474" s="3" t="str">
        <f>HYPERLINK("https://www.boe.es/gazeta/dias/1815/02/14/pdfs/GMD-1815-19.pdf#page=7","Abrir facsímil")</f>
        <v>Abrir facsímil</v>
      </c>
      <c r="K2474" s="3" t="s">
        <v>74</v>
      </c>
    </row>
    <row r="2475" spans="1:11" ht="42" customHeight="1">
      <c r="A2475" s="2" t="s">
        <v>6288</v>
      </c>
      <c r="B2475" s="2" t="s">
        <v>6289</v>
      </c>
      <c r="C2475" s="2" t="s">
        <v>31</v>
      </c>
      <c r="D2475" s="2" t="s">
        <v>32</v>
      </c>
      <c r="E2475" s="5">
        <v>-30821</v>
      </c>
      <c r="F2475" s="3" t="s">
        <v>915</v>
      </c>
      <c r="G2475" s="3" t="s">
        <v>38</v>
      </c>
      <c r="H2475" s="2" t="s">
        <v>72</v>
      </c>
      <c r="I2475" s="2" t="s">
        <v>6290</v>
      </c>
      <c r="J2475" s="3" t="str">
        <f>HYPERLINK("https://www.boe.es/gazeta/dias/1815/08/12/pdfs/GMD-1815-99.pdf#page=8","Abrir facsímil")</f>
        <v>Abrir facsímil</v>
      </c>
      <c r="K2475" s="3" t="s">
        <v>74</v>
      </c>
    </row>
    <row r="2476" spans="1:11" ht="42" customHeight="1">
      <c r="A2476" s="2" t="s">
        <v>6291</v>
      </c>
      <c r="B2476" s="2" t="s">
        <v>6292</v>
      </c>
      <c r="C2476" s="2" t="s">
        <v>49</v>
      </c>
      <c r="D2476" s="2" t="s">
        <v>50</v>
      </c>
      <c r="E2476" s="5">
        <v>-30767</v>
      </c>
      <c r="F2476" s="3" t="s">
        <v>228</v>
      </c>
      <c r="G2476" s="3" t="s">
        <v>88</v>
      </c>
      <c r="H2476" s="2" t="s">
        <v>72</v>
      </c>
      <c r="I2476" s="2" t="s">
        <v>6293</v>
      </c>
      <c r="J2476" s="3" t="str">
        <f>HYPERLINK("https://www.boe.es/gazeta/dias/1815/10/05/pdfs/GMD-1815-125.pdf#page=10","Abrir facsímil")</f>
        <v>Abrir facsímil</v>
      </c>
      <c r="K2476" s="3" t="s">
        <v>74</v>
      </c>
    </row>
    <row r="2477" spans="1:11" ht="42" customHeight="1">
      <c r="A2477" s="2" t="s">
        <v>6294</v>
      </c>
      <c r="B2477" s="2" t="s">
        <v>6295</v>
      </c>
      <c r="C2477" s="2" t="s">
        <v>49</v>
      </c>
      <c r="D2477" s="2" t="s">
        <v>50</v>
      </c>
      <c r="E2477" s="5">
        <v>-31003</v>
      </c>
      <c r="F2477" s="3" t="s">
        <v>405</v>
      </c>
      <c r="G2477" s="3" t="s">
        <v>27</v>
      </c>
      <c r="H2477" s="2" t="s">
        <v>72</v>
      </c>
      <c r="I2477" s="2" t="s">
        <v>6296</v>
      </c>
      <c r="J2477" s="3" t="str">
        <f>HYPERLINK("https://www.boe.es/gazeta/dias/1815/02/11/pdfs/GMD-1815-18.pdf#page=6","Abrir facsímil")</f>
        <v>Abrir facsímil</v>
      </c>
      <c r="K2477" s="3" t="s">
        <v>74</v>
      </c>
    </row>
    <row r="2478" spans="1:11" ht="42" customHeight="1">
      <c r="A2478" s="2" t="s">
        <v>6297</v>
      </c>
      <c r="B2478" s="2" t="s">
        <v>6298</v>
      </c>
      <c r="C2478" s="2" t="s">
        <v>49</v>
      </c>
      <c r="D2478" s="2" t="s">
        <v>50</v>
      </c>
      <c r="E2478" s="5">
        <v>-30713</v>
      </c>
      <c r="F2478" s="3" t="s">
        <v>895</v>
      </c>
      <c r="G2478" s="3" t="s">
        <v>71</v>
      </c>
      <c r="H2478" s="2" t="s">
        <v>72</v>
      </c>
      <c r="I2478" s="2" t="s">
        <v>6299</v>
      </c>
      <c r="J2478" s="3" t="str">
        <f>HYPERLINK("https://www.boe.es/gazeta/dias/1815/11/28/pdfs/GMD-1815-148.pdf#page=7","Abrir facsímil")</f>
        <v>Abrir facsímil</v>
      </c>
      <c r="K2478" s="3" t="s">
        <v>74</v>
      </c>
    </row>
    <row r="2479" spans="1:11" ht="42" customHeight="1">
      <c r="A2479" s="2" t="s">
        <v>6300</v>
      </c>
      <c r="B2479" s="2" t="s">
        <v>6301</v>
      </c>
      <c r="C2479" s="2" t="s">
        <v>31</v>
      </c>
      <c r="D2479" s="2" t="s">
        <v>32</v>
      </c>
      <c r="E2479" s="5">
        <v>-30958</v>
      </c>
      <c r="F2479" s="3" t="s">
        <v>297</v>
      </c>
      <c r="G2479" s="3" t="s">
        <v>57</v>
      </c>
      <c r="H2479" s="2" t="s">
        <v>72</v>
      </c>
      <c r="I2479" s="2" t="s">
        <v>6302</v>
      </c>
      <c r="J2479" s="3" t="str">
        <f>HYPERLINK("https://www.boe.es/gazeta/dias/1815/03/28/pdfs/GMD-1815-37.pdf#page=5","Abrir facsímil")</f>
        <v>Abrir facsímil</v>
      </c>
      <c r="K2479" s="3" t="s">
        <v>74</v>
      </c>
    </row>
    <row r="2480" spans="1:11" ht="42" customHeight="1">
      <c r="A2480" s="2" t="s">
        <v>6303</v>
      </c>
      <c r="B2480" s="2" t="s">
        <v>6304</v>
      </c>
      <c r="C2480" s="2" t="s">
        <v>31</v>
      </c>
      <c r="D2480" s="2" t="s">
        <v>32</v>
      </c>
      <c r="E2480" s="5">
        <v>-30870</v>
      </c>
      <c r="F2480" s="3" t="s">
        <v>122</v>
      </c>
      <c r="G2480" s="3" t="s">
        <v>88</v>
      </c>
      <c r="H2480" s="2" t="s">
        <v>72</v>
      </c>
      <c r="I2480" s="2" t="s">
        <v>6305</v>
      </c>
      <c r="J2480" s="3" t="str">
        <f>HYPERLINK("https://www.boe.es/gazeta/dias/1815/06/24/pdfs/GMD-1815-76.pdf#page=10","Abrir facsímil")</f>
        <v>Abrir facsímil</v>
      </c>
      <c r="K2480" s="3" t="s">
        <v>74</v>
      </c>
    </row>
    <row r="2481" spans="1:11" ht="42" customHeight="1">
      <c r="A2481" s="2" t="s">
        <v>6306</v>
      </c>
      <c r="B2481" s="2" t="s">
        <v>6307</v>
      </c>
      <c r="C2481" s="2" t="s">
        <v>31</v>
      </c>
      <c r="D2481" s="2" t="s">
        <v>32</v>
      </c>
      <c r="E2481" s="5">
        <v>-30886</v>
      </c>
      <c r="F2481" s="3" t="s">
        <v>140</v>
      </c>
      <c r="G2481" s="3" t="s">
        <v>88</v>
      </c>
      <c r="H2481" s="2" t="s">
        <v>72</v>
      </c>
      <c r="I2481" s="2" t="s">
        <v>6308</v>
      </c>
      <c r="J2481" s="3" t="str">
        <f>HYPERLINK("https://www.boe.es/gazeta/dias/1815/06/08/pdfs/GMD-1815-69.pdf#page=10","Abrir facsímil")</f>
        <v>Abrir facsímil</v>
      </c>
      <c r="K2481" s="3" t="s">
        <v>74</v>
      </c>
    </row>
    <row r="2482" spans="1:11" ht="42" customHeight="1">
      <c r="A2482" s="2" t="s">
        <v>6309</v>
      </c>
      <c r="B2482" s="2" t="s">
        <v>6310</v>
      </c>
      <c r="C2482" s="2" t="s">
        <v>31</v>
      </c>
      <c r="D2482" s="2" t="s">
        <v>32</v>
      </c>
      <c r="E2482" s="5">
        <v>-30685</v>
      </c>
      <c r="F2482" s="3" t="s">
        <v>1453</v>
      </c>
      <c r="G2482" s="3" t="s">
        <v>71</v>
      </c>
      <c r="H2482" s="2" t="s">
        <v>72</v>
      </c>
      <c r="I2482" s="2" t="s">
        <v>6311</v>
      </c>
      <c r="J2482" s="3" t="str">
        <f>HYPERLINK("https://www.boe.es/gazeta/dias/1815/12/26/pdfs/GMD-1815-160.pdf#page=7","Abrir facsímil")</f>
        <v>Abrir facsímil</v>
      </c>
      <c r="K2482" s="3" t="s">
        <v>74</v>
      </c>
    </row>
    <row r="2483" spans="1:11" ht="42" customHeight="1">
      <c r="A2483" s="2" t="s">
        <v>6312</v>
      </c>
      <c r="B2483" s="2" t="s">
        <v>6313</v>
      </c>
      <c r="C2483" s="2" t="s">
        <v>31</v>
      </c>
      <c r="D2483" s="2" t="s">
        <v>32</v>
      </c>
      <c r="E2483" s="5">
        <v>-31017</v>
      </c>
      <c r="F2483" s="3" t="s">
        <v>456</v>
      </c>
      <c r="G2483" s="3" t="s">
        <v>57</v>
      </c>
      <c r="H2483" s="2" t="s">
        <v>72</v>
      </c>
      <c r="I2483" s="2" t="s">
        <v>6314</v>
      </c>
      <c r="J2483" s="3" t="str">
        <f>HYPERLINK("https://www.boe.es/gazeta/dias/1815/01/28/pdfs/GMD-1815-12.pdf#page=5","Abrir facsímil")</f>
        <v>Abrir facsímil</v>
      </c>
      <c r="K2483" s="3" t="s">
        <v>74</v>
      </c>
    </row>
    <row r="2484" spans="1:11" ht="42" customHeight="1">
      <c r="A2484" s="2" t="s">
        <v>6315</v>
      </c>
      <c r="B2484" s="2" t="s">
        <v>6316</v>
      </c>
      <c r="C2484" s="2" t="s">
        <v>31</v>
      </c>
      <c r="D2484" s="2" t="s">
        <v>32</v>
      </c>
      <c r="E2484" s="5">
        <v>-31038</v>
      </c>
      <c r="F2484" s="3" t="s">
        <v>395</v>
      </c>
      <c r="G2484" s="3" t="s">
        <v>396</v>
      </c>
      <c r="H2484" s="2" t="s">
        <v>72</v>
      </c>
      <c r="I2484" s="2" t="s">
        <v>6317</v>
      </c>
      <c r="J2484" s="3" t="str">
        <f>HYPERLINK("https://www.boe.es/gazeta/dias/1815/01/07/pdfs/GMD-1815-3.pdf#page=5","Abrir facsímil")</f>
        <v>Abrir facsímil</v>
      </c>
      <c r="K2484" s="3" t="s">
        <v>74</v>
      </c>
    </row>
    <row r="2485" spans="1:11" ht="42" customHeight="1">
      <c r="A2485" s="2" t="s">
        <v>6318</v>
      </c>
      <c r="B2485" s="2" t="s">
        <v>6319</v>
      </c>
      <c r="C2485" s="2" t="s">
        <v>31</v>
      </c>
      <c r="D2485" s="2" t="s">
        <v>32</v>
      </c>
      <c r="E2485" s="5">
        <v>-31038</v>
      </c>
      <c r="F2485" s="3" t="s">
        <v>395</v>
      </c>
      <c r="G2485" s="3" t="s">
        <v>27</v>
      </c>
      <c r="H2485" s="2" t="s">
        <v>72</v>
      </c>
      <c r="I2485" s="2" t="s">
        <v>6320</v>
      </c>
      <c r="J2485" s="3" t="str">
        <f>HYPERLINK("https://www.boe.es/gazeta/dias/1815/01/07/pdfs/GMD-1815-3.pdf#page=6","Abrir facsímil")</f>
        <v>Abrir facsímil</v>
      </c>
      <c r="K2485" s="3" t="s">
        <v>74</v>
      </c>
    </row>
    <row r="2486" spans="1:11" ht="42" customHeight="1">
      <c r="A2486" s="2" t="s">
        <v>6321</v>
      </c>
      <c r="B2486" s="2" t="s">
        <v>6322</v>
      </c>
      <c r="C2486" s="2" t="s">
        <v>31</v>
      </c>
      <c r="D2486" s="2" t="s">
        <v>32</v>
      </c>
      <c r="E2486" s="5">
        <v>-31038</v>
      </c>
      <c r="F2486" s="3" t="s">
        <v>395</v>
      </c>
      <c r="G2486" s="3" t="s">
        <v>20</v>
      </c>
      <c r="H2486" s="2" t="s">
        <v>72</v>
      </c>
      <c r="I2486" s="2" t="s">
        <v>6323</v>
      </c>
      <c r="J2486" s="3" t="str">
        <f>HYPERLINK("https://www.boe.es/gazeta/dias/1815/01/07/pdfs/GMD-1815-3.pdf#page=4","Abrir facsímil")</f>
        <v>Abrir facsímil</v>
      </c>
      <c r="K2486" s="3" t="s">
        <v>74</v>
      </c>
    </row>
    <row r="2487" spans="1:11" ht="42" customHeight="1">
      <c r="A2487" s="2" t="s">
        <v>6324</v>
      </c>
      <c r="B2487" s="2" t="s">
        <v>6324</v>
      </c>
      <c r="C2487" s="2" t="s">
        <v>17</v>
      </c>
      <c r="D2487" s="2" t="s">
        <v>18</v>
      </c>
      <c r="E2487" s="5">
        <v>-30944</v>
      </c>
      <c r="F2487" s="3" t="s">
        <v>412</v>
      </c>
      <c r="G2487" s="3" t="s">
        <v>71</v>
      </c>
      <c r="H2487" s="2" t="s">
        <v>72</v>
      </c>
      <c r="I2487" s="2" t="s">
        <v>6325</v>
      </c>
      <c r="J2487" s="3" t="str">
        <f>HYPERLINK("https://www.boe.es/gazeta/dias/1815/04/11/pdfs/GMD-1815-44.pdf#page=7","Abrir facsímil")</f>
        <v>Abrir facsímil</v>
      </c>
      <c r="K2487" s="3" t="s">
        <v>74</v>
      </c>
    </row>
    <row r="2488" spans="1:11" ht="42" customHeight="1">
      <c r="A2488" s="2" t="s">
        <v>6326</v>
      </c>
      <c r="B2488" s="2" t="s">
        <v>6327</v>
      </c>
      <c r="C2488" s="2" t="s">
        <v>49</v>
      </c>
      <c r="D2488" s="2" t="s">
        <v>50</v>
      </c>
      <c r="E2488" s="5">
        <v>-30720</v>
      </c>
      <c r="F2488" s="3" t="s">
        <v>373</v>
      </c>
      <c r="G2488" s="3" t="s">
        <v>224</v>
      </c>
      <c r="H2488" s="2" t="s">
        <v>72</v>
      </c>
      <c r="I2488" s="2" t="s">
        <v>6328</v>
      </c>
      <c r="J2488" s="3" t="str">
        <f>HYPERLINK("https://www.boe.es/gazeta/dias/1815/11/21/pdfs/GMD-1815-145.pdf#page=9","Abrir facsímil")</f>
        <v>Abrir facsímil</v>
      </c>
      <c r="K2488" s="3" t="s">
        <v>74</v>
      </c>
    </row>
    <row r="2489" spans="1:11" ht="42" customHeight="1">
      <c r="A2489" s="2" t="s">
        <v>6329</v>
      </c>
      <c r="B2489" s="2" t="s">
        <v>6330</v>
      </c>
      <c r="C2489" s="2" t="s">
        <v>49</v>
      </c>
      <c r="D2489" s="2" t="s">
        <v>50</v>
      </c>
      <c r="E2489" s="5">
        <v>-30832</v>
      </c>
      <c r="F2489" s="3" t="s">
        <v>266</v>
      </c>
      <c r="G2489" s="3" t="s">
        <v>88</v>
      </c>
      <c r="H2489" s="2" t="s">
        <v>72</v>
      </c>
      <c r="I2489" s="2" t="s">
        <v>6331</v>
      </c>
      <c r="J2489" s="3" t="str">
        <f>HYPERLINK("https://www.boe.es/gazeta/dias/1815/08/01/pdfs/GMD-1815-94.pdf#page=10","Abrir facsímil")</f>
        <v>Abrir facsímil</v>
      </c>
      <c r="K2489" s="3" t="s">
        <v>74</v>
      </c>
    </row>
    <row r="2490" spans="1:11" ht="42" customHeight="1">
      <c r="A2490" s="2" t="s">
        <v>6332</v>
      </c>
      <c r="B2490" s="2" t="s">
        <v>6333</v>
      </c>
      <c r="C2490" s="2" t="s">
        <v>31</v>
      </c>
      <c r="D2490" s="2" t="s">
        <v>32</v>
      </c>
      <c r="E2490" s="5">
        <v>-30982</v>
      </c>
      <c r="F2490" s="3" t="s">
        <v>220</v>
      </c>
      <c r="G2490" s="3" t="s">
        <v>57</v>
      </c>
      <c r="H2490" s="2" t="s">
        <v>72</v>
      </c>
      <c r="I2490" s="2" t="s">
        <v>6334</v>
      </c>
      <c r="J2490" s="3" t="str">
        <f>HYPERLINK("https://www.boe.es/gazeta/dias/1815/03/04/pdfs/GMD-1815-27.pdf#page=5","Abrir facsímil")</f>
        <v>Abrir facsímil</v>
      </c>
      <c r="K2490" s="3" t="s">
        <v>74</v>
      </c>
    </row>
    <row r="2491" spans="1:11" ht="42" customHeight="1">
      <c r="A2491" s="2" t="s">
        <v>6335</v>
      </c>
      <c r="B2491" s="2" t="s">
        <v>6336</v>
      </c>
      <c r="C2491" s="2" t="s">
        <v>31</v>
      </c>
      <c r="D2491" s="2" t="s">
        <v>32</v>
      </c>
      <c r="E2491" s="5">
        <v>-30963</v>
      </c>
      <c r="F2491" s="3" t="s">
        <v>879</v>
      </c>
      <c r="G2491" s="3" t="s">
        <v>71</v>
      </c>
      <c r="H2491" s="2" t="s">
        <v>72</v>
      </c>
      <c r="I2491" s="2" t="s">
        <v>6337</v>
      </c>
      <c r="J2491" s="3" t="str">
        <f>HYPERLINK("https://www.boe.es/gazeta/dias/1815/03/23/pdfs/GMD-1815-35.pdf#page=7","Abrir facsímil")</f>
        <v>Abrir facsímil</v>
      </c>
      <c r="K2491" s="3" t="s">
        <v>74</v>
      </c>
    </row>
    <row r="2492" spans="1:11" ht="42" customHeight="1">
      <c r="A2492" s="2" t="s">
        <v>6338</v>
      </c>
      <c r="B2492" s="2" t="s">
        <v>6339</v>
      </c>
      <c r="C2492" s="2" t="s">
        <v>31</v>
      </c>
      <c r="D2492" s="2" t="s">
        <v>32</v>
      </c>
      <c r="E2492" s="5">
        <v>-30723</v>
      </c>
      <c r="F2492" s="3" t="s">
        <v>77</v>
      </c>
      <c r="G2492" s="3" t="s">
        <v>38</v>
      </c>
      <c r="H2492" s="2" t="s">
        <v>72</v>
      </c>
      <c r="I2492" s="2" t="s">
        <v>6340</v>
      </c>
      <c r="J2492" s="3" t="str">
        <f>HYPERLINK("https://www.boe.es/gazeta/dias/1815/11/18/pdfs/GMD-1815-144.pdf#page=8","Abrir facsímil")</f>
        <v>Abrir facsímil</v>
      </c>
      <c r="K2492" s="3" t="s">
        <v>74</v>
      </c>
    </row>
    <row r="2493" spans="1:11" ht="42" customHeight="1">
      <c r="A2493" s="2" t="s">
        <v>6341</v>
      </c>
      <c r="B2493" s="2" t="s">
        <v>6342</v>
      </c>
      <c r="C2493" s="2" t="s">
        <v>17</v>
      </c>
      <c r="D2493" s="2" t="s">
        <v>18</v>
      </c>
      <c r="E2493" s="5">
        <v>-30839</v>
      </c>
      <c r="F2493" s="3" t="s">
        <v>616</v>
      </c>
      <c r="G2493" s="3" t="s">
        <v>27</v>
      </c>
      <c r="H2493" s="2" t="s">
        <v>21</v>
      </c>
      <c r="I2493" s="2" t="s">
        <v>6343</v>
      </c>
      <c r="J2493" s="3" t="str">
        <f>HYPERLINK("https://www.boe.es/gazeta/dias/1815/07/25/pdfs/GMD-1815-91.pdf#page=6","Abrir facsímil")</f>
        <v>Abrir facsímil</v>
      </c>
      <c r="K2493" s="3" t="s">
        <v>23</v>
      </c>
    </row>
    <row r="2494" spans="1:11" ht="42" customHeight="1">
      <c r="A2494" s="2" t="s">
        <v>6344</v>
      </c>
      <c r="B2494" s="2" t="s">
        <v>6345</v>
      </c>
      <c r="C2494" s="2" t="s">
        <v>49</v>
      </c>
      <c r="D2494" s="2" t="s">
        <v>50</v>
      </c>
      <c r="E2494" s="5">
        <v>-30886</v>
      </c>
      <c r="F2494" s="3" t="s">
        <v>140</v>
      </c>
      <c r="G2494" s="3" t="s">
        <v>224</v>
      </c>
      <c r="H2494" s="2" t="s">
        <v>72</v>
      </c>
      <c r="I2494" s="2" t="s">
        <v>6346</v>
      </c>
      <c r="J2494" s="3" t="str">
        <f>HYPERLINK("https://www.boe.es/gazeta/dias/1815/06/08/pdfs/GMD-1815-69.pdf#page=9","Abrir facsímil")</f>
        <v>Abrir facsímil</v>
      </c>
      <c r="K2494" s="3" t="s">
        <v>74</v>
      </c>
    </row>
    <row r="2495" spans="1:11" ht="42" customHeight="1">
      <c r="A2495" s="2" t="s">
        <v>6347</v>
      </c>
      <c r="B2495" s="2" t="s">
        <v>6348</v>
      </c>
      <c r="C2495" s="2" t="s">
        <v>61</v>
      </c>
      <c r="D2495" s="2" t="s">
        <v>50</v>
      </c>
      <c r="E2495" s="5">
        <v>-30793</v>
      </c>
      <c r="F2495" s="3" t="s">
        <v>1704</v>
      </c>
      <c r="G2495" s="3" t="s">
        <v>38</v>
      </c>
      <c r="H2495" s="2" t="s">
        <v>72</v>
      </c>
      <c r="I2495" s="2" t="s">
        <v>6349</v>
      </c>
      <c r="J2495" s="3" t="str">
        <f>HYPERLINK("https://www.boe.es/gazeta/dias/1815/09/09/pdfs/GMD-1815-112.pdf#page=8","Abrir facsímil")</f>
        <v>Abrir facsímil</v>
      </c>
      <c r="K2495" s="3" t="s">
        <v>74</v>
      </c>
    </row>
    <row r="2496" spans="1:11" ht="42" customHeight="1">
      <c r="A2496" s="2" t="s">
        <v>6350</v>
      </c>
      <c r="B2496" s="2" t="s">
        <v>6351</v>
      </c>
      <c r="C2496" s="2" t="s">
        <v>195</v>
      </c>
      <c r="D2496" s="2" t="s">
        <v>50</v>
      </c>
      <c r="E2496" s="5">
        <v>-30963</v>
      </c>
      <c r="F2496" s="3" t="s">
        <v>879</v>
      </c>
      <c r="G2496" s="3" t="s">
        <v>71</v>
      </c>
      <c r="H2496" s="2" t="s">
        <v>72</v>
      </c>
      <c r="I2496" s="2" t="s">
        <v>6352</v>
      </c>
      <c r="J2496" s="3" t="str">
        <f>HYPERLINK("https://www.boe.es/gazeta/dias/1815/03/23/pdfs/GMD-1815-35.pdf#page=7","Abrir facsímil")</f>
        <v>Abrir facsímil</v>
      </c>
      <c r="K2496" s="3" t="s">
        <v>74</v>
      </c>
    </row>
    <row r="2497" spans="1:11" ht="42" customHeight="1">
      <c r="A2497" s="2" t="s">
        <v>6353</v>
      </c>
      <c r="B2497" s="2" t="s">
        <v>6354</v>
      </c>
      <c r="C2497" s="2" t="s">
        <v>49</v>
      </c>
      <c r="D2497" s="2" t="s">
        <v>50</v>
      </c>
      <c r="E2497" s="5">
        <v>-30870</v>
      </c>
      <c r="F2497" s="3" t="s">
        <v>122</v>
      </c>
      <c r="G2497" s="3" t="s">
        <v>52</v>
      </c>
      <c r="H2497" s="2" t="s">
        <v>72</v>
      </c>
      <c r="I2497" s="2" t="s">
        <v>6355</v>
      </c>
      <c r="J2497" s="3" t="str">
        <f>HYPERLINK("https://www.boe.es/gazeta/dias/1815/06/24/pdfs/GMD-1815-76.pdf#page=11","Abrir facsímil")</f>
        <v>Abrir facsímil</v>
      </c>
      <c r="K2497" s="3" t="s">
        <v>74</v>
      </c>
    </row>
    <row r="2498" spans="1:11" ht="42" customHeight="1">
      <c r="A2498" s="2" t="s">
        <v>6356</v>
      </c>
      <c r="B2498" s="2" t="s">
        <v>6357</v>
      </c>
      <c r="C2498" s="2" t="s">
        <v>31</v>
      </c>
      <c r="D2498" s="2" t="s">
        <v>32</v>
      </c>
      <c r="E2498" s="5">
        <v>-30916</v>
      </c>
      <c r="F2498" s="3" t="s">
        <v>147</v>
      </c>
      <c r="G2498" s="3" t="s">
        <v>224</v>
      </c>
      <c r="H2498" s="2" t="s">
        <v>72</v>
      </c>
      <c r="I2498" s="2" t="s">
        <v>6358</v>
      </c>
      <c r="J2498" s="3" t="str">
        <f>HYPERLINK("https://www.boe.es/gazeta/dias/1815/05/09/pdfs/GMD-1815-56.pdf#page=9","Abrir facsímil")</f>
        <v>Abrir facsímil</v>
      </c>
      <c r="K2498" s="3" t="s">
        <v>74</v>
      </c>
    </row>
    <row r="2499" spans="1:11" ht="42" customHeight="1">
      <c r="A2499" s="2" t="s">
        <v>6359</v>
      </c>
      <c r="B2499" s="2" t="s">
        <v>6360</v>
      </c>
      <c r="C2499" s="2" t="s">
        <v>49</v>
      </c>
      <c r="D2499" s="2" t="s">
        <v>50</v>
      </c>
      <c r="E2499" s="5">
        <v>-30865</v>
      </c>
      <c r="F2499" s="3" t="s">
        <v>163</v>
      </c>
      <c r="G2499" s="3" t="s">
        <v>38</v>
      </c>
      <c r="H2499" s="2" t="s">
        <v>72</v>
      </c>
      <c r="I2499" s="2" t="s">
        <v>6361</v>
      </c>
      <c r="J2499" s="3" t="str">
        <f>HYPERLINK("https://www.boe.es/gazeta/dias/1815/06/29/pdfs/GMD-1815-78.pdf#page=8","Abrir facsímil")</f>
        <v>Abrir facsímil</v>
      </c>
      <c r="K2499" s="3" t="s">
        <v>74</v>
      </c>
    </row>
    <row r="2500" spans="1:11" ht="42" customHeight="1">
      <c r="A2500" s="2" t="s">
        <v>6362</v>
      </c>
      <c r="B2500" s="2" t="s">
        <v>6363</v>
      </c>
      <c r="C2500" s="2" t="s">
        <v>31</v>
      </c>
      <c r="D2500" s="2" t="s">
        <v>32</v>
      </c>
      <c r="E2500" s="5">
        <v>-31040</v>
      </c>
      <c r="F2500" s="3" t="s">
        <v>326</v>
      </c>
      <c r="G2500" s="3" t="s">
        <v>27</v>
      </c>
      <c r="H2500" s="2" t="s">
        <v>72</v>
      </c>
      <c r="I2500" s="2" t="s">
        <v>6364</v>
      </c>
      <c r="J2500" s="3" t="str">
        <f>HYPERLINK("https://www.boe.es/gazeta/dias/1815/01/05/pdfs/GMD-1815-2.pdf#page=6","Abrir facsímil")</f>
        <v>Abrir facsímil</v>
      </c>
      <c r="K2500" s="3" t="s">
        <v>74</v>
      </c>
    </row>
    <row r="2501" spans="1:11" ht="42" customHeight="1">
      <c r="A2501" s="2" t="s">
        <v>6365</v>
      </c>
      <c r="B2501" s="2" t="s">
        <v>6365</v>
      </c>
      <c r="C2501" s="2" t="s">
        <v>31</v>
      </c>
      <c r="D2501" s="2" t="s">
        <v>32</v>
      </c>
      <c r="E2501" s="5">
        <v>-30744</v>
      </c>
      <c r="F2501" s="3" t="s">
        <v>391</v>
      </c>
      <c r="G2501" s="3" t="s">
        <v>97</v>
      </c>
      <c r="H2501" s="2" t="s">
        <v>72</v>
      </c>
      <c r="I2501" s="2" t="s">
        <v>6366</v>
      </c>
      <c r="J2501" s="3" t="str">
        <f>HYPERLINK("https://www.boe.es/gazeta/dias/1815/10/28/pdfs/GMD-1815-135.pdf#page=3","Abrir facsímil")</f>
        <v>Abrir facsímil</v>
      </c>
      <c r="K2501" s="3" t="s">
        <v>74</v>
      </c>
    </row>
    <row r="2502" spans="1:11" ht="42" customHeight="1">
      <c r="A2502" s="2" t="s">
        <v>6367</v>
      </c>
      <c r="B2502" s="2" t="s">
        <v>6368</v>
      </c>
      <c r="C2502" s="2" t="s">
        <v>31</v>
      </c>
      <c r="D2502" s="2" t="s">
        <v>32</v>
      </c>
      <c r="E2502" s="5">
        <v>-30835</v>
      </c>
      <c r="F2502" s="3" t="s">
        <v>544</v>
      </c>
      <c r="G2502" s="3" t="s">
        <v>97</v>
      </c>
      <c r="H2502" s="2" t="s">
        <v>72</v>
      </c>
      <c r="I2502" s="2" t="s">
        <v>6369</v>
      </c>
      <c r="J2502" s="3" t="str">
        <f>HYPERLINK("https://www.boe.es/gazeta/dias/1815/07/29/pdfs/GMD-1815-93.pdf#page=3","Abrir facsímil")</f>
        <v>Abrir facsímil</v>
      </c>
      <c r="K2502" s="3" t="s">
        <v>74</v>
      </c>
    </row>
    <row r="2503" spans="1:11" ht="42" customHeight="1">
      <c r="A2503" s="2" t="s">
        <v>6370</v>
      </c>
      <c r="B2503" s="2" t="s">
        <v>6371</v>
      </c>
      <c r="C2503" s="2" t="s">
        <v>31</v>
      </c>
      <c r="D2503" s="2" t="s">
        <v>32</v>
      </c>
      <c r="E2503" s="5">
        <v>-30937</v>
      </c>
      <c r="F2503" s="3" t="s">
        <v>322</v>
      </c>
      <c r="G2503" s="3" t="s">
        <v>5101</v>
      </c>
      <c r="H2503" s="2" t="s">
        <v>72</v>
      </c>
      <c r="I2503" s="2" t="s">
        <v>6372</v>
      </c>
      <c r="J2503" s="3" t="str">
        <f>HYPERLINK("https://www.boe.es/gazeta/dias/1815/04/18/pdfs/GMD-1815-47.pdf#page=7","Abrir facsímil")</f>
        <v>Abrir facsímil</v>
      </c>
      <c r="K2503" s="3" t="s">
        <v>74</v>
      </c>
    </row>
    <row r="2504" spans="1:11" ht="42" customHeight="1">
      <c r="A2504" s="2" t="s">
        <v>6370</v>
      </c>
      <c r="B2504" s="2" t="s">
        <v>6371</v>
      </c>
      <c r="C2504" s="2" t="s">
        <v>61</v>
      </c>
      <c r="D2504" s="2" t="s">
        <v>50</v>
      </c>
      <c r="E2504" s="5">
        <v>-30786</v>
      </c>
      <c r="F2504" s="3" t="s">
        <v>558</v>
      </c>
      <c r="G2504" s="3" t="s">
        <v>2650</v>
      </c>
      <c r="H2504" s="2" t="s">
        <v>72</v>
      </c>
      <c r="I2504" s="2" t="s">
        <v>6373</v>
      </c>
      <c r="J2504" s="3" t="str">
        <f>HYPERLINK("https://www.boe.es/gazeta/dias/1815/09/16/pdfs/GMD-1815-115.pdf#page=7","Abrir facsímil")</f>
        <v>Abrir facsímil</v>
      </c>
      <c r="K2504" s="3" t="s">
        <v>74</v>
      </c>
    </row>
    <row r="2505" spans="1:11" ht="42" customHeight="1">
      <c r="A2505" s="2" t="s">
        <v>6370</v>
      </c>
      <c r="B2505" s="2" t="s">
        <v>6371</v>
      </c>
      <c r="C2505" s="2" t="s">
        <v>61</v>
      </c>
      <c r="D2505" s="2" t="s">
        <v>50</v>
      </c>
      <c r="E2505" s="5">
        <v>-30767</v>
      </c>
      <c r="F2505" s="3" t="s">
        <v>228</v>
      </c>
      <c r="G2505" s="3" t="s">
        <v>990</v>
      </c>
      <c r="H2505" s="2" t="s">
        <v>72</v>
      </c>
      <c r="I2505" s="2" t="s">
        <v>6374</v>
      </c>
      <c r="J2505" s="3" t="str">
        <f>HYPERLINK("https://www.boe.es/gazeta/dias/1815/10/05/pdfs/GMD-1815-125.pdf#page=12","Abrir facsímil")</f>
        <v>Abrir facsímil</v>
      </c>
      <c r="K2505" s="3" t="s">
        <v>74</v>
      </c>
    </row>
    <row r="2506" spans="1:11" ht="42" customHeight="1">
      <c r="A2506" s="2" t="s">
        <v>6375</v>
      </c>
      <c r="B2506" s="2" t="s">
        <v>6376</v>
      </c>
      <c r="C2506" s="2" t="s">
        <v>61</v>
      </c>
      <c r="D2506" s="2" t="s">
        <v>50</v>
      </c>
      <c r="E2506" s="5">
        <v>-30767</v>
      </c>
      <c r="F2506" s="3" t="s">
        <v>228</v>
      </c>
      <c r="G2506" s="3" t="s">
        <v>52</v>
      </c>
      <c r="H2506" s="2" t="s">
        <v>72</v>
      </c>
      <c r="I2506" s="2" t="s">
        <v>6377</v>
      </c>
      <c r="J2506" s="3" t="str">
        <f>HYPERLINK("https://www.boe.es/gazeta/dias/1815/10/05/pdfs/GMD-1815-125.pdf#page=11","Abrir facsímil")</f>
        <v>Abrir facsímil</v>
      </c>
      <c r="K2506" s="3" t="s">
        <v>74</v>
      </c>
    </row>
    <row r="2507" spans="1:11" ht="42" customHeight="1">
      <c r="A2507" s="2" t="s">
        <v>6378</v>
      </c>
      <c r="B2507" s="2" t="s">
        <v>6378</v>
      </c>
      <c r="C2507" s="2" t="s">
        <v>31</v>
      </c>
      <c r="D2507" s="2" t="s">
        <v>32</v>
      </c>
      <c r="E2507" s="5">
        <v>-30732</v>
      </c>
      <c r="F2507" s="3" t="s">
        <v>554</v>
      </c>
      <c r="G2507" s="3" t="s">
        <v>27</v>
      </c>
      <c r="H2507" s="2" t="s">
        <v>72</v>
      </c>
      <c r="I2507" s="2" t="s">
        <v>6379</v>
      </c>
      <c r="J2507" s="3" t="str">
        <f>HYPERLINK("https://www.boe.es/gazeta/dias/1815/11/09/pdfs/GMD-1815-140.pdf#page=6","Abrir facsímil")</f>
        <v>Abrir facsímil</v>
      </c>
      <c r="K2507" s="3" t="s">
        <v>74</v>
      </c>
    </row>
    <row r="2508" spans="1:11" ht="42" customHeight="1">
      <c r="A2508" s="2" t="s">
        <v>6380</v>
      </c>
      <c r="B2508" s="2" t="s">
        <v>6381</v>
      </c>
      <c r="C2508" s="2" t="s">
        <v>31</v>
      </c>
      <c r="D2508" s="2" t="s">
        <v>32</v>
      </c>
      <c r="E2508" s="5">
        <v>-30790</v>
      </c>
      <c r="F2508" s="3" t="s">
        <v>285</v>
      </c>
      <c r="G2508" s="3" t="s">
        <v>20</v>
      </c>
      <c r="H2508" s="2" t="s">
        <v>72</v>
      </c>
      <c r="I2508" s="2" t="s">
        <v>6382</v>
      </c>
      <c r="J2508" s="3" t="str">
        <f>HYPERLINK("https://www.boe.es/gazeta/dias/1815/09/12/pdfs/GMD-1815-113.pdf#page=4","Abrir facsímil")</f>
        <v>Abrir facsímil</v>
      </c>
      <c r="K2508" s="3" t="s">
        <v>74</v>
      </c>
    </row>
    <row r="2509" spans="1:11" ht="42" customHeight="1">
      <c r="A2509" s="2" t="s">
        <v>6383</v>
      </c>
      <c r="B2509" s="2" t="s">
        <v>6383</v>
      </c>
      <c r="C2509" s="2" t="s">
        <v>31</v>
      </c>
      <c r="D2509" s="2" t="s">
        <v>32</v>
      </c>
      <c r="E2509" s="5">
        <v>-30916</v>
      </c>
      <c r="F2509" s="3" t="s">
        <v>147</v>
      </c>
      <c r="G2509" s="3" t="s">
        <v>410</v>
      </c>
      <c r="H2509" s="2" t="s">
        <v>72</v>
      </c>
      <c r="I2509" s="2" t="s">
        <v>6384</v>
      </c>
      <c r="J2509" s="3" t="str">
        <f>HYPERLINK("https://www.boe.es/gazeta/dias/1815/05/09/pdfs/GMD-1815-56.pdf#page=1","Abrir facsímil")</f>
        <v>Abrir facsímil</v>
      </c>
      <c r="K2509" s="3" t="s">
        <v>74</v>
      </c>
    </row>
    <row r="2510" spans="1:11" ht="42" customHeight="1">
      <c r="A2510" s="2" t="s">
        <v>6383</v>
      </c>
      <c r="B2510" s="2" t="s">
        <v>6383</v>
      </c>
      <c r="C2510" s="2" t="s">
        <v>31</v>
      </c>
      <c r="D2510" s="2" t="s">
        <v>32</v>
      </c>
      <c r="E2510" s="5">
        <v>-30905</v>
      </c>
      <c r="F2510" s="3" t="s">
        <v>901</v>
      </c>
      <c r="G2510" s="3" t="s">
        <v>57</v>
      </c>
      <c r="H2510" s="2" t="s">
        <v>72</v>
      </c>
      <c r="I2510" s="2" t="s">
        <v>6385</v>
      </c>
      <c r="J2510" s="3" t="str">
        <f>HYPERLINK("https://www.boe.es/gazeta/dias/1815/05/20/pdfs/GMD-1815-61.pdf#page=5","Abrir facsímil")</f>
        <v>Abrir facsímil</v>
      </c>
      <c r="K2510" s="3" t="s">
        <v>74</v>
      </c>
    </row>
    <row r="2511" spans="1:11" ht="42" customHeight="1">
      <c r="A2511" s="2" t="s">
        <v>6383</v>
      </c>
      <c r="B2511" s="2" t="s">
        <v>6383</v>
      </c>
      <c r="C2511" s="2" t="s">
        <v>31</v>
      </c>
      <c r="D2511" s="2" t="s">
        <v>179</v>
      </c>
      <c r="E2511" s="5">
        <v>-30860</v>
      </c>
      <c r="F2511" s="3" t="s">
        <v>180</v>
      </c>
      <c r="G2511" s="3" t="s">
        <v>20</v>
      </c>
      <c r="H2511" s="2" t="s">
        <v>72</v>
      </c>
      <c r="I2511" s="2" t="s">
        <v>6386</v>
      </c>
      <c r="J2511" s="3" t="str">
        <f>HYPERLINK("https://www.boe.es/gazeta/dias/1815/07/04/pdfs/GMD-1815-82E.pdf#page=4","Abrir facsímil")</f>
        <v>Abrir facsímil</v>
      </c>
      <c r="K2511" s="3" t="s">
        <v>74</v>
      </c>
    </row>
    <row r="2512" spans="1:11" ht="42" customHeight="1">
      <c r="A2512" s="2" t="s">
        <v>6383</v>
      </c>
      <c r="B2512" s="2" t="s">
        <v>6383</v>
      </c>
      <c r="C2512" s="2" t="s">
        <v>31</v>
      </c>
      <c r="D2512" s="2" t="s">
        <v>32</v>
      </c>
      <c r="E2512" s="5">
        <v>-30844</v>
      </c>
      <c r="F2512" s="3" t="s">
        <v>114</v>
      </c>
      <c r="G2512" s="3" t="s">
        <v>5693</v>
      </c>
      <c r="H2512" s="2" t="s">
        <v>72</v>
      </c>
      <c r="I2512" s="2" t="s">
        <v>6387</v>
      </c>
      <c r="J2512" s="3" t="str">
        <f>HYPERLINK("https://www.boe.es/gazeta/dias/1815/07/20/pdfs/GMD-1815-89.pdf#page=2","Abrir facsímil")</f>
        <v>Abrir facsímil</v>
      </c>
      <c r="K2512" s="3" t="s">
        <v>74</v>
      </c>
    </row>
    <row r="2513" spans="1:11" ht="42" customHeight="1">
      <c r="A2513" s="2" t="s">
        <v>6388</v>
      </c>
      <c r="B2513" s="2" t="s">
        <v>6388</v>
      </c>
      <c r="C2513" s="2" t="s">
        <v>31</v>
      </c>
      <c r="D2513" s="2" t="s">
        <v>32</v>
      </c>
      <c r="E2513" s="5">
        <v>-30898</v>
      </c>
      <c r="F2513" s="3" t="s">
        <v>212</v>
      </c>
      <c r="G2513" s="3" t="s">
        <v>97</v>
      </c>
      <c r="H2513" s="2" t="s">
        <v>72</v>
      </c>
      <c r="I2513" s="2" t="s">
        <v>6389</v>
      </c>
      <c r="J2513" s="3" t="str">
        <f>HYPERLINK("https://www.boe.es/gazeta/dias/1815/05/27/pdfs/GMD-1815-64.pdf#page=3","Abrir facsímil")</f>
        <v>Abrir facsímil</v>
      </c>
      <c r="K2513" s="3" t="s">
        <v>74</v>
      </c>
    </row>
    <row r="2514" spans="1:11" ht="42" customHeight="1">
      <c r="A2514" s="2" t="s">
        <v>6390</v>
      </c>
      <c r="B2514" s="2" t="s">
        <v>6390</v>
      </c>
      <c r="C2514" s="2" t="s">
        <v>31</v>
      </c>
      <c r="D2514" s="2" t="s">
        <v>32</v>
      </c>
      <c r="E2514" s="5">
        <v>-30744</v>
      </c>
      <c r="F2514" s="3" t="s">
        <v>391</v>
      </c>
      <c r="G2514" s="3" t="s">
        <v>97</v>
      </c>
      <c r="H2514" s="2" t="s">
        <v>72</v>
      </c>
      <c r="I2514" s="2" t="s">
        <v>6391</v>
      </c>
      <c r="J2514" s="3" t="str">
        <f>HYPERLINK("https://www.boe.es/gazeta/dias/1815/10/28/pdfs/GMD-1815-135.pdf#page=3","Abrir facsímil")</f>
        <v>Abrir facsímil</v>
      </c>
      <c r="K2514" s="3" t="s">
        <v>74</v>
      </c>
    </row>
    <row r="2515" spans="1:11" ht="42" customHeight="1">
      <c r="A2515" s="2" t="s">
        <v>6392</v>
      </c>
      <c r="B2515" s="2" t="s">
        <v>6392</v>
      </c>
      <c r="C2515" s="2" t="s">
        <v>31</v>
      </c>
      <c r="D2515" s="2" t="s">
        <v>32</v>
      </c>
      <c r="E2515" s="5">
        <v>-30818</v>
      </c>
      <c r="F2515" s="3" t="s">
        <v>334</v>
      </c>
      <c r="G2515" s="3" t="s">
        <v>38</v>
      </c>
      <c r="H2515" s="2" t="s">
        <v>72</v>
      </c>
      <c r="I2515" s="2" t="s">
        <v>6393</v>
      </c>
      <c r="J2515" s="3" t="str">
        <f>HYPERLINK("https://www.boe.es/gazeta/dias/1815/08/15/pdfs/GMD-1815-100.pdf#page=8","Abrir facsímil")</f>
        <v>Abrir facsímil</v>
      </c>
      <c r="K2515" s="3" t="s">
        <v>74</v>
      </c>
    </row>
    <row r="2516" spans="1:11" ht="42" customHeight="1">
      <c r="A2516" s="2" t="s">
        <v>6394</v>
      </c>
      <c r="B2516" s="2" t="s">
        <v>6394</v>
      </c>
      <c r="C2516" s="2" t="s">
        <v>31</v>
      </c>
      <c r="D2516" s="2" t="s">
        <v>32</v>
      </c>
      <c r="E2516" s="5">
        <v>-30723</v>
      </c>
      <c r="F2516" s="3" t="s">
        <v>77</v>
      </c>
      <c r="G2516" s="3" t="s">
        <v>410</v>
      </c>
      <c r="H2516" s="2" t="s">
        <v>72</v>
      </c>
      <c r="I2516" s="2" t="s">
        <v>6395</v>
      </c>
      <c r="J2516" s="3" t="str">
        <f>HYPERLINK("https://www.boe.es/gazeta/dias/1815/11/18/pdfs/GMD-1815-144.pdf#page=1","Abrir facsímil")</f>
        <v>Abrir facsímil</v>
      </c>
      <c r="K2516" s="3" t="s">
        <v>74</v>
      </c>
    </row>
    <row r="2517" spans="1:11" ht="42" customHeight="1">
      <c r="A2517" s="2" t="s">
        <v>6396</v>
      </c>
      <c r="B2517" s="2" t="s">
        <v>6397</v>
      </c>
      <c r="C2517" s="2" t="s">
        <v>195</v>
      </c>
      <c r="D2517" s="2" t="s">
        <v>50</v>
      </c>
      <c r="E2517" s="5">
        <v>-30874</v>
      </c>
      <c r="F2517" s="3" t="s">
        <v>208</v>
      </c>
      <c r="G2517" s="3" t="s">
        <v>38</v>
      </c>
      <c r="H2517" s="2" t="s">
        <v>72</v>
      </c>
      <c r="I2517" s="2" t="s">
        <v>6398</v>
      </c>
      <c r="J2517" s="3" t="str">
        <f>HYPERLINK("https://www.boe.es/gazeta/dias/1815/06/20/pdfs/GMD-1815-74.pdf#page=8","Abrir facsímil")</f>
        <v>Abrir facsímil</v>
      </c>
      <c r="K2517" s="3" t="s">
        <v>74</v>
      </c>
    </row>
    <row r="2518" spans="1:11" ht="42" customHeight="1">
      <c r="A2518" s="2" t="s">
        <v>6399</v>
      </c>
      <c r="B2518" s="2" t="s">
        <v>6400</v>
      </c>
      <c r="C2518" s="2" t="s">
        <v>31</v>
      </c>
      <c r="D2518" s="2" t="s">
        <v>32</v>
      </c>
      <c r="E2518" s="5">
        <v>-30790</v>
      </c>
      <c r="F2518" s="3" t="s">
        <v>285</v>
      </c>
      <c r="G2518" s="3" t="s">
        <v>377</v>
      </c>
      <c r="H2518" s="2" t="s">
        <v>72</v>
      </c>
      <c r="I2518" s="2" t="s">
        <v>6401</v>
      </c>
      <c r="J2518" s="3" t="str">
        <f>HYPERLINK("https://www.boe.es/gazeta/dias/1815/09/12/pdfs/GMD-1815-113.pdf#page=2","Abrir facsímil")</f>
        <v>Abrir facsímil</v>
      </c>
      <c r="K2518" s="3" t="s">
        <v>74</v>
      </c>
    </row>
    <row r="2519" spans="1:11" ht="42" customHeight="1">
      <c r="A2519" s="2" t="s">
        <v>6402</v>
      </c>
      <c r="B2519" s="2" t="s">
        <v>6403</v>
      </c>
      <c r="C2519" s="2" t="s">
        <v>31</v>
      </c>
      <c r="D2519" s="2" t="s">
        <v>32</v>
      </c>
      <c r="E2519" s="5">
        <v>-31042</v>
      </c>
      <c r="F2519" s="3" t="s">
        <v>512</v>
      </c>
      <c r="G2519" s="3" t="s">
        <v>1689</v>
      </c>
      <c r="H2519" s="2" t="s">
        <v>72</v>
      </c>
      <c r="I2519" s="2" t="s">
        <v>6404</v>
      </c>
      <c r="J2519" s="3" t="str">
        <f>HYPERLINK("https://www.boe.es/gazeta/dias/1815/01/03/pdfs/GMD-1815-1.pdf#page=6","Abrir facsímil")</f>
        <v>Abrir facsímil</v>
      </c>
      <c r="K2519" s="3" t="s">
        <v>74</v>
      </c>
    </row>
    <row r="2520" spans="1:11" ht="42" customHeight="1">
      <c r="A2520" s="2" t="s">
        <v>6405</v>
      </c>
      <c r="B2520" s="2" t="s">
        <v>6405</v>
      </c>
      <c r="C2520" s="2" t="s">
        <v>31</v>
      </c>
      <c r="D2520" s="2" t="s">
        <v>32</v>
      </c>
      <c r="E2520" s="5">
        <v>-30765</v>
      </c>
      <c r="F2520" s="3" t="s">
        <v>2150</v>
      </c>
      <c r="G2520" s="3" t="s">
        <v>97</v>
      </c>
      <c r="H2520" s="2" t="s">
        <v>72</v>
      </c>
      <c r="I2520" s="2" t="s">
        <v>6406</v>
      </c>
      <c r="J2520" s="3" t="str">
        <f>HYPERLINK("https://www.boe.es/gazeta/dias/1815/10/07/pdfs/GMD-1815-126.pdf#page=3","Abrir facsímil")</f>
        <v>Abrir facsímil</v>
      </c>
      <c r="K2520" s="3" t="s">
        <v>74</v>
      </c>
    </row>
    <row r="2521" spans="1:11" ht="42" customHeight="1">
      <c r="A2521" s="2" t="s">
        <v>6407</v>
      </c>
      <c r="B2521" s="2" t="s">
        <v>6408</v>
      </c>
      <c r="C2521" s="2" t="s">
        <v>195</v>
      </c>
      <c r="D2521" s="2" t="s">
        <v>50</v>
      </c>
      <c r="E2521" s="5">
        <v>-31024</v>
      </c>
      <c r="F2521" s="3" t="s">
        <v>101</v>
      </c>
      <c r="G2521" s="3" t="s">
        <v>258</v>
      </c>
      <c r="H2521" s="2" t="s">
        <v>72</v>
      </c>
      <c r="I2521" s="2" t="s">
        <v>6409</v>
      </c>
      <c r="J2521" s="3" t="str">
        <f>HYPERLINK("https://www.boe.es/gazeta/dias/1815/01/21/pdfs/GMD-1815-9.pdf#page=6","Abrir facsímil")</f>
        <v>Abrir facsímil</v>
      </c>
      <c r="K2521" s="3" t="s">
        <v>74</v>
      </c>
    </row>
    <row r="2522" spans="1:11" ht="42" customHeight="1">
      <c r="A2522" s="2" t="s">
        <v>6410</v>
      </c>
      <c r="B2522" s="2" t="s">
        <v>6411</v>
      </c>
      <c r="C2522" s="2" t="s">
        <v>81</v>
      </c>
      <c r="D2522" s="2" t="s">
        <v>50</v>
      </c>
      <c r="E2522" s="5">
        <v>-30732</v>
      </c>
      <c r="F2522" s="3" t="s">
        <v>554</v>
      </c>
      <c r="G2522" s="3" t="s">
        <v>410</v>
      </c>
      <c r="H2522" s="2" t="s">
        <v>72</v>
      </c>
      <c r="I2522" s="2" t="s">
        <v>6412</v>
      </c>
      <c r="J2522" s="3" t="str">
        <f>HYPERLINK("https://www.boe.es/gazeta/dias/1815/11/09/pdfs/GMD-1815-140.pdf#page=1","Abrir facsímil")</f>
        <v>Abrir facsímil</v>
      </c>
      <c r="K2522" s="3" t="s">
        <v>74</v>
      </c>
    </row>
    <row r="2523" spans="1:11" ht="42" customHeight="1">
      <c r="A2523" s="2" t="s">
        <v>6413</v>
      </c>
      <c r="B2523" s="2" t="s">
        <v>6413</v>
      </c>
      <c r="C2523" s="2" t="s">
        <v>31</v>
      </c>
      <c r="D2523" s="2" t="s">
        <v>32</v>
      </c>
      <c r="E2523" s="5">
        <v>-30937</v>
      </c>
      <c r="F2523" s="3" t="s">
        <v>322</v>
      </c>
      <c r="G2523" s="3" t="s">
        <v>20</v>
      </c>
      <c r="H2523" s="2" t="s">
        <v>72</v>
      </c>
      <c r="I2523" s="2" t="s">
        <v>6414</v>
      </c>
      <c r="J2523" s="3" t="str">
        <f>HYPERLINK("https://www.boe.es/gazeta/dias/1815/04/18/pdfs/GMD-1815-47.pdf#page=4","Abrir facsímil")</f>
        <v>Abrir facsímil</v>
      </c>
      <c r="K2523" s="3" t="s">
        <v>74</v>
      </c>
    </row>
    <row r="2524" spans="1:11" ht="42" customHeight="1">
      <c r="A2524" s="2" t="s">
        <v>6415</v>
      </c>
      <c r="B2524" s="2" t="s">
        <v>6415</v>
      </c>
      <c r="C2524" s="2" t="s">
        <v>31</v>
      </c>
      <c r="D2524" s="2" t="s">
        <v>179</v>
      </c>
      <c r="E2524" s="5">
        <v>-30860</v>
      </c>
      <c r="F2524" s="3" t="s">
        <v>180</v>
      </c>
      <c r="G2524" s="3" t="s">
        <v>97</v>
      </c>
      <c r="H2524" s="2" t="s">
        <v>72</v>
      </c>
      <c r="I2524" s="2" t="s">
        <v>6416</v>
      </c>
      <c r="J2524" s="3" t="str">
        <f>HYPERLINK("https://www.boe.es/gazeta/dias/1815/07/04/pdfs/GMD-1815-82E.pdf#page=3","Abrir facsímil")</f>
        <v>Abrir facsímil</v>
      </c>
      <c r="K2524" s="3" t="s">
        <v>74</v>
      </c>
    </row>
    <row r="2525" spans="1:11" ht="42" customHeight="1">
      <c r="A2525" s="2" t="s">
        <v>6417</v>
      </c>
      <c r="B2525" s="2" t="s">
        <v>6418</v>
      </c>
      <c r="C2525" s="2" t="s">
        <v>31</v>
      </c>
      <c r="D2525" s="2" t="s">
        <v>32</v>
      </c>
      <c r="E2525" s="5">
        <v>-30902</v>
      </c>
      <c r="F2525" s="3" t="s">
        <v>648</v>
      </c>
      <c r="G2525" s="3" t="s">
        <v>71</v>
      </c>
      <c r="H2525" s="2" t="s">
        <v>72</v>
      </c>
      <c r="I2525" s="2" t="s">
        <v>6419</v>
      </c>
      <c r="J2525" s="3" t="str">
        <f>HYPERLINK("https://www.boe.es/gazeta/dias/1815/05/23/pdfs/GMD-1815-62.pdf#page=7","Abrir facsímil")</f>
        <v>Abrir facsímil</v>
      </c>
      <c r="K2525" s="3" t="s">
        <v>74</v>
      </c>
    </row>
    <row r="2526" spans="1:11" ht="42" customHeight="1">
      <c r="A2526" s="2" t="s">
        <v>6420</v>
      </c>
      <c r="B2526" s="2" t="s">
        <v>6421</v>
      </c>
      <c r="C2526" s="2" t="s">
        <v>31</v>
      </c>
      <c r="D2526" s="2" t="s">
        <v>32</v>
      </c>
      <c r="E2526" s="5">
        <v>-31007</v>
      </c>
      <c r="F2526" s="3" t="s">
        <v>200</v>
      </c>
      <c r="G2526" s="3" t="s">
        <v>71</v>
      </c>
      <c r="H2526" s="2" t="s">
        <v>72</v>
      </c>
      <c r="I2526" s="2" t="s">
        <v>6422</v>
      </c>
      <c r="J2526" s="3" t="str">
        <f>HYPERLINK("https://www.boe.es/gazeta/dias/1815/02/07/pdfs/GMD-1815-16.pdf#page=7","Abrir facsímil")</f>
        <v>Abrir facsímil</v>
      </c>
      <c r="K2526" s="3" t="s">
        <v>74</v>
      </c>
    </row>
    <row r="2527" spans="1:11" ht="42" customHeight="1">
      <c r="A2527" s="2" t="s">
        <v>6420</v>
      </c>
      <c r="B2527" s="2" t="s">
        <v>6421</v>
      </c>
      <c r="C2527" s="2" t="s">
        <v>61</v>
      </c>
      <c r="D2527" s="2" t="s">
        <v>50</v>
      </c>
      <c r="E2527" s="5">
        <v>-30998</v>
      </c>
      <c r="F2527" s="3" t="s">
        <v>539</v>
      </c>
      <c r="G2527" s="3" t="s">
        <v>38</v>
      </c>
      <c r="H2527" s="2" t="s">
        <v>72</v>
      </c>
      <c r="I2527" s="2" t="s">
        <v>6423</v>
      </c>
      <c r="J2527" s="3" t="str">
        <f>HYPERLINK("https://www.boe.es/gazeta/dias/1815/02/16/pdfs/GMD-1815-20.pdf#page=8","Abrir facsímil")</f>
        <v>Abrir facsímil</v>
      </c>
      <c r="K2527" s="3" t="s">
        <v>74</v>
      </c>
    </row>
    <row r="2528" spans="1:11" ht="42" customHeight="1">
      <c r="A2528" s="2" t="s">
        <v>6424</v>
      </c>
      <c r="B2528" s="2" t="s">
        <v>6425</v>
      </c>
      <c r="C2528" s="2" t="s">
        <v>31</v>
      </c>
      <c r="D2528" s="2" t="s">
        <v>32</v>
      </c>
      <c r="E2528" s="5">
        <v>-31007</v>
      </c>
      <c r="F2528" s="3" t="s">
        <v>200</v>
      </c>
      <c r="G2528" s="3" t="s">
        <v>38</v>
      </c>
      <c r="H2528" s="2" t="s">
        <v>72</v>
      </c>
      <c r="I2528" s="2" t="s">
        <v>6426</v>
      </c>
      <c r="J2528" s="3" t="str">
        <f>HYPERLINK("https://www.boe.es/gazeta/dias/1815/02/07/pdfs/GMD-1815-16.pdf#page=8","Abrir facsímil")</f>
        <v>Abrir facsímil</v>
      </c>
      <c r="K2528" s="3" t="s">
        <v>74</v>
      </c>
    </row>
    <row r="2529" spans="1:11" ht="42" customHeight="1">
      <c r="A2529" s="2" t="s">
        <v>6427</v>
      </c>
      <c r="B2529" s="2" t="s">
        <v>6427</v>
      </c>
      <c r="C2529" s="2" t="s">
        <v>31</v>
      </c>
      <c r="D2529" s="2" t="s">
        <v>32</v>
      </c>
      <c r="E2529" s="5">
        <v>-30765</v>
      </c>
      <c r="F2529" s="3" t="s">
        <v>2150</v>
      </c>
      <c r="G2529" s="3" t="s">
        <v>97</v>
      </c>
      <c r="H2529" s="2" t="s">
        <v>72</v>
      </c>
      <c r="I2529" s="2" t="s">
        <v>6428</v>
      </c>
      <c r="J2529" s="3" t="str">
        <f>HYPERLINK("https://www.boe.es/gazeta/dias/1815/10/07/pdfs/GMD-1815-126.pdf#page=3","Abrir facsímil")</f>
        <v>Abrir facsímil</v>
      </c>
      <c r="K2529" s="3" t="s">
        <v>74</v>
      </c>
    </row>
    <row r="2530" spans="1:11" ht="42" customHeight="1">
      <c r="A2530" s="2" t="s">
        <v>6429</v>
      </c>
      <c r="B2530" s="2" t="s">
        <v>6430</v>
      </c>
      <c r="C2530" s="2" t="s">
        <v>195</v>
      </c>
      <c r="D2530" s="2" t="s">
        <v>50</v>
      </c>
      <c r="E2530" s="5">
        <v>-31007</v>
      </c>
      <c r="F2530" s="3" t="s">
        <v>200</v>
      </c>
      <c r="G2530" s="3" t="s">
        <v>201</v>
      </c>
      <c r="H2530" s="2" t="s">
        <v>72</v>
      </c>
      <c r="I2530" s="2" t="s">
        <v>6431</v>
      </c>
      <c r="J2530" s="3" t="str">
        <f>HYPERLINK("https://www.boe.es/gazeta/dias/1815/02/07/pdfs/GMD-1815-16.pdf#page=10","Abrir facsímil")</f>
        <v>Abrir facsímil</v>
      </c>
      <c r="K2530" s="3" t="s">
        <v>74</v>
      </c>
    </row>
    <row r="2531" spans="1:11" ht="42" customHeight="1">
      <c r="A2531" s="2" t="s">
        <v>6432</v>
      </c>
      <c r="B2531" s="2" t="s">
        <v>6433</v>
      </c>
      <c r="C2531" s="2" t="s">
        <v>49</v>
      </c>
      <c r="D2531" s="2" t="s">
        <v>50</v>
      </c>
      <c r="E2531" s="5">
        <v>-30865</v>
      </c>
      <c r="F2531" s="3" t="s">
        <v>163</v>
      </c>
      <c r="G2531" s="3" t="s">
        <v>38</v>
      </c>
      <c r="H2531" s="2" t="s">
        <v>72</v>
      </c>
      <c r="I2531" s="2" t="s">
        <v>6434</v>
      </c>
      <c r="J2531" s="3" t="str">
        <f>HYPERLINK("https://www.boe.es/gazeta/dias/1815/06/29/pdfs/GMD-1815-78.pdf#page=8","Abrir facsímil")</f>
        <v>Abrir facsímil</v>
      </c>
      <c r="K2531" s="3" t="s">
        <v>74</v>
      </c>
    </row>
    <row r="2532" spans="1:11" ht="42" customHeight="1">
      <c r="A2532" s="2" t="s">
        <v>6435</v>
      </c>
      <c r="B2532" s="2" t="s">
        <v>6436</v>
      </c>
      <c r="C2532" s="2" t="s">
        <v>195</v>
      </c>
      <c r="D2532" s="2" t="s">
        <v>50</v>
      </c>
      <c r="E2532" s="5">
        <v>-30996</v>
      </c>
      <c r="F2532" s="3" t="s">
        <v>289</v>
      </c>
      <c r="G2532" s="3" t="s">
        <v>27</v>
      </c>
      <c r="H2532" s="2" t="s">
        <v>72</v>
      </c>
      <c r="I2532" s="2" t="s">
        <v>6437</v>
      </c>
      <c r="J2532" s="3" t="str">
        <f>HYPERLINK("https://www.boe.es/gazeta/dias/1815/02/18/pdfs/GMD-1815-21.pdf#page=6","Abrir facsímil")</f>
        <v>Abrir facsímil</v>
      </c>
      <c r="K2532" s="3" t="s">
        <v>74</v>
      </c>
    </row>
    <row r="2533" spans="1:11" ht="42" customHeight="1">
      <c r="A2533" s="2" t="s">
        <v>6438</v>
      </c>
      <c r="B2533" s="2" t="s">
        <v>6439</v>
      </c>
      <c r="C2533" s="2" t="s">
        <v>17</v>
      </c>
      <c r="D2533" s="2" t="s">
        <v>18</v>
      </c>
      <c r="E2533" s="5">
        <v>-30879</v>
      </c>
      <c r="F2533" s="3" t="s">
        <v>754</v>
      </c>
      <c r="G2533" s="3" t="s">
        <v>38</v>
      </c>
      <c r="H2533" s="2" t="s">
        <v>72</v>
      </c>
      <c r="I2533" s="2" t="s">
        <v>6440</v>
      </c>
      <c r="J2533" s="3" t="str">
        <f>HYPERLINK("https://www.boe.es/gazeta/dias/1815/06/15/pdfs/GMD-1815-72.pdf#page=8","Abrir facsímil")</f>
        <v>Abrir facsímil</v>
      </c>
      <c r="K2533" s="3" t="s">
        <v>74</v>
      </c>
    </row>
    <row r="2534" spans="1:11" ht="42" customHeight="1">
      <c r="A2534" s="2" t="s">
        <v>6441</v>
      </c>
      <c r="B2534" s="2" t="s">
        <v>6441</v>
      </c>
      <c r="C2534" s="2" t="s">
        <v>31</v>
      </c>
      <c r="D2534" s="2" t="s">
        <v>32</v>
      </c>
      <c r="E2534" s="5">
        <v>-30907</v>
      </c>
      <c r="F2534" s="3" t="s">
        <v>301</v>
      </c>
      <c r="G2534" s="3" t="s">
        <v>20</v>
      </c>
      <c r="H2534" s="2" t="s">
        <v>72</v>
      </c>
      <c r="I2534" s="2" t="s">
        <v>6442</v>
      </c>
      <c r="J2534" s="3" t="str">
        <f>HYPERLINK("https://www.boe.es/gazeta/dias/1815/05/18/pdfs/GMD-1815-60.pdf#page=4","Abrir facsímil")</f>
        <v>Abrir facsímil</v>
      </c>
      <c r="K2534" s="3" t="s">
        <v>74</v>
      </c>
    </row>
    <row r="2535" spans="1:11" ht="42" customHeight="1">
      <c r="A2535" s="2" t="s">
        <v>6443</v>
      </c>
      <c r="B2535" s="2" t="s">
        <v>6444</v>
      </c>
      <c r="C2535" s="2" t="s">
        <v>31</v>
      </c>
      <c r="D2535" s="2" t="s">
        <v>32</v>
      </c>
      <c r="E2535" s="5">
        <v>-30902</v>
      </c>
      <c r="F2535" s="3" t="s">
        <v>648</v>
      </c>
      <c r="G2535" s="3" t="s">
        <v>38</v>
      </c>
      <c r="H2535" s="2" t="s">
        <v>72</v>
      </c>
      <c r="I2535" s="2" t="s">
        <v>6445</v>
      </c>
      <c r="J2535" s="3" t="str">
        <f>HYPERLINK("https://www.boe.es/gazeta/dias/1815/05/23/pdfs/GMD-1815-62.pdf#page=8","Abrir facsímil")</f>
        <v>Abrir facsímil</v>
      </c>
      <c r="K2535" s="3" t="s">
        <v>74</v>
      </c>
    </row>
    <row r="2536" spans="1:11" ht="42" customHeight="1">
      <c r="A2536" s="2" t="s">
        <v>6446</v>
      </c>
      <c r="B2536" s="2" t="s">
        <v>6447</v>
      </c>
      <c r="C2536" s="2" t="s">
        <v>31</v>
      </c>
      <c r="D2536" s="2" t="s">
        <v>32</v>
      </c>
      <c r="E2536" s="5">
        <v>-31038</v>
      </c>
      <c r="F2536" s="3" t="s">
        <v>395</v>
      </c>
      <c r="G2536" s="3" t="s">
        <v>396</v>
      </c>
      <c r="H2536" s="2" t="s">
        <v>72</v>
      </c>
      <c r="I2536" s="2" t="s">
        <v>6448</v>
      </c>
      <c r="J2536" s="3" t="str">
        <f>HYPERLINK("https://www.boe.es/gazeta/dias/1815/01/07/pdfs/GMD-1815-3.pdf#page=5","Abrir facsímil")</f>
        <v>Abrir facsímil</v>
      </c>
      <c r="K2536" s="3" t="s">
        <v>74</v>
      </c>
    </row>
    <row r="2537" spans="1:11" ht="42" customHeight="1">
      <c r="A2537" s="2" t="s">
        <v>6449</v>
      </c>
      <c r="B2537" s="2" t="s">
        <v>6450</v>
      </c>
      <c r="C2537" s="2" t="s">
        <v>49</v>
      </c>
      <c r="D2537" s="2" t="s">
        <v>50</v>
      </c>
      <c r="E2537" s="5">
        <v>-30865</v>
      </c>
      <c r="F2537" s="3" t="s">
        <v>163</v>
      </c>
      <c r="G2537" s="3" t="s">
        <v>71</v>
      </c>
      <c r="H2537" s="2" t="s">
        <v>72</v>
      </c>
      <c r="I2537" s="2" t="s">
        <v>6451</v>
      </c>
      <c r="J2537" s="3" t="str">
        <f>HYPERLINK("https://www.boe.es/gazeta/dias/1815/06/29/pdfs/GMD-1815-78.pdf#page=7","Abrir facsímil")</f>
        <v>Abrir facsímil</v>
      </c>
      <c r="K2537" s="3" t="s">
        <v>74</v>
      </c>
    </row>
    <row r="2538" spans="1:11" ht="42" customHeight="1">
      <c r="A2538" s="2" t="s">
        <v>6452</v>
      </c>
      <c r="B2538" s="2" t="s">
        <v>6453</v>
      </c>
      <c r="C2538" s="2" t="s">
        <v>195</v>
      </c>
      <c r="D2538" s="2" t="s">
        <v>50</v>
      </c>
      <c r="E2538" s="5">
        <v>-30872</v>
      </c>
      <c r="F2538" s="3" t="s">
        <v>167</v>
      </c>
      <c r="G2538" s="3" t="s">
        <v>224</v>
      </c>
      <c r="H2538" s="2" t="s">
        <v>72</v>
      </c>
      <c r="I2538" s="2" t="s">
        <v>6454</v>
      </c>
      <c r="J2538" s="3" t="str">
        <f>HYPERLINK("https://www.boe.es/gazeta/dias/1815/06/22/pdfs/GMD-1815-75.pdf#page=9","Abrir facsímil")</f>
        <v>Abrir facsímil</v>
      </c>
      <c r="K2538" s="3" t="s">
        <v>74</v>
      </c>
    </row>
    <row r="2539" spans="1:11" ht="42" customHeight="1">
      <c r="A2539" s="2" t="s">
        <v>6455</v>
      </c>
      <c r="B2539" s="2" t="s">
        <v>6456</v>
      </c>
      <c r="C2539" s="2" t="s">
        <v>31</v>
      </c>
      <c r="D2539" s="2" t="s">
        <v>32</v>
      </c>
      <c r="E2539" s="5">
        <v>-30783</v>
      </c>
      <c r="F2539" s="3" t="s">
        <v>423</v>
      </c>
      <c r="G2539" s="3" t="s">
        <v>97</v>
      </c>
      <c r="H2539" s="2" t="s">
        <v>72</v>
      </c>
      <c r="I2539" s="2" t="s">
        <v>6457</v>
      </c>
      <c r="J2539" s="3" t="str">
        <f>HYPERLINK("https://www.boe.es/gazeta/dias/1815/09/19/pdfs/GMD-1815-116.pdf#page=3","Abrir facsímil")</f>
        <v>Abrir facsímil</v>
      </c>
      <c r="K2539" s="3" t="s">
        <v>74</v>
      </c>
    </row>
    <row r="2540" spans="1:11" ht="42" customHeight="1">
      <c r="A2540" s="2" t="s">
        <v>6458</v>
      </c>
      <c r="B2540" s="2" t="s">
        <v>6459</v>
      </c>
      <c r="C2540" s="2" t="s">
        <v>31</v>
      </c>
      <c r="D2540" s="2" t="s">
        <v>32</v>
      </c>
      <c r="E2540" s="5">
        <v>-30937</v>
      </c>
      <c r="F2540" s="3" t="s">
        <v>322</v>
      </c>
      <c r="G2540" s="3" t="s">
        <v>5101</v>
      </c>
      <c r="H2540" s="2" t="s">
        <v>72</v>
      </c>
      <c r="I2540" s="2" t="s">
        <v>6460</v>
      </c>
      <c r="J2540" s="3" t="str">
        <f>HYPERLINK("https://www.boe.es/gazeta/dias/1815/04/18/pdfs/GMD-1815-47.pdf#page=7","Abrir facsímil")</f>
        <v>Abrir facsímil</v>
      </c>
      <c r="K2540" s="3" t="s">
        <v>74</v>
      </c>
    </row>
    <row r="2541" spans="1:11" ht="42" customHeight="1">
      <c r="A2541" s="2" t="s">
        <v>6461</v>
      </c>
      <c r="B2541" s="2" t="s">
        <v>6462</v>
      </c>
      <c r="C2541" s="2" t="s">
        <v>31</v>
      </c>
      <c r="D2541" s="2" t="s">
        <v>32</v>
      </c>
      <c r="E2541" s="5">
        <v>-30699</v>
      </c>
      <c r="F2541" s="3" t="s">
        <v>810</v>
      </c>
      <c r="G2541" s="3" t="s">
        <v>38</v>
      </c>
      <c r="H2541" s="2" t="s">
        <v>72</v>
      </c>
      <c r="I2541" s="2" t="s">
        <v>6463</v>
      </c>
      <c r="J2541" s="3" t="str">
        <f>HYPERLINK("https://www.boe.es/gazeta/dias/1815/12/12/pdfs/GMD-1815-154.pdf#page=8","Abrir facsímil")</f>
        <v>Abrir facsímil</v>
      </c>
      <c r="K2541" s="3" t="s">
        <v>74</v>
      </c>
    </row>
    <row r="2542" spans="1:11" ht="42" customHeight="1">
      <c r="A2542" s="2" t="s">
        <v>6464</v>
      </c>
      <c r="B2542" s="2" t="s">
        <v>6464</v>
      </c>
      <c r="C2542" s="2" t="s">
        <v>49</v>
      </c>
      <c r="D2542" s="2" t="s">
        <v>50</v>
      </c>
      <c r="E2542" s="5">
        <v>-30972</v>
      </c>
      <c r="F2542" s="3" t="s">
        <v>1382</v>
      </c>
      <c r="G2542" s="3" t="s">
        <v>71</v>
      </c>
      <c r="H2542" s="2" t="s">
        <v>72</v>
      </c>
      <c r="I2542" s="2" t="s">
        <v>6465</v>
      </c>
      <c r="J2542" s="3" t="str">
        <f>HYPERLINK("https://www.boe.es/gazeta/dias/1815/03/14/pdfs/GMD-1815-31.pdf#page=7","Abrir facsímil")</f>
        <v>Abrir facsímil</v>
      </c>
      <c r="K2542" s="3" t="s">
        <v>74</v>
      </c>
    </row>
    <row r="2543" spans="1:11" ht="42" customHeight="1">
      <c r="A2543" s="2" t="s">
        <v>6466</v>
      </c>
      <c r="B2543" s="2" t="s">
        <v>6467</v>
      </c>
      <c r="C2543" s="2" t="s">
        <v>49</v>
      </c>
      <c r="D2543" s="2" t="s">
        <v>50</v>
      </c>
      <c r="E2543" s="5">
        <v>-30835</v>
      </c>
      <c r="F2543" s="3" t="s">
        <v>544</v>
      </c>
      <c r="G2543" s="3" t="s">
        <v>88</v>
      </c>
      <c r="H2543" s="2" t="s">
        <v>72</v>
      </c>
      <c r="I2543" s="2" t="s">
        <v>6468</v>
      </c>
      <c r="J2543" s="3" t="str">
        <f>HYPERLINK("https://www.boe.es/gazeta/dias/1815/07/29/pdfs/GMD-1815-93.pdf#page=10","Abrir facsímil")</f>
        <v>Abrir facsímil</v>
      </c>
      <c r="K2543" s="3" t="s">
        <v>74</v>
      </c>
    </row>
    <row r="2544" spans="1:11" ht="42" customHeight="1">
      <c r="A2544" s="2" t="s">
        <v>6466</v>
      </c>
      <c r="B2544" s="2" t="s">
        <v>6467</v>
      </c>
      <c r="C2544" s="2" t="s">
        <v>81</v>
      </c>
      <c r="D2544" s="2" t="s">
        <v>50</v>
      </c>
      <c r="E2544" s="5">
        <v>-30832</v>
      </c>
      <c r="F2544" s="3" t="s">
        <v>266</v>
      </c>
      <c r="G2544" s="3" t="s">
        <v>88</v>
      </c>
      <c r="H2544" s="2" t="s">
        <v>72</v>
      </c>
      <c r="I2544" s="2" t="s">
        <v>6469</v>
      </c>
      <c r="J2544" s="3" t="str">
        <f>HYPERLINK("https://www.boe.es/gazeta/dias/1815/08/01/pdfs/GMD-1815-94.pdf#page=10","Abrir facsímil")</f>
        <v>Abrir facsímil</v>
      </c>
      <c r="K2544" s="3" t="s">
        <v>74</v>
      </c>
    </row>
    <row r="2545" spans="1:11" ht="42" customHeight="1">
      <c r="A2545" s="2" t="s">
        <v>6466</v>
      </c>
      <c r="B2545" s="2" t="s">
        <v>6467</v>
      </c>
      <c r="C2545" s="2" t="s">
        <v>49</v>
      </c>
      <c r="D2545" s="2" t="s">
        <v>50</v>
      </c>
      <c r="E2545" s="5">
        <v>-30830</v>
      </c>
      <c r="F2545" s="3" t="s">
        <v>33</v>
      </c>
      <c r="G2545" s="3" t="s">
        <v>52</v>
      </c>
      <c r="H2545" s="2" t="s">
        <v>72</v>
      </c>
      <c r="I2545" s="2" t="s">
        <v>6470</v>
      </c>
      <c r="J2545" s="3" t="str">
        <f>HYPERLINK("https://www.boe.es/gazeta/dias/1815/08/03/pdfs/GMD-1815-95.pdf#page=11","Abrir facsímil")</f>
        <v>Abrir facsímil</v>
      </c>
      <c r="K2545" s="3" t="s">
        <v>74</v>
      </c>
    </row>
    <row r="2546" spans="1:11" ht="42" customHeight="1">
      <c r="A2546" s="2" t="s">
        <v>6471</v>
      </c>
      <c r="B2546" s="2" t="s">
        <v>6472</v>
      </c>
      <c r="C2546" s="2" t="s">
        <v>81</v>
      </c>
      <c r="D2546" s="2" t="s">
        <v>50</v>
      </c>
      <c r="E2546" s="5">
        <v>-30776</v>
      </c>
      <c r="F2546" s="3" t="s">
        <v>118</v>
      </c>
      <c r="G2546" s="3" t="s">
        <v>38</v>
      </c>
      <c r="H2546" s="2" t="s">
        <v>72</v>
      </c>
      <c r="I2546" s="2" t="s">
        <v>6473</v>
      </c>
      <c r="J2546" s="3" t="str">
        <f>HYPERLINK("https://www.boe.es/gazeta/dias/1815/09/26/pdfs/GMD-1815-119.pdf#page=8","Abrir facsímil")</f>
        <v>Abrir facsímil</v>
      </c>
      <c r="K2546" s="3" t="s">
        <v>74</v>
      </c>
    </row>
    <row r="2547" spans="1:11" ht="42" customHeight="1">
      <c r="A2547" s="2" t="s">
        <v>6474</v>
      </c>
      <c r="B2547" s="2" t="s">
        <v>6475</v>
      </c>
      <c r="C2547" s="2" t="s">
        <v>31</v>
      </c>
      <c r="D2547" s="2" t="s">
        <v>32</v>
      </c>
      <c r="E2547" s="5">
        <v>-30919</v>
      </c>
      <c r="F2547" s="3" t="s">
        <v>792</v>
      </c>
      <c r="G2547" s="3" t="s">
        <v>6476</v>
      </c>
      <c r="H2547" s="2" t="s">
        <v>72</v>
      </c>
      <c r="I2547" s="2" t="s">
        <v>6477</v>
      </c>
      <c r="J2547" s="3" t="str">
        <f>HYPERLINK("https://www.boe.es/gazeta/dias/1815/05/06/pdfs/GMD-1815-55.pdf#page=7","Abrir facsímil")</f>
        <v>Abrir facsímil</v>
      </c>
      <c r="K2547" s="3" t="s">
        <v>74</v>
      </c>
    </row>
    <row r="2548" spans="1:11" ht="42" customHeight="1">
      <c r="A2548" s="2" t="s">
        <v>6478</v>
      </c>
      <c r="B2548" s="2" t="s">
        <v>6479</v>
      </c>
      <c r="C2548" s="2" t="s">
        <v>17</v>
      </c>
      <c r="D2548" s="2" t="s">
        <v>18</v>
      </c>
      <c r="E2548" s="5">
        <v>-30767</v>
      </c>
      <c r="F2548" s="3" t="s">
        <v>228</v>
      </c>
      <c r="G2548" s="3" t="s">
        <v>1516</v>
      </c>
      <c r="H2548" s="2" t="s">
        <v>21</v>
      </c>
      <c r="I2548" s="2" t="s">
        <v>6480</v>
      </c>
      <c r="J2548" s="3" t="str">
        <f>HYPERLINK("https://www.boe.es/gazeta/dias/1815/10/05/pdfs/GMD-1815-125.pdf#page=4","Abrir facsímil")</f>
        <v>Abrir facsímil</v>
      </c>
      <c r="K2548" s="3" t="s">
        <v>23</v>
      </c>
    </row>
    <row r="2549" spans="1:11" ht="42" customHeight="1">
      <c r="A2549" s="2" t="s">
        <v>6481</v>
      </c>
      <c r="B2549" s="2" t="s">
        <v>6482</v>
      </c>
      <c r="C2549" s="2" t="s">
        <v>195</v>
      </c>
      <c r="D2549" s="2" t="s">
        <v>50</v>
      </c>
      <c r="E2549" s="5">
        <v>-30888</v>
      </c>
      <c r="F2549" s="3" t="s">
        <v>368</v>
      </c>
      <c r="G2549" s="3" t="s">
        <v>38</v>
      </c>
      <c r="H2549" s="2" t="s">
        <v>21</v>
      </c>
      <c r="I2549" s="2" t="s">
        <v>6483</v>
      </c>
      <c r="J2549" s="3" t="str">
        <f>HYPERLINK("https://www.boe.es/gazeta/dias/1815/06/06/pdfs/GMD-1815-68.pdf#page=8","Abrir facsímil")</f>
        <v>Abrir facsímil</v>
      </c>
      <c r="K2549" s="3" t="s">
        <v>23</v>
      </c>
    </row>
    <row r="2550" spans="1:11" ht="42" customHeight="1">
      <c r="A2550" s="2" t="s">
        <v>6484</v>
      </c>
      <c r="B2550" s="2" t="s">
        <v>6485</v>
      </c>
      <c r="C2550" s="2" t="s">
        <v>31</v>
      </c>
      <c r="D2550" s="2" t="s">
        <v>32</v>
      </c>
      <c r="E2550" s="5">
        <v>-30807</v>
      </c>
      <c r="F2550" s="3" t="s">
        <v>586</v>
      </c>
      <c r="G2550" s="3" t="s">
        <v>27</v>
      </c>
      <c r="H2550" s="2" t="s">
        <v>72</v>
      </c>
      <c r="I2550" s="2" t="s">
        <v>6486</v>
      </c>
      <c r="J2550" s="3" t="str">
        <f>HYPERLINK("https://www.boe.es/gazeta/dias/1815/08/26/pdfs/GMD-1815-105.pdf#page=6","Abrir facsímil")</f>
        <v>Abrir facsímil</v>
      </c>
      <c r="K2550" s="3" t="s">
        <v>74</v>
      </c>
    </row>
    <row r="2551" spans="1:11" ht="42" customHeight="1">
      <c r="A2551" s="2" t="s">
        <v>6487</v>
      </c>
      <c r="B2551" s="2" t="s">
        <v>6488</v>
      </c>
      <c r="C2551" s="2" t="s">
        <v>17</v>
      </c>
      <c r="D2551" s="2" t="s">
        <v>18</v>
      </c>
      <c r="E2551" s="5">
        <v>-30842</v>
      </c>
      <c r="F2551" s="3" t="s">
        <v>126</v>
      </c>
      <c r="G2551" s="3" t="s">
        <v>88</v>
      </c>
      <c r="H2551" s="2" t="s">
        <v>72</v>
      </c>
      <c r="I2551" s="2" t="s">
        <v>6489</v>
      </c>
      <c r="J2551" s="3" t="str">
        <f>HYPERLINK("https://www.boe.es/gazeta/dias/1815/07/22/pdfs/GMD-1815-90.pdf#page=10","Abrir facsímil")</f>
        <v>Abrir facsímil</v>
      </c>
      <c r="K2551" s="3" t="s">
        <v>74</v>
      </c>
    </row>
    <row r="2552" spans="1:11" ht="42" customHeight="1">
      <c r="A2552" s="2" t="s">
        <v>6490</v>
      </c>
      <c r="B2552" s="2" t="s">
        <v>6491</v>
      </c>
      <c r="C2552" s="2" t="s">
        <v>49</v>
      </c>
      <c r="D2552" s="2" t="s">
        <v>50</v>
      </c>
      <c r="E2552" s="5">
        <v>-30863</v>
      </c>
      <c r="F2552" s="3" t="s">
        <v>110</v>
      </c>
      <c r="G2552" s="3" t="s">
        <v>224</v>
      </c>
      <c r="H2552" s="2" t="s">
        <v>72</v>
      </c>
      <c r="I2552" s="2" t="s">
        <v>6492</v>
      </c>
      <c r="J2552" s="3" t="str">
        <f>HYPERLINK("https://www.boe.es/gazeta/dias/1815/07/01/pdfs/GMD-1815-79.pdf#page=9","Abrir facsímil")</f>
        <v>Abrir facsímil</v>
      </c>
      <c r="K2552" s="3" t="s">
        <v>74</v>
      </c>
    </row>
    <row r="2553" spans="1:11" ht="42" customHeight="1">
      <c r="A2553" s="2" t="s">
        <v>6493</v>
      </c>
      <c r="B2553" s="2" t="s">
        <v>6494</v>
      </c>
      <c r="C2553" s="2" t="s">
        <v>31</v>
      </c>
      <c r="D2553" s="2" t="s">
        <v>32</v>
      </c>
      <c r="E2553" s="5">
        <v>-30916</v>
      </c>
      <c r="F2553" s="3" t="s">
        <v>147</v>
      </c>
      <c r="G2553" s="3" t="s">
        <v>148</v>
      </c>
      <c r="H2553" s="2" t="s">
        <v>72</v>
      </c>
      <c r="I2553" s="2" t="s">
        <v>6495</v>
      </c>
      <c r="J2553" s="3" t="str">
        <f>HYPERLINK("https://www.boe.es/gazeta/dias/1815/05/09/pdfs/GMD-1815-56.pdf#page=7","Abrir facsímil")</f>
        <v>Abrir facsímil</v>
      </c>
      <c r="K2553" s="3" t="s">
        <v>74</v>
      </c>
    </row>
    <row r="2554" spans="1:11" ht="42" customHeight="1">
      <c r="A2554" s="2" t="s">
        <v>6496</v>
      </c>
      <c r="B2554" s="2" t="s">
        <v>6497</v>
      </c>
      <c r="C2554" s="2" t="s">
        <v>31</v>
      </c>
      <c r="D2554" s="2" t="s">
        <v>32</v>
      </c>
      <c r="E2554" s="5">
        <v>-30914</v>
      </c>
      <c r="F2554" s="3" t="s">
        <v>338</v>
      </c>
      <c r="G2554" s="3" t="s">
        <v>52</v>
      </c>
      <c r="H2554" s="2" t="s">
        <v>72</v>
      </c>
      <c r="I2554" s="2" t="s">
        <v>6498</v>
      </c>
      <c r="J2554" s="3" t="str">
        <f>HYPERLINK("https://www.boe.es/gazeta/dias/1815/05/11/pdfs/GMD-1815-57.pdf#page=11","Abrir facsímil")</f>
        <v>Abrir facsímil</v>
      </c>
      <c r="K2554" s="3" t="s">
        <v>74</v>
      </c>
    </row>
    <row r="2555" spans="1:11" ht="42" customHeight="1">
      <c r="A2555" s="2" t="s">
        <v>6499</v>
      </c>
      <c r="B2555" s="2" t="s">
        <v>6500</v>
      </c>
      <c r="C2555" s="2" t="s">
        <v>49</v>
      </c>
      <c r="D2555" s="2" t="s">
        <v>50</v>
      </c>
      <c r="E2555" s="5">
        <v>-30865</v>
      </c>
      <c r="F2555" s="3" t="s">
        <v>163</v>
      </c>
      <c r="G2555" s="3" t="s">
        <v>71</v>
      </c>
      <c r="H2555" s="2" t="s">
        <v>72</v>
      </c>
      <c r="I2555" s="2" t="s">
        <v>6501</v>
      </c>
      <c r="J2555" s="3" t="str">
        <f>HYPERLINK("https://www.boe.es/gazeta/dias/1815/06/29/pdfs/GMD-1815-78.pdf#page=7","Abrir facsímil")</f>
        <v>Abrir facsímil</v>
      </c>
      <c r="K2555" s="3" t="s">
        <v>74</v>
      </c>
    </row>
    <row r="2556" spans="1:11" ht="42" customHeight="1">
      <c r="A2556" s="2" t="s">
        <v>6502</v>
      </c>
      <c r="B2556" s="2" t="s">
        <v>6503</v>
      </c>
      <c r="C2556" s="2" t="s">
        <v>31</v>
      </c>
      <c r="D2556" s="2" t="s">
        <v>32</v>
      </c>
      <c r="E2556" s="5">
        <v>-30893</v>
      </c>
      <c r="F2556" s="3" t="s">
        <v>132</v>
      </c>
      <c r="G2556" s="3" t="s">
        <v>155</v>
      </c>
      <c r="H2556" s="2" t="s">
        <v>72</v>
      </c>
      <c r="I2556" s="2" t="s">
        <v>6504</v>
      </c>
      <c r="J2556" s="3" t="str">
        <f>HYPERLINK("https://www.boe.es/gazeta/dias/1815/06/01/pdfs/GMD-1815-66.pdf#page=6","Abrir facsímil")</f>
        <v>Abrir facsímil</v>
      </c>
      <c r="K2556" s="3" t="s">
        <v>74</v>
      </c>
    </row>
    <row r="2557" spans="1:11" ht="42" customHeight="1">
      <c r="A2557" s="2" t="s">
        <v>6505</v>
      </c>
      <c r="B2557" s="2" t="s">
        <v>6506</v>
      </c>
      <c r="C2557" s="2" t="s">
        <v>17</v>
      </c>
      <c r="D2557" s="2" t="s">
        <v>18</v>
      </c>
      <c r="E2557" s="5">
        <v>-30886</v>
      </c>
      <c r="F2557" s="3" t="s">
        <v>140</v>
      </c>
      <c r="G2557" s="3" t="s">
        <v>224</v>
      </c>
      <c r="H2557" s="2" t="s">
        <v>72</v>
      </c>
      <c r="I2557" s="2" t="s">
        <v>6507</v>
      </c>
      <c r="J2557" s="3" t="str">
        <f>HYPERLINK("https://www.boe.es/gazeta/dias/1815/06/08/pdfs/GMD-1815-69.pdf#page=9","Abrir facsímil")</f>
        <v>Abrir facsímil</v>
      </c>
      <c r="K2557" s="3" t="s">
        <v>74</v>
      </c>
    </row>
    <row r="2558" spans="1:11" ht="42" customHeight="1">
      <c r="A2558" s="2" t="s">
        <v>6508</v>
      </c>
      <c r="B2558" s="2" t="s">
        <v>6509</v>
      </c>
      <c r="C2558" s="2" t="s">
        <v>49</v>
      </c>
      <c r="D2558" s="2" t="s">
        <v>50</v>
      </c>
      <c r="E2558" s="5">
        <v>-30804</v>
      </c>
      <c r="F2558" s="3" t="s">
        <v>891</v>
      </c>
      <c r="G2558" s="3" t="s">
        <v>38</v>
      </c>
      <c r="H2558" s="2" t="s">
        <v>72</v>
      </c>
      <c r="I2558" s="2" t="s">
        <v>6510</v>
      </c>
      <c r="J2558" s="3" t="str">
        <f>HYPERLINK("https://www.boe.es/gazeta/dias/1815/08/29/pdfs/GMD-1815-106.pdf#page=8","Abrir facsímil")</f>
        <v>Abrir facsímil</v>
      </c>
      <c r="K2558" s="3" t="s">
        <v>74</v>
      </c>
    </row>
    <row r="2559" spans="1:11" ht="42" customHeight="1">
      <c r="A2559" s="2" t="s">
        <v>6511</v>
      </c>
      <c r="B2559" s="2" t="s">
        <v>6512</v>
      </c>
      <c r="C2559" s="2" t="s">
        <v>31</v>
      </c>
      <c r="D2559" s="2" t="s">
        <v>32</v>
      </c>
      <c r="E2559" s="5">
        <v>-30942</v>
      </c>
      <c r="F2559" s="3" t="s">
        <v>730</v>
      </c>
      <c r="G2559" s="3" t="s">
        <v>862</v>
      </c>
      <c r="H2559" s="2" t="s">
        <v>72</v>
      </c>
      <c r="I2559" s="2" t="s">
        <v>6513</v>
      </c>
      <c r="J2559" s="3" t="str">
        <f>HYPERLINK("https://www.boe.es/gazeta/dias/1815/04/13/pdfs/GMD-1815-45.pdf#page=6","Abrir facsímil")</f>
        <v>Abrir facsímil</v>
      </c>
      <c r="K2559" s="3" t="s">
        <v>74</v>
      </c>
    </row>
    <row r="2560" spans="1:11" ht="42" customHeight="1">
      <c r="A2560" s="2" t="s">
        <v>6514</v>
      </c>
      <c r="B2560" s="2" t="s">
        <v>6515</v>
      </c>
      <c r="C2560" s="2" t="s">
        <v>195</v>
      </c>
      <c r="D2560" s="2" t="s">
        <v>50</v>
      </c>
      <c r="E2560" s="5">
        <v>-30767</v>
      </c>
      <c r="F2560" s="3" t="s">
        <v>228</v>
      </c>
      <c r="G2560" s="3" t="s">
        <v>52</v>
      </c>
      <c r="H2560" s="2" t="s">
        <v>72</v>
      </c>
      <c r="I2560" s="2" t="s">
        <v>6516</v>
      </c>
      <c r="J2560" s="3" t="str">
        <f>HYPERLINK("https://www.boe.es/gazeta/dias/1815/10/05/pdfs/GMD-1815-125.pdf#page=11","Abrir facsímil")</f>
        <v>Abrir facsímil</v>
      </c>
      <c r="K2560" s="3" t="s">
        <v>74</v>
      </c>
    </row>
    <row r="2561" spans="1:11" ht="42" customHeight="1">
      <c r="A2561" s="2" t="s">
        <v>6517</v>
      </c>
      <c r="B2561" s="2" t="s">
        <v>6518</v>
      </c>
      <c r="C2561" s="2" t="s">
        <v>49</v>
      </c>
      <c r="D2561" s="2" t="s">
        <v>50</v>
      </c>
      <c r="E2561" s="5">
        <v>-30951</v>
      </c>
      <c r="F2561" s="3" t="s">
        <v>87</v>
      </c>
      <c r="G2561" s="3" t="s">
        <v>88</v>
      </c>
      <c r="H2561" s="2" t="s">
        <v>72</v>
      </c>
      <c r="I2561" s="2" t="s">
        <v>6519</v>
      </c>
      <c r="J2561" s="3" t="str">
        <f>HYPERLINK("https://www.boe.es/gazeta/dias/1815/04/04/pdfs/GMD-1815-41.pdf#page=10","Abrir facsímil")</f>
        <v>Abrir facsímil</v>
      </c>
      <c r="K2561" s="3" t="s">
        <v>74</v>
      </c>
    </row>
    <row r="2562" spans="1:11" ht="42" customHeight="1">
      <c r="A2562" s="2" t="s">
        <v>6520</v>
      </c>
      <c r="B2562" s="2" t="s">
        <v>6520</v>
      </c>
      <c r="C2562" s="2" t="s">
        <v>17</v>
      </c>
      <c r="D2562" s="2" t="s">
        <v>18</v>
      </c>
      <c r="E2562" s="5">
        <v>-30909</v>
      </c>
      <c r="F2562" s="3" t="s">
        <v>581</v>
      </c>
      <c r="G2562" s="3" t="s">
        <v>57</v>
      </c>
      <c r="H2562" s="2" t="s">
        <v>72</v>
      </c>
      <c r="I2562" s="2" t="s">
        <v>6521</v>
      </c>
      <c r="J2562" s="3" t="str">
        <f>HYPERLINK("https://www.boe.es/gazeta/dias/1815/05/16/pdfs/GMD-1815-59.pdf#page=5","Abrir facsímil")</f>
        <v>Abrir facsímil</v>
      </c>
      <c r="K2562" s="3" t="s">
        <v>74</v>
      </c>
    </row>
    <row r="2563" spans="1:11" ht="42" customHeight="1">
      <c r="A2563" s="2" t="s">
        <v>6522</v>
      </c>
      <c r="B2563" s="2" t="s">
        <v>6523</v>
      </c>
      <c r="C2563" s="2" t="s">
        <v>31</v>
      </c>
      <c r="D2563" s="2" t="s">
        <v>32</v>
      </c>
      <c r="E2563" s="5">
        <v>-30709</v>
      </c>
      <c r="F2563" s="3" t="s">
        <v>314</v>
      </c>
      <c r="G2563" s="3" t="s">
        <v>97</v>
      </c>
      <c r="H2563" s="2" t="s">
        <v>72</v>
      </c>
      <c r="I2563" s="2" t="s">
        <v>6524</v>
      </c>
      <c r="J2563" s="3" t="str">
        <f>HYPERLINK("https://www.boe.es/gazeta/dias/1815/12/02/pdfs/GMD-1815-150.pdf#page=3","Abrir facsímil")</f>
        <v>Abrir facsímil</v>
      </c>
      <c r="K2563" s="3" t="s">
        <v>74</v>
      </c>
    </row>
    <row r="2564" spans="1:11" ht="42" customHeight="1">
      <c r="A2564" s="2" t="s">
        <v>6525</v>
      </c>
      <c r="B2564" s="2" t="s">
        <v>6525</v>
      </c>
      <c r="C2564" s="2" t="s">
        <v>31</v>
      </c>
      <c r="D2564" s="2" t="s">
        <v>32</v>
      </c>
      <c r="E2564" s="5">
        <v>-30863</v>
      </c>
      <c r="F2564" s="3" t="s">
        <v>110</v>
      </c>
      <c r="G2564" s="3" t="s">
        <v>224</v>
      </c>
      <c r="H2564" s="2" t="s">
        <v>72</v>
      </c>
      <c r="I2564" s="2" t="s">
        <v>6526</v>
      </c>
      <c r="J2564" s="3" t="str">
        <f>HYPERLINK("https://www.boe.es/gazeta/dias/1815/07/01/pdfs/GMD-1815-79.pdf#page=9","Abrir facsímil")</f>
        <v>Abrir facsímil</v>
      </c>
      <c r="K2564" s="3" t="s">
        <v>74</v>
      </c>
    </row>
    <row r="2565" spans="1:11" ht="42" customHeight="1">
      <c r="A2565" s="2" t="s">
        <v>6527</v>
      </c>
      <c r="B2565" s="2" t="s">
        <v>6528</v>
      </c>
      <c r="C2565" s="2" t="s">
        <v>17</v>
      </c>
      <c r="D2565" s="2" t="s">
        <v>18</v>
      </c>
      <c r="E2565" s="5">
        <v>-30984</v>
      </c>
      <c r="F2565" s="3" t="s">
        <v>748</v>
      </c>
      <c r="G2565" s="3" t="s">
        <v>4039</v>
      </c>
      <c r="H2565" s="2" t="s">
        <v>72</v>
      </c>
      <c r="I2565" s="2" t="s">
        <v>6529</v>
      </c>
      <c r="J2565" s="3" t="str">
        <f>HYPERLINK("https://www.boe.es/gazeta/dias/1815/03/02/pdfs/GMD-1815-26.pdf#page=7","Abrir facsímil")</f>
        <v>Abrir facsímil</v>
      </c>
      <c r="K2565" s="3" t="s">
        <v>74</v>
      </c>
    </row>
    <row r="2566" spans="1:11" ht="42" customHeight="1">
      <c r="A2566" s="2" t="s">
        <v>6530</v>
      </c>
      <c r="B2566" s="2" t="s">
        <v>6531</v>
      </c>
      <c r="C2566" s="2" t="s">
        <v>49</v>
      </c>
      <c r="D2566" s="2" t="s">
        <v>50</v>
      </c>
      <c r="E2566" s="5">
        <v>-30916</v>
      </c>
      <c r="F2566" s="3" t="s">
        <v>147</v>
      </c>
      <c r="G2566" s="3" t="s">
        <v>38</v>
      </c>
      <c r="H2566" s="2" t="s">
        <v>72</v>
      </c>
      <c r="I2566" s="2" t="s">
        <v>6532</v>
      </c>
      <c r="J2566" s="3" t="str">
        <f>HYPERLINK("https://www.boe.es/gazeta/dias/1815/05/09/pdfs/GMD-1815-56.pdf#page=8","Abrir facsímil")</f>
        <v>Abrir facsímil</v>
      </c>
      <c r="K2566" s="3" t="s">
        <v>74</v>
      </c>
    </row>
    <row r="2567" spans="1:11" ht="42" customHeight="1">
      <c r="A2567" s="2" t="s">
        <v>6533</v>
      </c>
      <c r="B2567" s="2" t="s">
        <v>6534</v>
      </c>
      <c r="C2567" s="2" t="s">
        <v>31</v>
      </c>
      <c r="D2567" s="2" t="s">
        <v>32</v>
      </c>
      <c r="E2567" s="5">
        <v>-30846</v>
      </c>
      <c r="F2567" s="3" t="s">
        <v>858</v>
      </c>
      <c r="G2567" s="3" t="s">
        <v>57</v>
      </c>
      <c r="H2567" s="2" t="s">
        <v>72</v>
      </c>
      <c r="I2567" s="2" t="s">
        <v>6535</v>
      </c>
      <c r="J2567" s="3" t="str">
        <f>HYPERLINK("https://www.boe.es/gazeta/dias/1815/07/18/pdfs/GMD-1815-88.pdf#page=5","Abrir facsímil")</f>
        <v>Abrir facsímil</v>
      </c>
      <c r="K2567" s="3" t="s">
        <v>74</v>
      </c>
    </row>
    <row r="2568" spans="1:11" ht="42" customHeight="1">
      <c r="A2568" s="2" t="s">
        <v>6536</v>
      </c>
      <c r="B2568" s="2" t="s">
        <v>6537</v>
      </c>
      <c r="C2568" s="2" t="s">
        <v>49</v>
      </c>
      <c r="D2568" s="2" t="s">
        <v>50</v>
      </c>
      <c r="E2568" s="5">
        <v>-30916</v>
      </c>
      <c r="F2568" s="3" t="s">
        <v>147</v>
      </c>
      <c r="G2568" s="3" t="s">
        <v>148</v>
      </c>
      <c r="H2568" s="2" t="s">
        <v>72</v>
      </c>
      <c r="I2568" s="2" t="s">
        <v>6538</v>
      </c>
      <c r="J2568" s="3" t="str">
        <f>HYPERLINK("https://www.boe.es/gazeta/dias/1815/05/09/pdfs/GMD-1815-56.pdf#page=7","Abrir facsímil")</f>
        <v>Abrir facsímil</v>
      </c>
      <c r="K2568" s="3" t="s">
        <v>74</v>
      </c>
    </row>
    <row r="2569" spans="1:11" ht="42" customHeight="1">
      <c r="A2569" s="2" t="s">
        <v>6539</v>
      </c>
      <c r="B2569" s="2" t="s">
        <v>6540</v>
      </c>
      <c r="C2569" s="2" t="s">
        <v>61</v>
      </c>
      <c r="D2569" s="2" t="s">
        <v>50</v>
      </c>
      <c r="E2569" s="5">
        <v>-30933</v>
      </c>
      <c r="F2569" s="3" t="s">
        <v>725</v>
      </c>
      <c r="G2569" s="3" t="s">
        <v>3007</v>
      </c>
      <c r="H2569" s="2" t="s">
        <v>72</v>
      </c>
      <c r="I2569" s="2" t="s">
        <v>6541</v>
      </c>
      <c r="J2569" s="3" t="str">
        <f>HYPERLINK("https://www.boe.es/gazeta/dias/1815/04/22/pdfs/GMD-1815-49.pdf#page=8","Abrir facsímil")</f>
        <v>Abrir facsímil</v>
      </c>
      <c r="K2569" s="3" t="s">
        <v>74</v>
      </c>
    </row>
    <row r="2570" spans="1:11" ht="42" customHeight="1">
      <c r="A2570" s="2" t="s">
        <v>6542</v>
      </c>
      <c r="B2570" s="2" t="s">
        <v>6543</v>
      </c>
      <c r="C2570" s="2" t="s">
        <v>81</v>
      </c>
      <c r="D2570" s="2" t="s">
        <v>50</v>
      </c>
      <c r="E2570" s="5">
        <v>-30811</v>
      </c>
      <c r="F2570" s="3" t="s">
        <v>293</v>
      </c>
      <c r="G2570" s="3" t="s">
        <v>5091</v>
      </c>
      <c r="H2570" s="2" t="s">
        <v>72</v>
      </c>
      <c r="I2570" s="2" t="s">
        <v>6544</v>
      </c>
      <c r="J2570" s="3" t="str">
        <f>HYPERLINK("https://www.boe.es/gazeta/dias/1815/08/22/pdfs/GMD-1815-103.pdf#page=8","Abrir facsímil")</f>
        <v>Abrir facsímil</v>
      </c>
      <c r="K2570" s="3" t="s">
        <v>74</v>
      </c>
    </row>
    <row r="2571" spans="1:11" ht="42" customHeight="1">
      <c r="A2571" s="2" t="s">
        <v>6542</v>
      </c>
      <c r="B2571" s="2" t="s">
        <v>6543</v>
      </c>
      <c r="C2571" s="2" t="s">
        <v>49</v>
      </c>
      <c r="D2571" s="2" t="s">
        <v>50</v>
      </c>
      <c r="E2571" s="5">
        <v>-30811</v>
      </c>
      <c r="F2571" s="3" t="s">
        <v>293</v>
      </c>
      <c r="G2571" s="3" t="s">
        <v>71</v>
      </c>
      <c r="H2571" s="2" t="s">
        <v>72</v>
      </c>
      <c r="I2571" s="2" t="s">
        <v>6545</v>
      </c>
      <c r="J2571" s="3" t="str">
        <f>HYPERLINK("https://www.boe.es/gazeta/dias/1815/08/22/pdfs/GMD-1815-103.pdf#page=7","Abrir facsímil")</f>
        <v>Abrir facsímil</v>
      </c>
      <c r="K2571" s="3" t="s">
        <v>74</v>
      </c>
    </row>
    <row r="2572" spans="1:11" ht="42" customHeight="1">
      <c r="A2572" s="2" t="s">
        <v>6546</v>
      </c>
      <c r="B2572" s="2" t="s">
        <v>6547</v>
      </c>
      <c r="C2572" s="2" t="s">
        <v>49</v>
      </c>
      <c r="D2572" s="2" t="s">
        <v>50</v>
      </c>
      <c r="E2572" s="5">
        <v>-30886</v>
      </c>
      <c r="F2572" s="3" t="s">
        <v>140</v>
      </c>
      <c r="G2572" s="3" t="s">
        <v>224</v>
      </c>
      <c r="H2572" s="2" t="s">
        <v>72</v>
      </c>
      <c r="I2572" s="2" t="s">
        <v>6548</v>
      </c>
      <c r="J2572" s="3" t="str">
        <f>HYPERLINK("https://www.boe.es/gazeta/dias/1815/06/08/pdfs/GMD-1815-69.pdf#page=9","Abrir facsímil")</f>
        <v>Abrir facsímil</v>
      </c>
      <c r="K2572" s="3" t="s">
        <v>74</v>
      </c>
    </row>
    <row r="2573" spans="1:11" ht="42" customHeight="1">
      <c r="A2573" s="2" t="s">
        <v>6549</v>
      </c>
      <c r="B2573" s="2" t="s">
        <v>6549</v>
      </c>
      <c r="C2573" s="2" t="s">
        <v>131</v>
      </c>
      <c r="D2573" s="2" t="s">
        <v>50</v>
      </c>
      <c r="E2573" s="5">
        <v>-30872</v>
      </c>
      <c r="F2573" s="3" t="s">
        <v>167</v>
      </c>
      <c r="G2573" s="3" t="s">
        <v>342</v>
      </c>
      <c r="H2573" s="2" t="s">
        <v>72</v>
      </c>
      <c r="I2573" s="2" t="s">
        <v>6550</v>
      </c>
      <c r="J2573" s="3" t="str">
        <f>HYPERLINK("https://www.boe.es/gazeta/dias/1815/06/22/pdfs/GMD-1815-75.pdf#page=8","Abrir facsímil")</f>
        <v>Abrir facsímil</v>
      </c>
      <c r="K2573" s="3" t="s">
        <v>74</v>
      </c>
    </row>
    <row r="2574" spans="1:11" ht="42" customHeight="1">
      <c r="A2574" s="2" t="s">
        <v>6551</v>
      </c>
      <c r="B2574" s="2" t="s">
        <v>6552</v>
      </c>
      <c r="C2574" s="2" t="s">
        <v>31</v>
      </c>
      <c r="D2574" s="2" t="s">
        <v>32</v>
      </c>
      <c r="E2574" s="5">
        <v>-30996</v>
      </c>
      <c r="F2574" s="3" t="s">
        <v>289</v>
      </c>
      <c r="G2574" s="3" t="s">
        <v>97</v>
      </c>
      <c r="H2574" s="2" t="s">
        <v>72</v>
      </c>
      <c r="I2574" s="2" t="s">
        <v>6553</v>
      </c>
      <c r="J2574" s="3" t="str">
        <f>HYPERLINK("https://www.boe.es/gazeta/dias/1815/02/18/pdfs/GMD-1815-21.pdf#page=3","Abrir facsímil")</f>
        <v>Abrir facsímil</v>
      </c>
      <c r="K2574" s="3" t="s">
        <v>74</v>
      </c>
    </row>
    <row r="2575" spans="1:11" ht="42" customHeight="1">
      <c r="A2575" s="2" t="s">
        <v>6554</v>
      </c>
      <c r="B2575" s="2" t="s">
        <v>6554</v>
      </c>
      <c r="C2575" s="2" t="s">
        <v>31</v>
      </c>
      <c r="D2575" s="2" t="s">
        <v>32</v>
      </c>
      <c r="E2575" s="5">
        <v>-30977</v>
      </c>
      <c r="F2575" s="3" t="s">
        <v>37</v>
      </c>
      <c r="G2575" s="3" t="s">
        <v>410</v>
      </c>
      <c r="H2575" s="2" t="s">
        <v>72</v>
      </c>
      <c r="I2575" s="2" t="s">
        <v>6555</v>
      </c>
      <c r="J2575" s="3" t="str">
        <f>HYPERLINK("https://www.boe.es/gazeta/dias/1815/03/09/pdfs/GMD-1815-29.pdf#page=1","Abrir facsímil")</f>
        <v>Abrir facsímil</v>
      </c>
      <c r="K2575" s="3" t="s">
        <v>74</v>
      </c>
    </row>
    <row r="2576" spans="1:11" ht="42" customHeight="1">
      <c r="A2576" s="2" t="s">
        <v>6556</v>
      </c>
      <c r="B2576" s="2" t="s">
        <v>6557</v>
      </c>
      <c r="C2576" s="2" t="s">
        <v>17</v>
      </c>
      <c r="D2576" s="2" t="s">
        <v>18</v>
      </c>
      <c r="E2576" s="5">
        <v>-30891</v>
      </c>
      <c r="F2576" s="3" t="s">
        <v>498</v>
      </c>
      <c r="G2576" s="3" t="s">
        <v>38</v>
      </c>
      <c r="H2576" s="2" t="s">
        <v>72</v>
      </c>
      <c r="I2576" s="2" t="s">
        <v>6558</v>
      </c>
      <c r="J2576" s="3" t="str">
        <f>HYPERLINK("https://www.boe.es/gazeta/dias/1815/06/03/pdfs/GMD-1815-67.pdf#page=8","Abrir facsímil")</f>
        <v>Abrir facsímil</v>
      </c>
      <c r="K2576" s="3" t="s">
        <v>74</v>
      </c>
    </row>
    <row r="2577" spans="1:11" ht="42" customHeight="1">
      <c r="A2577" s="2" t="s">
        <v>6559</v>
      </c>
      <c r="B2577" s="2" t="s">
        <v>6559</v>
      </c>
      <c r="C2577" s="2" t="s">
        <v>49</v>
      </c>
      <c r="D2577" s="2" t="s">
        <v>50</v>
      </c>
      <c r="E2577" s="5">
        <v>-30809</v>
      </c>
      <c r="F2577" s="3" t="s">
        <v>82</v>
      </c>
      <c r="G2577" s="3" t="s">
        <v>2625</v>
      </c>
      <c r="H2577" s="2" t="s">
        <v>72</v>
      </c>
      <c r="I2577" s="2" t="s">
        <v>6560</v>
      </c>
      <c r="J2577" s="3" t="str">
        <f>HYPERLINK("https://www.boe.es/gazeta/dias/1815/08/24/pdfs/GMD-1815-104.pdf#page=3","Abrir facsímil")</f>
        <v>Abrir facsímil</v>
      </c>
      <c r="K2577" s="3" t="s">
        <v>74</v>
      </c>
    </row>
    <row r="2578" spans="1:11" ht="42" customHeight="1">
      <c r="A2578" s="2" t="s">
        <v>6561</v>
      </c>
      <c r="B2578" s="2" t="s">
        <v>6562</v>
      </c>
      <c r="C2578" s="2" t="s">
        <v>31</v>
      </c>
      <c r="D2578" s="2" t="s">
        <v>32</v>
      </c>
      <c r="E2578" s="5">
        <v>-31019</v>
      </c>
      <c r="F2578" s="3" t="s">
        <v>1094</v>
      </c>
      <c r="G2578" s="3" t="s">
        <v>276</v>
      </c>
      <c r="H2578" s="2" t="s">
        <v>72</v>
      </c>
      <c r="I2578" s="2" t="s">
        <v>6563</v>
      </c>
      <c r="J2578" s="3" t="str">
        <f>HYPERLINK("https://www.boe.es/gazeta/dias/1815/01/26/pdfs/GMD-1815-11.pdf#page=12","Abrir facsímil")</f>
        <v>Abrir facsímil</v>
      </c>
      <c r="K2578" s="3" t="s">
        <v>74</v>
      </c>
    </row>
    <row r="2579" spans="1:11" ht="42" customHeight="1">
      <c r="A2579" s="2" t="s">
        <v>6564</v>
      </c>
      <c r="B2579" s="2" t="s">
        <v>6564</v>
      </c>
      <c r="C2579" s="2" t="s">
        <v>31</v>
      </c>
      <c r="D2579" s="2" t="s">
        <v>32</v>
      </c>
      <c r="E2579" s="5">
        <v>-31031</v>
      </c>
      <c r="F2579" s="3" t="s">
        <v>105</v>
      </c>
      <c r="G2579" s="3" t="s">
        <v>97</v>
      </c>
      <c r="H2579" s="2" t="s">
        <v>72</v>
      </c>
      <c r="I2579" s="2" t="s">
        <v>6565</v>
      </c>
      <c r="J2579" s="3" t="str">
        <f>HYPERLINK("https://www.boe.es/gazeta/dias/1815/01/14/pdfs/GMD-1815-6.pdf#page=3","Abrir facsímil")</f>
        <v>Abrir facsímil</v>
      </c>
      <c r="K2579" s="3" t="s">
        <v>74</v>
      </c>
    </row>
    <row r="2580" spans="1:11" ht="42" customHeight="1">
      <c r="A2580" s="2" t="s">
        <v>6566</v>
      </c>
      <c r="B2580" s="2" t="s">
        <v>6567</v>
      </c>
      <c r="C2580" s="2" t="s">
        <v>49</v>
      </c>
      <c r="D2580" s="2" t="s">
        <v>50</v>
      </c>
      <c r="E2580" s="5">
        <v>-30865</v>
      </c>
      <c r="F2580" s="3" t="s">
        <v>163</v>
      </c>
      <c r="G2580" s="3" t="s">
        <v>27</v>
      </c>
      <c r="H2580" s="2" t="s">
        <v>72</v>
      </c>
      <c r="I2580" s="2" t="s">
        <v>6568</v>
      </c>
      <c r="J2580" s="3" t="str">
        <f>HYPERLINK("https://www.boe.es/gazeta/dias/1815/06/29/pdfs/GMD-1815-78.pdf#page=6","Abrir facsímil")</f>
        <v>Abrir facsímil</v>
      </c>
      <c r="K2580" s="3" t="s">
        <v>74</v>
      </c>
    </row>
    <row r="2581" spans="1:11" ht="42" customHeight="1">
      <c r="A2581" s="2" t="s">
        <v>6569</v>
      </c>
      <c r="B2581" s="2" t="s">
        <v>6570</v>
      </c>
      <c r="C2581" s="2" t="s">
        <v>31</v>
      </c>
      <c r="D2581" s="2" t="s">
        <v>179</v>
      </c>
      <c r="E2581" s="5">
        <v>-30773</v>
      </c>
      <c r="F2581" s="3" t="s">
        <v>6571</v>
      </c>
      <c r="G2581" s="3" t="s">
        <v>410</v>
      </c>
      <c r="H2581" s="2" t="s">
        <v>72</v>
      </c>
      <c r="I2581" s="2" t="s">
        <v>6572</v>
      </c>
      <c r="J2581" s="3" t="str">
        <f>HYPERLINK("https://www.boe.es/gazeta/dias/1815/09/29/pdfs/GMD-1815-122E.pdf#page=1","Abrir facsímil")</f>
        <v>Abrir facsímil</v>
      </c>
      <c r="K2581" s="3" t="s">
        <v>74</v>
      </c>
    </row>
    <row r="2582" spans="1:11" ht="42" customHeight="1">
      <c r="A2582" s="2" t="s">
        <v>6573</v>
      </c>
      <c r="B2582" s="2" t="s">
        <v>6573</v>
      </c>
      <c r="C2582" s="2" t="s">
        <v>49</v>
      </c>
      <c r="D2582" s="2" t="s">
        <v>50</v>
      </c>
      <c r="E2582" s="5">
        <v>-31005</v>
      </c>
      <c r="F2582" s="3" t="s">
        <v>576</v>
      </c>
      <c r="G2582" s="3" t="s">
        <v>20</v>
      </c>
      <c r="H2582" s="2" t="s">
        <v>72</v>
      </c>
      <c r="I2582" s="2" t="s">
        <v>6574</v>
      </c>
      <c r="J2582" s="3" t="str">
        <f>HYPERLINK("https://www.boe.es/gazeta/dias/1815/02/09/pdfs/GMD-1815-17.pdf#page=4","Abrir facsímil")</f>
        <v>Abrir facsímil</v>
      </c>
      <c r="K2582" s="3" t="s">
        <v>74</v>
      </c>
    </row>
    <row r="2583" spans="1:11" ht="42" customHeight="1">
      <c r="A2583" s="2" t="s">
        <v>6573</v>
      </c>
      <c r="B2583" s="2" t="s">
        <v>6573</v>
      </c>
      <c r="C2583" s="2" t="s">
        <v>31</v>
      </c>
      <c r="D2583" s="2" t="s">
        <v>32</v>
      </c>
      <c r="E2583" s="5">
        <v>-30998</v>
      </c>
      <c r="F2583" s="3" t="s">
        <v>539</v>
      </c>
      <c r="G2583" s="3" t="s">
        <v>20</v>
      </c>
      <c r="H2583" s="2" t="s">
        <v>72</v>
      </c>
      <c r="I2583" s="2" t="s">
        <v>6575</v>
      </c>
      <c r="J2583" s="3" t="str">
        <f>HYPERLINK("https://www.boe.es/gazeta/dias/1815/02/16/pdfs/GMD-1815-20.pdf#page=4","Abrir facsímil")</f>
        <v>Abrir facsímil</v>
      </c>
      <c r="K2583" s="3" t="s">
        <v>74</v>
      </c>
    </row>
    <row r="2584" spans="1:11" ht="42" customHeight="1">
      <c r="A2584" s="2" t="s">
        <v>6573</v>
      </c>
      <c r="B2584" s="2" t="s">
        <v>6573</v>
      </c>
      <c r="C2584" s="2" t="s">
        <v>31</v>
      </c>
      <c r="D2584" s="2" t="s">
        <v>32</v>
      </c>
      <c r="E2584" s="5">
        <v>-30937</v>
      </c>
      <c r="F2584" s="3" t="s">
        <v>322</v>
      </c>
      <c r="G2584" s="3" t="s">
        <v>27</v>
      </c>
      <c r="H2584" s="2" t="s">
        <v>72</v>
      </c>
      <c r="I2584" s="2" t="s">
        <v>6576</v>
      </c>
      <c r="J2584" s="3" t="str">
        <f>HYPERLINK("https://www.boe.es/gazeta/dias/1815/04/18/pdfs/GMD-1815-47.pdf#page=6","Abrir facsímil")</f>
        <v>Abrir facsímil</v>
      </c>
      <c r="K2584" s="3" t="s">
        <v>74</v>
      </c>
    </row>
    <row r="2585" spans="1:11" ht="42" customHeight="1">
      <c r="A2585" s="2" t="s">
        <v>6573</v>
      </c>
      <c r="B2585" s="2" t="s">
        <v>6573</v>
      </c>
      <c r="C2585" s="2" t="s">
        <v>17</v>
      </c>
      <c r="D2585" s="2" t="s">
        <v>18</v>
      </c>
      <c r="E2585" s="5">
        <v>-30863</v>
      </c>
      <c r="F2585" s="3" t="s">
        <v>110</v>
      </c>
      <c r="G2585" s="3" t="s">
        <v>71</v>
      </c>
      <c r="H2585" s="2" t="s">
        <v>72</v>
      </c>
      <c r="I2585" s="2" t="s">
        <v>6577</v>
      </c>
      <c r="J2585" s="3" t="str">
        <f>HYPERLINK("https://www.boe.es/gazeta/dias/1815/07/01/pdfs/GMD-1815-79.pdf#page=7","Abrir facsímil")</f>
        <v>Abrir facsímil</v>
      </c>
      <c r="K2585" s="3" t="s">
        <v>74</v>
      </c>
    </row>
    <row r="2586" spans="1:11" ht="42" customHeight="1">
      <c r="A2586" s="2" t="s">
        <v>6578</v>
      </c>
      <c r="B2586" s="2" t="s">
        <v>6579</v>
      </c>
      <c r="C2586" s="2" t="s">
        <v>17</v>
      </c>
      <c r="D2586" s="2" t="s">
        <v>18</v>
      </c>
      <c r="E2586" s="5">
        <v>-31021</v>
      </c>
      <c r="F2586" s="3" t="s">
        <v>481</v>
      </c>
      <c r="G2586" s="3" t="s">
        <v>27</v>
      </c>
      <c r="H2586" s="2" t="s">
        <v>72</v>
      </c>
      <c r="I2586" s="2" t="s">
        <v>6580</v>
      </c>
      <c r="J2586" s="3" t="str">
        <f>HYPERLINK("https://www.boe.es/gazeta/dias/1815/01/24/pdfs/GMD-1815-10.pdf#page=6","Abrir facsímil")</f>
        <v>Abrir facsímil</v>
      </c>
      <c r="K2586" s="3" t="s">
        <v>74</v>
      </c>
    </row>
    <row r="2587" spans="1:11" ht="42" customHeight="1">
      <c r="A2587" s="2" t="s">
        <v>6581</v>
      </c>
      <c r="B2587" s="2" t="s">
        <v>6582</v>
      </c>
      <c r="C2587" s="2" t="s">
        <v>17</v>
      </c>
      <c r="D2587" s="2" t="s">
        <v>18</v>
      </c>
      <c r="E2587" s="5">
        <v>-30711</v>
      </c>
      <c r="F2587" s="3" t="s">
        <v>438</v>
      </c>
      <c r="G2587" s="3" t="s">
        <v>57</v>
      </c>
      <c r="H2587" s="2" t="s">
        <v>72</v>
      </c>
      <c r="I2587" s="2" t="s">
        <v>6583</v>
      </c>
      <c r="J2587" s="3" t="str">
        <f>HYPERLINK("https://www.boe.es/gazeta/dias/1815/11/30/pdfs/GMD-1815-149.pdf#page=5","Abrir facsímil")</f>
        <v>Abrir facsímil</v>
      </c>
      <c r="K2587" s="3" t="s">
        <v>74</v>
      </c>
    </row>
    <row r="2588" spans="1:11" ht="42" customHeight="1">
      <c r="A2588" s="2" t="s">
        <v>6581</v>
      </c>
      <c r="B2588" s="2" t="s">
        <v>6582</v>
      </c>
      <c r="C2588" s="2" t="s">
        <v>17</v>
      </c>
      <c r="D2588" s="2" t="s">
        <v>18</v>
      </c>
      <c r="E2588" s="5">
        <v>-30688</v>
      </c>
      <c r="F2588" s="3" t="s">
        <v>62</v>
      </c>
      <c r="G2588" s="3" t="s">
        <v>27</v>
      </c>
      <c r="H2588" s="2" t="s">
        <v>72</v>
      </c>
      <c r="I2588" s="2" t="s">
        <v>6584</v>
      </c>
      <c r="J2588" s="3" t="str">
        <f>HYPERLINK("https://www.boe.es/gazeta/dias/1815/12/23/pdfs/GMD-1815-159.pdf#page=6","Abrir facsímil")</f>
        <v>Abrir facsímil</v>
      </c>
      <c r="K2588" s="3" t="s">
        <v>74</v>
      </c>
    </row>
    <row r="2589" spans="1:11" ht="42" customHeight="1">
      <c r="A2589" s="2" t="s">
        <v>6585</v>
      </c>
      <c r="B2589" s="2" t="s">
        <v>6586</v>
      </c>
      <c r="C2589" s="2" t="s">
        <v>31</v>
      </c>
      <c r="D2589" s="2" t="s">
        <v>32</v>
      </c>
      <c r="E2589" s="5">
        <v>-30783</v>
      </c>
      <c r="F2589" s="3" t="s">
        <v>423</v>
      </c>
      <c r="G2589" s="3" t="s">
        <v>71</v>
      </c>
      <c r="H2589" s="2" t="s">
        <v>72</v>
      </c>
      <c r="I2589" s="2" t="s">
        <v>6587</v>
      </c>
      <c r="J2589" s="3" t="str">
        <f>HYPERLINK("https://www.boe.es/gazeta/dias/1815/09/19/pdfs/GMD-1815-116.pdf#page=7","Abrir facsímil")</f>
        <v>Abrir facsímil</v>
      </c>
      <c r="K2589" s="3" t="s">
        <v>74</v>
      </c>
    </row>
    <row r="2590" spans="1:11" ht="42" customHeight="1">
      <c r="A2590" s="2" t="s">
        <v>6588</v>
      </c>
      <c r="B2590" s="2" t="s">
        <v>6589</v>
      </c>
      <c r="C2590" s="2" t="s">
        <v>31</v>
      </c>
      <c r="D2590" s="2" t="s">
        <v>32</v>
      </c>
      <c r="E2590" s="5">
        <v>-30802</v>
      </c>
      <c r="F2590" s="3" t="s">
        <v>1393</v>
      </c>
      <c r="G2590" s="3" t="s">
        <v>38</v>
      </c>
      <c r="H2590" s="2" t="s">
        <v>72</v>
      </c>
      <c r="I2590" s="2" t="s">
        <v>6590</v>
      </c>
      <c r="J2590" s="3" t="str">
        <f>HYPERLINK("https://www.boe.es/gazeta/dias/1815/08/31/pdfs/GMD-1815-107.pdf#page=8","Abrir facsímil")</f>
        <v>Abrir facsímil</v>
      </c>
      <c r="K2590" s="3" t="s">
        <v>74</v>
      </c>
    </row>
    <row r="2591" spans="1:11" ht="42" customHeight="1">
      <c r="A2591" s="2" t="s">
        <v>6591</v>
      </c>
      <c r="B2591" s="2" t="s">
        <v>6592</v>
      </c>
      <c r="C2591" s="2" t="s">
        <v>17</v>
      </c>
      <c r="D2591" s="2" t="s">
        <v>18</v>
      </c>
      <c r="E2591" s="5">
        <v>-31000</v>
      </c>
      <c r="F2591" s="3" t="s">
        <v>70</v>
      </c>
      <c r="G2591" s="3" t="s">
        <v>57</v>
      </c>
      <c r="H2591" s="2" t="s">
        <v>72</v>
      </c>
      <c r="I2591" s="2" t="s">
        <v>6593</v>
      </c>
      <c r="J2591" s="3" t="str">
        <f>HYPERLINK("https://www.boe.es/gazeta/dias/1815/02/14/pdfs/GMD-1815-19.pdf#page=5","Abrir facsímil")</f>
        <v>Abrir facsímil</v>
      </c>
      <c r="K2591" s="3" t="s">
        <v>74</v>
      </c>
    </row>
    <row r="2592" spans="1:11" ht="42" customHeight="1">
      <c r="A2592" s="2" t="s">
        <v>6591</v>
      </c>
      <c r="B2592" s="2" t="s">
        <v>6592</v>
      </c>
      <c r="C2592" s="2" t="s">
        <v>17</v>
      </c>
      <c r="D2592" s="2" t="s">
        <v>18</v>
      </c>
      <c r="E2592" s="5">
        <v>-30975</v>
      </c>
      <c r="F2592" s="3" t="s">
        <v>1194</v>
      </c>
      <c r="G2592" s="3" t="s">
        <v>6594</v>
      </c>
      <c r="H2592" s="2" t="s">
        <v>72</v>
      </c>
      <c r="I2592" s="2" t="s">
        <v>6595</v>
      </c>
      <c r="J2592" s="3" t="str">
        <f>HYPERLINK("https://www.boe.es/gazeta/dias/1815/03/11/pdfs/GMD-1815-30.pdf#page=6","Abrir facsímil")</f>
        <v>Abrir facsímil</v>
      </c>
      <c r="K2592" s="3" t="s">
        <v>74</v>
      </c>
    </row>
    <row r="2593" spans="1:11" ht="42" customHeight="1">
      <c r="A2593" s="2" t="s">
        <v>6591</v>
      </c>
      <c r="B2593" s="2" t="s">
        <v>6592</v>
      </c>
      <c r="C2593" s="2" t="s">
        <v>17</v>
      </c>
      <c r="D2593" s="2" t="s">
        <v>18</v>
      </c>
      <c r="E2593" s="5">
        <v>-30907</v>
      </c>
      <c r="F2593" s="3" t="s">
        <v>301</v>
      </c>
      <c r="G2593" s="3" t="s">
        <v>6596</v>
      </c>
      <c r="H2593" s="2" t="s">
        <v>72</v>
      </c>
      <c r="I2593" s="2" t="s">
        <v>6597</v>
      </c>
      <c r="J2593" s="3" t="str">
        <f>HYPERLINK("https://www.boe.es/gazeta/dias/1815/05/18/pdfs/GMD-1815-60.pdf#page=6","Abrir facsímil")</f>
        <v>Abrir facsímil</v>
      </c>
      <c r="K2593" s="3" t="s">
        <v>74</v>
      </c>
    </row>
    <row r="2594" spans="1:11" ht="42" customHeight="1">
      <c r="A2594" s="2" t="s">
        <v>6591</v>
      </c>
      <c r="B2594" s="2" t="s">
        <v>6592</v>
      </c>
      <c r="C2594" s="2" t="s">
        <v>17</v>
      </c>
      <c r="D2594" s="2" t="s">
        <v>18</v>
      </c>
      <c r="E2594" s="5">
        <v>-30760</v>
      </c>
      <c r="F2594" s="3" t="s">
        <v>349</v>
      </c>
      <c r="G2594" s="3" t="s">
        <v>27</v>
      </c>
      <c r="H2594" s="2" t="s">
        <v>72</v>
      </c>
      <c r="I2594" s="2" t="s">
        <v>6598</v>
      </c>
      <c r="J2594" s="3" t="str">
        <f>HYPERLINK("https://www.boe.es/gazeta/dias/1815/10/12/pdfs/GMD-1815-128.pdf#page=6","Abrir facsímil")</f>
        <v>Abrir facsímil</v>
      </c>
      <c r="K2594" s="3" t="s">
        <v>74</v>
      </c>
    </row>
    <row r="2595" spans="1:11" ht="42" customHeight="1">
      <c r="A2595" s="2" t="s">
        <v>6591</v>
      </c>
      <c r="B2595" s="2" t="s">
        <v>6592</v>
      </c>
      <c r="C2595" s="2" t="s">
        <v>31</v>
      </c>
      <c r="D2595" s="2" t="s">
        <v>32</v>
      </c>
      <c r="E2595" s="5">
        <v>-30751</v>
      </c>
      <c r="F2595" s="3" t="s">
        <v>819</v>
      </c>
      <c r="G2595" s="3" t="s">
        <v>2654</v>
      </c>
      <c r="H2595" s="2" t="s">
        <v>72</v>
      </c>
      <c r="I2595" s="2" t="s">
        <v>6599</v>
      </c>
      <c r="J2595" s="3" t="str">
        <f>HYPERLINK("https://www.boe.es/gazeta/dias/1815/10/21/pdfs/GMD-1815-132.pdf#page=7","Abrir facsímil")</f>
        <v>Abrir facsímil</v>
      </c>
      <c r="K2595" s="3" t="s">
        <v>74</v>
      </c>
    </row>
    <row r="2596" spans="1:11" ht="42" customHeight="1">
      <c r="A2596" s="2" t="s">
        <v>6591</v>
      </c>
      <c r="B2596" s="2" t="s">
        <v>6592</v>
      </c>
      <c r="C2596" s="2" t="s">
        <v>17</v>
      </c>
      <c r="D2596" s="2" t="s">
        <v>18</v>
      </c>
      <c r="E2596" s="5">
        <v>-30713</v>
      </c>
      <c r="F2596" s="3" t="s">
        <v>895</v>
      </c>
      <c r="G2596" s="3" t="s">
        <v>71</v>
      </c>
      <c r="H2596" s="2" t="s">
        <v>72</v>
      </c>
      <c r="I2596" s="2" t="s">
        <v>6600</v>
      </c>
      <c r="J2596" s="3" t="str">
        <f>HYPERLINK("https://www.boe.es/gazeta/dias/1815/11/28/pdfs/GMD-1815-148.pdf#page=7","Abrir facsímil")</f>
        <v>Abrir facsímil</v>
      </c>
      <c r="K2596" s="3" t="s">
        <v>74</v>
      </c>
    </row>
    <row r="2597" spans="1:11" ht="42" customHeight="1">
      <c r="A2597" s="2" t="s">
        <v>6591</v>
      </c>
      <c r="B2597" s="2" t="s">
        <v>6592</v>
      </c>
      <c r="C2597" s="2" t="s">
        <v>17</v>
      </c>
      <c r="D2597" s="2" t="s">
        <v>18</v>
      </c>
      <c r="E2597" s="5">
        <v>-30688</v>
      </c>
      <c r="F2597" s="3" t="s">
        <v>62</v>
      </c>
      <c r="G2597" s="3" t="s">
        <v>27</v>
      </c>
      <c r="H2597" s="2" t="s">
        <v>72</v>
      </c>
      <c r="I2597" s="2" t="s">
        <v>6601</v>
      </c>
      <c r="J2597" s="3" t="str">
        <f>HYPERLINK("https://www.boe.es/gazeta/dias/1815/12/23/pdfs/GMD-1815-159.pdf#page=6","Abrir facsímil")</f>
        <v>Abrir facsímil</v>
      </c>
      <c r="K2597" s="3" t="s">
        <v>74</v>
      </c>
    </row>
    <row r="2598" spans="1:11" ht="42" customHeight="1">
      <c r="A2598" s="2" t="s">
        <v>6602</v>
      </c>
      <c r="B2598" s="2" t="s">
        <v>6602</v>
      </c>
      <c r="C2598" s="2" t="s">
        <v>17</v>
      </c>
      <c r="D2598" s="2" t="s">
        <v>18</v>
      </c>
      <c r="E2598" s="5">
        <v>-31038</v>
      </c>
      <c r="F2598" s="3" t="s">
        <v>395</v>
      </c>
      <c r="G2598" s="3" t="s">
        <v>20</v>
      </c>
      <c r="H2598" s="2" t="s">
        <v>72</v>
      </c>
      <c r="I2598" s="2" t="s">
        <v>6603</v>
      </c>
      <c r="J2598" s="3" t="str">
        <f>HYPERLINK("https://www.boe.es/gazeta/dias/1815/01/07/pdfs/GMD-1815-3.pdf#page=4","Abrir facsímil")</f>
        <v>Abrir facsímil</v>
      </c>
      <c r="K2598" s="3" t="s">
        <v>74</v>
      </c>
    </row>
    <row r="2599" spans="1:11" ht="42" customHeight="1">
      <c r="A2599" s="2" t="s">
        <v>6602</v>
      </c>
      <c r="B2599" s="2" t="s">
        <v>6602</v>
      </c>
      <c r="C2599" s="2" t="s">
        <v>61</v>
      </c>
      <c r="D2599" s="2" t="s">
        <v>50</v>
      </c>
      <c r="E2599" s="5">
        <v>-31033</v>
      </c>
      <c r="F2599" s="3" t="s">
        <v>493</v>
      </c>
      <c r="G2599" s="3" t="s">
        <v>38</v>
      </c>
      <c r="H2599" s="2" t="s">
        <v>72</v>
      </c>
      <c r="I2599" s="2" t="s">
        <v>6604</v>
      </c>
      <c r="J2599" s="3" t="str">
        <f>HYPERLINK("https://www.boe.es/gazeta/dias/1815/01/12/pdfs/GMD-1815-5.pdf#page=8","Abrir facsímil")</f>
        <v>Abrir facsímil</v>
      </c>
      <c r="K2599" s="3" t="s">
        <v>74</v>
      </c>
    </row>
    <row r="2600" spans="1:11" ht="42" customHeight="1">
      <c r="A2600" s="2" t="s">
        <v>6602</v>
      </c>
      <c r="B2600" s="2" t="s">
        <v>6602</v>
      </c>
      <c r="C2600" s="2" t="s">
        <v>61</v>
      </c>
      <c r="D2600" s="2" t="s">
        <v>50</v>
      </c>
      <c r="E2600" s="5">
        <v>-31017</v>
      </c>
      <c r="F2600" s="3" t="s">
        <v>456</v>
      </c>
      <c r="G2600" s="3" t="s">
        <v>2785</v>
      </c>
      <c r="H2600" s="2" t="s">
        <v>72</v>
      </c>
      <c r="I2600" s="2" t="s">
        <v>6605</v>
      </c>
      <c r="J2600" s="3" t="str">
        <f>HYPERLINK("https://www.boe.es/gazeta/dias/1815/01/28/pdfs/GMD-1815-12.pdf#page=8","Abrir facsímil")</f>
        <v>Abrir facsímil</v>
      </c>
      <c r="K2600" s="3" t="s">
        <v>74</v>
      </c>
    </row>
    <row r="2601" spans="1:11" ht="42" customHeight="1">
      <c r="A2601" s="2" t="s">
        <v>6602</v>
      </c>
      <c r="B2601" s="2" t="s">
        <v>6602</v>
      </c>
      <c r="C2601" s="2" t="s">
        <v>49</v>
      </c>
      <c r="D2601" s="2" t="s">
        <v>50</v>
      </c>
      <c r="E2601" s="5">
        <v>-30968</v>
      </c>
      <c r="F2601" s="3" t="s">
        <v>2695</v>
      </c>
      <c r="G2601" s="3" t="s">
        <v>276</v>
      </c>
      <c r="H2601" s="2" t="s">
        <v>72</v>
      </c>
      <c r="I2601" s="2" t="s">
        <v>6606</v>
      </c>
      <c r="J2601" s="3" t="str">
        <f>HYPERLINK("https://www.boe.es/gazeta/dias/1815/03/18/pdfs/GMD-1815-33.pdf#page=12","Abrir facsímil")</f>
        <v>Abrir facsímil</v>
      </c>
      <c r="K2601" s="3" t="s">
        <v>74</v>
      </c>
    </row>
    <row r="2602" spans="1:11" ht="42" customHeight="1">
      <c r="A2602" s="2" t="s">
        <v>6602</v>
      </c>
      <c r="B2602" s="2" t="s">
        <v>6602</v>
      </c>
      <c r="C2602" s="2" t="s">
        <v>897</v>
      </c>
      <c r="D2602" s="2" t="s">
        <v>50</v>
      </c>
      <c r="E2602" s="5">
        <v>-30965</v>
      </c>
      <c r="F2602" s="3" t="s">
        <v>1679</v>
      </c>
      <c r="G2602" s="3" t="s">
        <v>20</v>
      </c>
      <c r="H2602" s="2" t="s">
        <v>72</v>
      </c>
      <c r="I2602" s="2" t="s">
        <v>6607</v>
      </c>
      <c r="J2602" s="3" t="str">
        <f>HYPERLINK("https://www.boe.es/gazeta/dias/1815/03/21/pdfs/GMD-1815-34.pdf#page=4","Abrir facsímil")</f>
        <v>Abrir facsímil</v>
      </c>
      <c r="K2602" s="3" t="s">
        <v>74</v>
      </c>
    </row>
    <row r="2603" spans="1:11" ht="42" customHeight="1">
      <c r="A2603" s="2" t="s">
        <v>6602</v>
      </c>
      <c r="B2603" s="2" t="s">
        <v>6602</v>
      </c>
      <c r="C2603" s="2" t="s">
        <v>31</v>
      </c>
      <c r="D2603" s="2" t="s">
        <v>32</v>
      </c>
      <c r="E2603" s="5">
        <v>-30954</v>
      </c>
      <c r="F2603" s="3" t="s">
        <v>409</v>
      </c>
      <c r="G2603" s="3" t="s">
        <v>38</v>
      </c>
      <c r="H2603" s="2" t="s">
        <v>72</v>
      </c>
      <c r="I2603" s="2" t="s">
        <v>6608</v>
      </c>
      <c r="J2603" s="3" t="str">
        <f>HYPERLINK("https://www.boe.es/gazeta/dias/1815/04/01/pdfs/GMD-1815-39.pdf#page=8","Abrir facsímil")</f>
        <v>Abrir facsímil</v>
      </c>
      <c r="K2603" s="3" t="s">
        <v>74</v>
      </c>
    </row>
    <row r="2604" spans="1:11" ht="42" customHeight="1">
      <c r="A2604" s="2" t="s">
        <v>6602</v>
      </c>
      <c r="B2604" s="2" t="s">
        <v>6602</v>
      </c>
      <c r="C2604" s="2" t="s">
        <v>31</v>
      </c>
      <c r="D2604" s="2" t="s">
        <v>32</v>
      </c>
      <c r="E2604" s="5">
        <v>-30951</v>
      </c>
      <c r="F2604" s="3" t="s">
        <v>87</v>
      </c>
      <c r="G2604" s="3" t="s">
        <v>88</v>
      </c>
      <c r="H2604" s="2" t="s">
        <v>72</v>
      </c>
      <c r="I2604" s="2" t="s">
        <v>6609</v>
      </c>
      <c r="J2604" s="3" t="str">
        <f>HYPERLINK("https://www.boe.es/gazeta/dias/1815/04/04/pdfs/GMD-1815-41.pdf#page=10","Abrir facsímil")</f>
        <v>Abrir facsímil</v>
      </c>
      <c r="K2604" s="3" t="s">
        <v>74</v>
      </c>
    </row>
    <row r="2605" spans="1:11" ht="42" customHeight="1">
      <c r="A2605" s="2" t="s">
        <v>6602</v>
      </c>
      <c r="B2605" s="2" t="s">
        <v>6602</v>
      </c>
      <c r="C2605" s="2" t="s">
        <v>31</v>
      </c>
      <c r="D2605" s="2" t="s">
        <v>32</v>
      </c>
      <c r="E2605" s="5">
        <v>-30937</v>
      </c>
      <c r="F2605" s="3" t="s">
        <v>322</v>
      </c>
      <c r="G2605" s="3" t="s">
        <v>27</v>
      </c>
      <c r="H2605" s="2" t="s">
        <v>72</v>
      </c>
      <c r="I2605" s="2" t="s">
        <v>6610</v>
      </c>
      <c r="J2605" s="3" t="str">
        <f>HYPERLINK("https://www.boe.es/gazeta/dias/1815/04/18/pdfs/GMD-1815-47.pdf#page=6","Abrir facsímil")</f>
        <v>Abrir facsímil</v>
      </c>
      <c r="K2605" s="3" t="s">
        <v>74</v>
      </c>
    </row>
    <row r="2606" spans="1:11" ht="42" customHeight="1">
      <c r="A2606" s="2" t="s">
        <v>6602</v>
      </c>
      <c r="B2606" s="2" t="s">
        <v>6602</v>
      </c>
      <c r="C2606" s="2" t="s">
        <v>17</v>
      </c>
      <c r="D2606" s="2" t="s">
        <v>18</v>
      </c>
      <c r="E2606" s="5">
        <v>-30928</v>
      </c>
      <c r="F2606" s="3" t="s">
        <v>330</v>
      </c>
      <c r="G2606" s="3" t="s">
        <v>57</v>
      </c>
      <c r="H2606" s="2" t="s">
        <v>72</v>
      </c>
      <c r="I2606" s="2" t="s">
        <v>6611</v>
      </c>
      <c r="J2606" s="3" t="str">
        <f>HYPERLINK("https://www.boe.es/gazeta/dias/1815/04/27/pdfs/GMD-1815-51.pdf#page=5","Abrir facsímil")</f>
        <v>Abrir facsímil</v>
      </c>
      <c r="K2606" s="3" t="s">
        <v>74</v>
      </c>
    </row>
    <row r="2607" spans="1:11" ht="42" customHeight="1">
      <c r="A2607" s="2" t="s">
        <v>6602</v>
      </c>
      <c r="B2607" s="2" t="s">
        <v>6602</v>
      </c>
      <c r="C2607" s="2" t="s">
        <v>31</v>
      </c>
      <c r="D2607" s="2" t="s">
        <v>32</v>
      </c>
      <c r="E2607" s="5">
        <v>-30923</v>
      </c>
      <c r="F2607" s="3" t="s">
        <v>524</v>
      </c>
      <c r="G2607" s="3" t="s">
        <v>1314</v>
      </c>
      <c r="H2607" s="2" t="s">
        <v>72</v>
      </c>
      <c r="I2607" s="2" t="s">
        <v>6612</v>
      </c>
      <c r="J2607" s="3" t="str">
        <f>HYPERLINK("https://www.boe.es/gazeta/dias/1815/05/02/pdfs/GMD-1815-53.pdf#page=12","Abrir facsímil")</f>
        <v>Abrir facsímil</v>
      </c>
      <c r="K2607" s="3" t="s">
        <v>74</v>
      </c>
    </row>
    <row r="2608" spans="1:11" ht="42" customHeight="1">
      <c r="A2608" s="2" t="s">
        <v>6602</v>
      </c>
      <c r="B2608" s="2" t="s">
        <v>6602</v>
      </c>
      <c r="C2608" s="2" t="s">
        <v>17</v>
      </c>
      <c r="D2608" s="2" t="s">
        <v>18</v>
      </c>
      <c r="E2608" s="5">
        <v>-30879</v>
      </c>
      <c r="F2608" s="3" t="s">
        <v>754</v>
      </c>
      <c r="G2608" s="3" t="s">
        <v>71</v>
      </c>
      <c r="H2608" s="2" t="s">
        <v>72</v>
      </c>
      <c r="I2608" s="2" t="s">
        <v>6613</v>
      </c>
      <c r="J2608" s="3" t="str">
        <f>HYPERLINK("https://www.boe.es/gazeta/dias/1815/06/15/pdfs/GMD-1815-72.pdf#page=7","Abrir facsímil")</f>
        <v>Abrir facsímil</v>
      </c>
      <c r="K2608" s="3" t="s">
        <v>74</v>
      </c>
    </row>
    <row r="2609" spans="1:11" ht="42" customHeight="1">
      <c r="A2609" s="2" t="s">
        <v>6602</v>
      </c>
      <c r="B2609" s="2" t="s">
        <v>6602</v>
      </c>
      <c r="C2609" s="2" t="s">
        <v>31</v>
      </c>
      <c r="D2609" s="2" t="s">
        <v>32</v>
      </c>
      <c r="E2609" s="5">
        <v>-30874</v>
      </c>
      <c r="F2609" s="3" t="s">
        <v>208</v>
      </c>
      <c r="G2609" s="3" t="s">
        <v>57</v>
      </c>
      <c r="H2609" s="2" t="s">
        <v>72</v>
      </c>
      <c r="I2609" s="2" t="s">
        <v>6614</v>
      </c>
      <c r="J2609" s="3" t="str">
        <f>HYPERLINK("https://www.boe.es/gazeta/dias/1815/06/20/pdfs/GMD-1815-74.pdf#page=5","Abrir facsímil")</f>
        <v>Abrir facsímil</v>
      </c>
      <c r="K2609" s="3" t="s">
        <v>74</v>
      </c>
    </row>
    <row r="2610" spans="1:11" ht="42" customHeight="1">
      <c r="A2610" s="2" t="s">
        <v>6602</v>
      </c>
      <c r="B2610" s="2" t="s">
        <v>6602</v>
      </c>
      <c r="C2610" s="2" t="s">
        <v>49</v>
      </c>
      <c r="D2610" s="2" t="s">
        <v>50</v>
      </c>
      <c r="E2610" s="5">
        <v>-30863</v>
      </c>
      <c r="F2610" s="3" t="s">
        <v>110</v>
      </c>
      <c r="G2610" s="3" t="s">
        <v>71</v>
      </c>
      <c r="H2610" s="2" t="s">
        <v>72</v>
      </c>
      <c r="I2610" s="2" t="s">
        <v>6615</v>
      </c>
      <c r="J2610" s="3" t="str">
        <f>HYPERLINK("https://www.boe.es/gazeta/dias/1815/07/01/pdfs/GMD-1815-79.pdf#page=7","Abrir facsímil")</f>
        <v>Abrir facsímil</v>
      </c>
      <c r="K2610" s="3" t="s">
        <v>74</v>
      </c>
    </row>
    <row r="2611" spans="1:11" ht="42" customHeight="1">
      <c r="A2611" s="2" t="s">
        <v>6602</v>
      </c>
      <c r="B2611" s="2" t="s">
        <v>6602</v>
      </c>
      <c r="C2611" s="2" t="s">
        <v>81</v>
      </c>
      <c r="D2611" s="2" t="s">
        <v>50</v>
      </c>
      <c r="E2611" s="5">
        <v>-30863</v>
      </c>
      <c r="F2611" s="3" t="s">
        <v>110</v>
      </c>
      <c r="G2611" s="3" t="s">
        <v>38</v>
      </c>
      <c r="H2611" s="2" t="s">
        <v>72</v>
      </c>
      <c r="I2611" s="2" t="s">
        <v>6616</v>
      </c>
      <c r="J2611" s="3" t="str">
        <f>HYPERLINK("https://www.boe.es/gazeta/dias/1815/07/01/pdfs/GMD-1815-79.pdf#page=8","Abrir facsímil")</f>
        <v>Abrir facsímil</v>
      </c>
      <c r="K2611" s="3" t="s">
        <v>74</v>
      </c>
    </row>
    <row r="2612" spans="1:11" ht="42" customHeight="1">
      <c r="A2612" s="2" t="s">
        <v>6602</v>
      </c>
      <c r="B2612" s="2" t="s">
        <v>6602</v>
      </c>
      <c r="C2612" s="2" t="s">
        <v>31</v>
      </c>
      <c r="D2612" s="2" t="s">
        <v>32</v>
      </c>
      <c r="E2612" s="5">
        <v>-30809</v>
      </c>
      <c r="F2612" s="3" t="s">
        <v>82</v>
      </c>
      <c r="G2612" s="3" t="s">
        <v>2625</v>
      </c>
      <c r="H2612" s="2" t="s">
        <v>72</v>
      </c>
      <c r="I2612" s="2" t="s">
        <v>6617</v>
      </c>
      <c r="J2612" s="3" t="str">
        <f>HYPERLINK("https://www.boe.es/gazeta/dias/1815/08/24/pdfs/GMD-1815-104.pdf#page=3","Abrir facsímil")</f>
        <v>Abrir facsímil</v>
      </c>
      <c r="K2612" s="3" t="s">
        <v>74</v>
      </c>
    </row>
    <row r="2613" spans="1:11" ht="42" customHeight="1">
      <c r="A2613" s="2" t="s">
        <v>6602</v>
      </c>
      <c r="B2613" s="2" t="s">
        <v>6602</v>
      </c>
      <c r="C2613" s="2" t="s">
        <v>49</v>
      </c>
      <c r="D2613" s="2" t="s">
        <v>50</v>
      </c>
      <c r="E2613" s="5">
        <v>-30809</v>
      </c>
      <c r="F2613" s="3" t="s">
        <v>82</v>
      </c>
      <c r="G2613" s="3" t="s">
        <v>6618</v>
      </c>
      <c r="H2613" s="2" t="s">
        <v>72</v>
      </c>
      <c r="I2613" s="2" t="s">
        <v>6619</v>
      </c>
      <c r="J2613" s="3" t="str">
        <f>HYPERLINK("https://www.boe.es/gazeta/dias/1815/08/24/pdfs/GMD-1815-104.pdf#page=4","Abrir facsímil")</f>
        <v>Abrir facsímil</v>
      </c>
      <c r="K2613" s="3" t="s">
        <v>74</v>
      </c>
    </row>
    <row r="2614" spans="1:11" ht="42" customHeight="1">
      <c r="A2614" s="2" t="s">
        <v>6602</v>
      </c>
      <c r="B2614" s="2" t="s">
        <v>6602</v>
      </c>
      <c r="C2614" s="2" t="s">
        <v>31</v>
      </c>
      <c r="D2614" s="2" t="s">
        <v>32</v>
      </c>
      <c r="E2614" s="5">
        <v>-30751</v>
      </c>
      <c r="F2614" s="3" t="s">
        <v>819</v>
      </c>
      <c r="G2614" s="3" t="s">
        <v>2654</v>
      </c>
      <c r="H2614" s="2" t="s">
        <v>72</v>
      </c>
      <c r="I2614" s="2" t="s">
        <v>6620</v>
      </c>
      <c r="J2614" s="3" t="str">
        <f>HYPERLINK("https://www.boe.es/gazeta/dias/1815/10/21/pdfs/GMD-1815-132.pdf#page=7","Abrir facsímil")</f>
        <v>Abrir facsímil</v>
      </c>
      <c r="K2614" s="3" t="s">
        <v>74</v>
      </c>
    </row>
    <row r="2615" spans="1:11" ht="42" customHeight="1">
      <c r="A2615" s="2" t="s">
        <v>6602</v>
      </c>
      <c r="B2615" s="2" t="s">
        <v>6602</v>
      </c>
      <c r="C2615" s="2" t="s">
        <v>31</v>
      </c>
      <c r="D2615" s="2" t="s">
        <v>32</v>
      </c>
      <c r="E2615" s="5">
        <v>-30744</v>
      </c>
      <c r="F2615" s="3" t="s">
        <v>391</v>
      </c>
      <c r="G2615" s="3" t="s">
        <v>97</v>
      </c>
      <c r="H2615" s="2" t="s">
        <v>72</v>
      </c>
      <c r="I2615" s="2" t="s">
        <v>6621</v>
      </c>
      <c r="J2615" s="3" t="str">
        <f>HYPERLINK("https://www.boe.es/gazeta/dias/1815/10/28/pdfs/GMD-1815-135.pdf#page=3","Abrir facsímil")</f>
        <v>Abrir facsímil</v>
      </c>
      <c r="K2615" s="3" t="s">
        <v>74</v>
      </c>
    </row>
    <row r="2616" spans="1:11" ht="42" customHeight="1">
      <c r="A2616" s="2" t="s">
        <v>6602</v>
      </c>
      <c r="B2616" s="2" t="s">
        <v>6602</v>
      </c>
      <c r="C2616" s="2" t="s">
        <v>49</v>
      </c>
      <c r="D2616" s="2" t="s">
        <v>50</v>
      </c>
      <c r="E2616" s="5">
        <v>-30741</v>
      </c>
      <c r="F2616" s="3" t="s">
        <v>1000</v>
      </c>
      <c r="G2616" s="3" t="s">
        <v>4582</v>
      </c>
      <c r="H2616" s="2" t="s">
        <v>72</v>
      </c>
      <c r="I2616" s="2" t="s">
        <v>6622</v>
      </c>
      <c r="J2616" s="3" t="str">
        <f>HYPERLINK("https://www.boe.es/gazeta/dias/1815/10/31/pdfs/GMD-1815-136.pdf#page=5","Abrir facsímil")</f>
        <v>Abrir facsímil</v>
      </c>
      <c r="K2616" s="3" t="s">
        <v>74</v>
      </c>
    </row>
    <row r="2617" spans="1:11" ht="42" customHeight="1">
      <c r="A2617" s="2" t="s">
        <v>6602</v>
      </c>
      <c r="B2617" s="2" t="s">
        <v>6602</v>
      </c>
      <c r="C2617" s="2" t="s">
        <v>49</v>
      </c>
      <c r="D2617" s="2" t="s">
        <v>50</v>
      </c>
      <c r="E2617" s="5">
        <v>-30741</v>
      </c>
      <c r="F2617" s="3" t="s">
        <v>1000</v>
      </c>
      <c r="G2617" s="3" t="s">
        <v>20</v>
      </c>
      <c r="H2617" s="2" t="s">
        <v>72</v>
      </c>
      <c r="I2617" s="2" t="s">
        <v>6623</v>
      </c>
      <c r="J2617" s="3" t="str">
        <f>HYPERLINK("https://www.boe.es/gazeta/dias/1815/10/31/pdfs/GMD-1815-136.pdf#page=4","Abrir facsímil")</f>
        <v>Abrir facsímil</v>
      </c>
      <c r="K2617" s="3" t="s">
        <v>74</v>
      </c>
    </row>
    <row r="2618" spans="1:11" ht="42" customHeight="1">
      <c r="A2618" s="2" t="s">
        <v>6602</v>
      </c>
      <c r="B2618" s="2" t="s">
        <v>6602</v>
      </c>
      <c r="C2618" s="2" t="s">
        <v>31</v>
      </c>
      <c r="D2618" s="2" t="s">
        <v>32</v>
      </c>
      <c r="E2618" s="5">
        <v>-30734</v>
      </c>
      <c r="F2618" s="3" t="s">
        <v>376</v>
      </c>
      <c r="G2618" s="3" t="s">
        <v>57</v>
      </c>
      <c r="H2618" s="2" t="s">
        <v>72</v>
      </c>
      <c r="I2618" s="2" t="s">
        <v>6624</v>
      </c>
      <c r="J2618" s="3" t="str">
        <f>HYPERLINK("https://www.boe.es/gazeta/dias/1815/11/07/pdfs/GMD-1815-139.pdf#page=5","Abrir facsímil")</f>
        <v>Abrir facsímil</v>
      </c>
      <c r="K2618" s="3" t="s">
        <v>74</v>
      </c>
    </row>
    <row r="2619" spans="1:11" ht="42" customHeight="1">
      <c r="A2619" s="2" t="s">
        <v>6602</v>
      </c>
      <c r="B2619" s="2" t="s">
        <v>6602</v>
      </c>
      <c r="C2619" s="2" t="s">
        <v>195</v>
      </c>
      <c r="D2619" s="2" t="s">
        <v>50</v>
      </c>
      <c r="E2619" s="5">
        <v>-30732</v>
      </c>
      <c r="F2619" s="3" t="s">
        <v>554</v>
      </c>
      <c r="G2619" s="3" t="s">
        <v>71</v>
      </c>
      <c r="H2619" s="2" t="s">
        <v>72</v>
      </c>
      <c r="I2619" s="2" t="s">
        <v>6625</v>
      </c>
      <c r="J2619" s="3" t="str">
        <f>HYPERLINK("https://www.boe.es/gazeta/dias/1815/11/09/pdfs/GMD-1815-140.pdf#page=7","Abrir facsímil")</f>
        <v>Abrir facsímil</v>
      </c>
      <c r="K2619" s="3" t="s">
        <v>74</v>
      </c>
    </row>
    <row r="2620" spans="1:11" ht="42" customHeight="1">
      <c r="A2620" s="2" t="s">
        <v>6602</v>
      </c>
      <c r="B2620" s="2" t="s">
        <v>6602</v>
      </c>
      <c r="C2620" s="2" t="s">
        <v>894</v>
      </c>
      <c r="D2620" s="2" t="s">
        <v>18</v>
      </c>
      <c r="E2620" s="5">
        <v>-30720</v>
      </c>
      <c r="F2620" s="3" t="s">
        <v>373</v>
      </c>
      <c r="G2620" s="3" t="s">
        <v>276</v>
      </c>
      <c r="H2620" s="2" t="s">
        <v>72</v>
      </c>
      <c r="I2620" s="2" t="s">
        <v>6626</v>
      </c>
      <c r="J2620" s="3" t="str">
        <f>HYPERLINK("https://www.boe.es/gazeta/dias/1815/11/21/pdfs/GMD-1815-145.pdf#page=12","Abrir facsímil")</f>
        <v>Abrir facsímil</v>
      </c>
      <c r="K2620" s="3" t="s">
        <v>74</v>
      </c>
    </row>
    <row r="2621" spans="1:11" ht="42" customHeight="1">
      <c r="A2621" s="2" t="s">
        <v>6602</v>
      </c>
      <c r="B2621" s="2" t="s">
        <v>6602</v>
      </c>
      <c r="C2621" s="2" t="s">
        <v>81</v>
      </c>
      <c r="D2621" s="2" t="s">
        <v>50</v>
      </c>
      <c r="E2621" s="5">
        <v>-30716</v>
      </c>
      <c r="F2621" s="3" t="s">
        <v>589</v>
      </c>
      <c r="G2621" s="3" t="s">
        <v>20</v>
      </c>
      <c r="H2621" s="2" t="s">
        <v>72</v>
      </c>
      <c r="I2621" s="2" t="s">
        <v>6627</v>
      </c>
      <c r="J2621" s="3" t="str">
        <f>HYPERLINK("https://www.boe.es/gazeta/dias/1815/11/25/pdfs/GMD-1815-147.pdf#page=4","Abrir facsímil")</f>
        <v>Abrir facsímil</v>
      </c>
      <c r="K2621" s="3" t="s">
        <v>74</v>
      </c>
    </row>
    <row r="2622" spans="1:11" ht="42" customHeight="1">
      <c r="A2622" s="2" t="s">
        <v>6602</v>
      </c>
      <c r="B2622" s="2" t="s">
        <v>6602</v>
      </c>
      <c r="C2622" s="2" t="s">
        <v>17</v>
      </c>
      <c r="D2622" s="2" t="s">
        <v>18</v>
      </c>
      <c r="E2622" s="5">
        <v>-30702</v>
      </c>
      <c r="F2622" s="3" t="s">
        <v>196</v>
      </c>
      <c r="G2622" s="3" t="s">
        <v>71</v>
      </c>
      <c r="H2622" s="2" t="s">
        <v>72</v>
      </c>
      <c r="I2622" s="2" t="s">
        <v>6628</v>
      </c>
      <c r="J2622" s="3" t="str">
        <f>HYPERLINK("https://www.boe.es/gazeta/dias/1815/12/09/pdfs/GMD-1815-153.pdf#page=7","Abrir facsímil")</f>
        <v>Abrir facsímil</v>
      </c>
      <c r="K2622" s="3" t="s">
        <v>74</v>
      </c>
    </row>
    <row r="2623" spans="1:11" ht="42" customHeight="1">
      <c r="A2623" s="2" t="s">
        <v>6602</v>
      </c>
      <c r="B2623" s="2" t="s">
        <v>6602</v>
      </c>
      <c r="C2623" s="2" t="s">
        <v>31</v>
      </c>
      <c r="D2623" s="2" t="s">
        <v>32</v>
      </c>
      <c r="E2623" s="5">
        <v>-30697</v>
      </c>
      <c r="F2623" s="3" t="s">
        <v>381</v>
      </c>
      <c r="G2623" s="3" t="s">
        <v>5896</v>
      </c>
      <c r="H2623" s="2" t="s">
        <v>72</v>
      </c>
      <c r="I2623" s="2" t="s">
        <v>6629</v>
      </c>
      <c r="J2623" s="3" t="str">
        <f>HYPERLINK("https://www.boe.es/gazeta/dias/1815/12/14/pdfs/GMD-1815-155.pdf#page=6","Abrir facsímil")</f>
        <v>Abrir facsímil</v>
      </c>
      <c r="K2623" s="3" t="s">
        <v>74</v>
      </c>
    </row>
    <row r="2624" spans="1:11" ht="42" customHeight="1">
      <c r="A2624" s="2" t="s">
        <v>6630</v>
      </c>
      <c r="B2624" s="2" t="s">
        <v>6631</v>
      </c>
      <c r="C2624" s="2" t="s">
        <v>31</v>
      </c>
      <c r="D2624" s="2" t="s">
        <v>32</v>
      </c>
      <c r="E2624" s="5">
        <v>-30975</v>
      </c>
      <c r="F2624" s="3" t="s">
        <v>1194</v>
      </c>
      <c r="G2624" s="3" t="s">
        <v>71</v>
      </c>
      <c r="H2624" s="2" t="s">
        <v>72</v>
      </c>
      <c r="I2624" s="2" t="s">
        <v>6632</v>
      </c>
      <c r="J2624" s="3" t="str">
        <f>HYPERLINK("https://www.boe.es/gazeta/dias/1815/03/11/pdfs/GMD-1815-30.pdf#page=7","Abrir facsímil")</f>
        <v>Abrir facsímil</v>
      </c>
      <c r="K2624" s="3" t="s">
        <v>74</v>
      </c>
    </row>
    <row r="2625" spans="1:11" ht="42" customHeight="1">
      <c r="A2625" s="2" t="s">
        <v>6633</v>
      </c>
      <c r="B2625" s="2" t="s">
        <v>6634</v>
      </c>
      <c r="C2625" s="2" t="s">
        <v>31</v>
      </c>
      <c r="D2625" s="2" t="s">
        <v>32</v>
      </c>
      <c r="E2625" s="5">
        <v>-30732</v>
      </c>
      <c r="F2625" s="3" t="s">
        <v>554</v>
      </c>
      <c r="G2625" s="3" t="s">
        <v>38</v>
      </c>
      <c r="H2625" s="2" t="s">
        <v>72</v>
      </c>
      <c r="I2625" s="2" t="s">
        <v>6635</v>
      </c>
      <c r="J2625" s="3" t="str">
        <f>HYPERLINK("https://www.boe.es/gazeta/dias/1815/11/09/pdfs/GMD-1815-140.pdf#page=8","Abrir facsímil")</f>
        <v>Abrir facsímil</v>
      </c>
      <c r="K2625" s="3" t="s">
        <v>74</v>
      </c>
    </row>
    <row r="2626" spans="1:11" ht="42" customHeight="1">
      <c r="A2626" s="2" t="s">
        <v>6636</v>
      </c>
      <c r="B2626" s="2" t="s">
        <v>6637</v>
      </c>
      <c r="C2626" s="2" t="s">
        <v>897</v>
      </c>
      <c r="D2626" s="2" t="s">
        <v>50</v>
      </c>
      <c r="E2626" s="5">
        <v>-30737</v>
      </c>
      <c r="F2626" s="3" t="s">
        <v>1932</v>
      </c>
      <c r="G2626" s="3" t="s">
        <v>20</v>
      </c>
      <c r="H2626" s="2" t="s">
        <v>72</v>
      </c>
      <c r="I2626" s="2" t="s">
        <v>6638</v>
      </c>
      <c r="J2626" s="3" t="str">
        <f>HYPERLINK("https://www.boe.es/gazeta/dias/1815/11/04/pdfs/GMD-1815-138.pdf#page=4","Abrir facsímil")</f>
        <v>Abrir facsímil</v>
      </c>
      <c r="K2626" s="3" t="s">
        <v>74</v>
      </c>
    </row>
    <row r="2627" spans="1:11" ht="42" customHeight="1">
      <c r="A2627" s="2" t="s">
        <v>6639</v>
      </c>
      <c r="B2627" s="2" t="s">
        <v>6639</v>
      </c>
      <c r="C2627" s="2" t="s">
        <v>31</v>
      </c>
      <c r="D2627" s="2" t="s">
        <v>32</v>
      </c>
      <c r="E2627" s="5">
        <v>-31033</v>
      </c>
      <c r="F2627" s="3" t="s">
        <v>493</v>
      </c>
      <c r="G2627" s="3" t="s">
        <v>377</v>
      </c>
      <c r="H2627" s="2" t="s">
        <v>72</v>
      </c>
      <c r="I2627" s="2" t="s">
        <v>6640</v>
      </c>
      <c r="J2627" s="3" t="str">
        <f>HYPERLINK("https://www.boe.es/gazeta/dias/1815/01/12/pdfs/GMD-1815-5.pdf#page=2","Abrir facsímil")</f>
        <v>Abrir facsímil</v>
      </c>
      <c r="K2627" s="3" t="s">
        <v>74</v>
      </c>
    </row>
    <row r="2628" spans="1:11" ht="42" customHeight="1">
      <c r="A2628" s="2" t="s">
        <v>6641</v>
      </c>
      <c r="B2628" s="2" t="s">
        <v>6642</v>
      </c>
      <c r="C2628" s="2" t="s">
        <v>61</v>
      </c>
      <c r="D2628" s="2" t="s">
        <v>50</v>
      </c>
      <c r="E2628" s="5">
        <v>-31042</v>
      </c>
      <c r="F2628" s="3" t="s">
        <v>512</v>
      </c>
      <c r="G2628" s="3" t="s">
        <v>38</v>
      </c>
      <c r="H2628" s="2" t="s">
        <v>72</v>
      </c>
      <c r="I2628" s="2" t="s">
        <v>6643</v>
      </c>
      <c r="J2628" s="3" t="str">
        <f>HYPERLINK("https://www.boe.es/gazeta/dias/1815/01/03/pdfs/GMD-1815-1.pdf#page=8","Abrir facsímil")</f>
        <v>Abrir facsímil</v>
      </c>
      <c r="K2628" s="3" t="s">
        <v>74</v>
      </c>
    </row>
    <row r="2629" spans="1:11" ht="42" customHeight="1">
      <c r="A2629" s="2" t="s">
        <v>6644</v>
      </c>
      <c r="B2629" s="2" t="s">
        <v>6644</v>
      </c>
      <c r="C2629" s="2" t="s">
        <v>31</v>
      </c>
      <c r="D2629" s="2" t="s">
        <v>32</v>
      </c>
      <c r="E2629" s="5">
        <v>-30998</v>
      </c>
      <c r="F2629" s="3" t="s">
        <v>539</v>
      </c>
      <c r="G2629" s="3" t="s">
        <v>20</v>
      </c>
      <c r="H2629" s="2" t="s">
        <v>72</v>
      </c>
      <c r="I2629" s="2" t="s">
        <v>6645</v>
      </c>
      <c r="J2629" s="3" t="str">
        <f>HYPERLINK("https://www.boe.es/gazeta/dias/1815/02/16/pdfs/GMD-1815-20.pdf#page=4","Abrir facsímil")</f>
        <v>Abrir facsímil</v>
      </c>
      <c r="K2629" s="3" t="s">
        <v>74</v>
      </c>
    </row>
    <row r="2630" spans="1:11" ht="42" customHeight="1">
      <c r="A2630" s="2" t="s">
        <v>6644</v>
      </c>
      <c r="B2630" s="2" t="s">
        <v>6644</v>
      </c>
      <c r="C2630" s="2" t="s">
        <v>31</v>
      </c>
      <c r="D2630" s="2" t="s">
        <v>32</v>
      </c>
      <c r="E2630" s="5">
        <v>-30877</v>
      </c>
      <c r="F2630" s="3" t="s">
        <v>548</v>
      </c>
      <c r="G2630" s="3" t="s">
        <v>276</v>
      </c>
      <c r="H2630" s="2" t="s">
        <v>72</v>
      </c>
      <c r="I2630" s="2" t="s">
        <v>6646</v>
      </c>
      <c r="J2630" s="3" t="str">
        <f>HYPERLINK("https://www.boe.es/gazeta/dias/1815/06/17/pdfs/GMD-1815-73.pdf#page=12","Abrir facsímil")</f>
        <v>Abrir facsímil</v>
      </c>
      <c r="K2630" s="3" t="s">
        <v>74</v>
      </c>
    </row>
    <row r="2631" spans="1:11" ht="42" customHeight="1">
      <c r="A2631" s="2" t="s">
        <v>6647</v>
      </c>
      <c r="B2631" s="2" t="s">
        <v>6648</v>
      </c>
      <c r="C2631" s="2" t="s">
        <v>31</v>
      </c>
      <c r="D2631" s="2" t="s">
        <v>32</v>
      </c>
      <c r="E2631" s="5">
        <v>-30916</v>
      </c>
      <c r="F2631" s="3" t="s">
        <v>147</v>
      </c>
      <c r="G2631" s="3" t="s">
        <v>148</v>
      </c>
      <c r="H2631" s="2" t="s">
        <v>72</v>
      </c>
      <c r="I2631" s="2" t="s">
        <v>6649</v>
      </c>
      <c r="J2631" s="3" t="str">
        <f>HYPERLINK("https://www.boe.es/gazeta/dias/1815/05/09/pdfs/GMD-1815-56.pdf#page=7","Abrir facsímil")</f>
        <v>Abrir facsímil</v>
      </c>
      <c r="K2631" s="3" t="s">
        <v>74</v>
      </c>
    </row>
    <row r="2632" spans="1:11" ht="42" customHeight="1">
      <c r="A2632" s="2" t="s">
        <v>6650</v>
      </c>
      <c r="B2632" s="2" t="s">
        <v>6651</v>
      </c>
      <c r="C2632" s="2" t="s">
        <v>61</v>
      </c>
      <c r="D2632" s="2" t="s">
        <v>50</v>
      </c>
      <c r="E2632" s="5">
        <v>-31026</v>
      </c>
      <c r="F2632" s="3" t="s">
        <v>874</v>
      </c>
      <c r="G2632" s="3" t="s">
        <v>38</v>
      </c>
      <c r="H2632" s="2" t="s">
        <v>72</v>
      </c>
      <c r="I2632" s="2" t="s">
        <v>6652</v>
      </c>
      <c r="J2632" s="3" t="str">
        <f>HYPERLINK("https://www.boe.es/gazeta/dias/1815/01/19/pdfs/GMD-1815-8.pdf#page=8","Abrir facsímil")</f>
        <v>Abrir facsímil</v>
      </c>
      <c r="K2632" s="3" t="s">
        <v>74</v>
      </c>
    </row>
    <row r="2633" spans="1:11" ht="42" customHeight="1">
      <c r="A2633" s="2" t="s">
        <v>6653</v>
      </c>
      <c r="B2633" s="2" t="s">
        <v>6654</v>
      </c>
      <c r="C2633" s="2" t="s">
        <v>31</v>
      </c>
      <c r="D2633" s="2" t="s">
        <v>32</v>
      </c>
      <c r="E2633" s="5">
        <v>-30699</v>
      </c>
      <c r="F2633" s="3" t="s">
        <v>810</v>
      </c>
      <c r="G2633" s="3" t="s">
        <v>38</v>
      </c>
      <c r="H2633" s="2" t="s">
        <v>72</v>
      </c>
      <c r="I2633" s="2" t="s">
        <v>6655</v>
      </c>
      <c r="J2633" s="3" t="str">
        <f>HYPERLINK("https://www.boe.es/gazeta/dias/1815/12/12/pdfs/GMD-1815-154.pdf#page=8","Abrir facsímil")</f>
        <v>Abrir facsímil</v>
      </c>
      <c r="K2633" s="3" t="s">
        <v>74</v>
      </c>
    </row>
    <row r="2634" spans="1:11" ht="42" customHeight="1">
      <c r="A2634" s="2" t="s">
        <v>6656</v>
      </c>
      <c r="B2634" s="2" t="s">
        <v>6657</v>
      </c>
      <c r="C2634" s="2" t="s">
        <v>31</v>
      </c>
      <c r="D2634" s="2" t="s">
        <v>32</v>
      </c>
      <c r="E2634" s="5">
        <v>-31038</v>
      </c>
      <c r="F2634" s="3" t="s">
        <v>395</v>
      </c>
      <c r="G2634" s="3" t="s">
        <v>27</v>
      </c>
      <c r="H2634" s="2" t="s">
        <v>72</v>
      </c>
      <c r="I2634" s="2" t="s">
        <v>6658</v>
      </c>
      <c r="J2634" s="3" t="str">
        <f>HYPERLINK("https://www.boe.es/gazeta/dias/1815/01/07/pdfs/GMD-1815-3.pdf#page=6","Abrir facsímil")</f>
        <v>Abrir facsímil</v>
      </c>
      <c r="K2634" s="3" t="s">
        <v>74</v>
      </c>
    </row>
    <row r="2635" spans="1:11" ht="42" customHeight="1">
      <c r="A2635" s="2" t="s">
        <v>6659</v>
      </c>
      <c r="B2635" s="2" t="s">
        <v>6660</v>
      </c>
      <c r="C2635" s="2" t="s">
        <v>31</v>
      </c>
      <c r="D2635" s="2" t="s">
        <v>32</v>
      </c>
      <c r="E2635" s="5">
        <v>-30982</v>
      </c>
      <c r="F2635" s="3" t="s">
        <v>220</v>
      </c>
      <c r="G2635" s="3" t="s">
        <v>20</v>
      </c>
      <c r="H2635" s="2" t="s">
        <v>72</v>
      </c>
      <c r="I2635" s="2" t="s">
        <v>6661</v>
      </c>
      <c r="J2635" s="3" t="str">
        <f>HYPERLINK("https://www.boe.es/gazeta/dias/1815/03/04/pdfs/GMD-1815-27.pdf#page=4","Abrir facsímil")</f>
        <v>Abrir facsímil</v>
      </c>
      <c r="K2635" s="3" t="s">
        <v>74</v>
      </c>
    </row>
    <row r="2636" spans="1:11" ht="42" customHeight="1">
      <c r="A2636" s="2" t="s">
        <v>6662</v>
      </c>
      <c r="B2636" s="2" t="s">
        <v>6663</v>
      </c>
      <c r="C2636" s="2" t="s">
        <v>49</v>
      </c>
      <c r="D2636" s="2" t="s">
        <v>50</v>
      </c>
      <c r="E2636" s="5">
        <v>-30893</v>
      </c>
      <c r="F2636" s="3" t="s">
        <v>132</v>
      </c>
      <c r="G2636" s="3" t="s">
        <v>155</v>
      </c>
      <c r="H2636" s="2" t="s">
        <v>72</v>
      </c>
      <c r="I2636" s="2" t="s">
        <v>6664</v>
      </c>
      <c r="J2636" s="3" t="str">
        <f>HYPERLINK("https://www.boe.es/gazeta/dias/1815/06/01/pdfs/GMD-1815-66.pdf#page=6","Abrir facsímil")</f>
        <v>Abrir facsímil</v>
      </c>
      <c r="K2636" s="3" t="s">
        <v>74</v>
      </c>
    </row>
    <row r="2637" spans="1:11" ht="42" customHeight="1">
      <c r="A2637" s="2" t="s">
        <v>6665</v>
      </c>
      <c r="B2637" s="2" t="s">
        <v>6666</v>
      </c>
      <c r="C2637" s="2" t="s">
        <v>49</v>
      </c>
      <c r="D2637" s="2" t="s">
        <v>50</v>
      </c>
      <c r="E2637" s="5">
        <v>-31031</v>
      </c>
      <c r="F2637" s="3" t="s">
        <v>105</v>
      </c>
      <c r="G2637" s="3" t="s">
        <v>106</v>
      </c>
      <c r="H2637" s="2" t="s">
        <v>72</v>
      </c>
      <c r="I2637" s="2" t="s">
        <v>6667</v>
      </c>
      <c r="J2637" s="3" t="str">
        <f>HYPERLINK("https://www.boe.es/gazeta/dias/1815/01/14/pdfs/GMD-1815-6.pdf#page=7","Abrir facsímil")</f>
        <v>Abrir facsímil</v>
      </c>
      <c r="K2637" s="3" t="s">
        <v>74</v>
      </c>
    </row>
    <row r="2638" spans="1:11" ht="42" customHeight="1">
      <c r="A2638" s="2" t="s">
        <v>6668</v>
      </c>
      <c r="B2638" s="2" t="s">
        <v>6669</v>
      </c>
      <c r="C2638" s="2" t="s">
        <v>195</v>
      </c>
      <c r="D2638" s="2" t="s">
        <v>50</v>
      </c>
      <c r="E2638" s="5">
        <v>-30795</v>
      </c>
      <c r="F2638" s="3" t="s">
        <v>172</v>
      </c>
      <c r="G2638" s="3" t="s">
        <v>276</v>
      </c>
      <c r="H2638" s="2" t="s">
        <v>72</v>
      </c>
      <c r="I2638" s="2" t="s">
        <v>6670</v>
      </c>
      <c r="J2638" s="3" t="str">
        <f>HYPERLINK("https://www.boe.es/gazeta/dias/1815/09/07/pdfs/GMD-1815-111.pdf#page=12","Abrir facsímil")</f>
        <v>Abrir facsímil</v>
      </c>
      <c r="K2638" s="3" t="s">
        <v>74</v>
      </c>
    </row>
    <row r="2639" spans="1:11" ht="42" customHeight="1">
      <c r="A2639" s="2" t="s">
        <v>6671</v>
      </c>
      <c r="B2639" s="2" t="s">
        <v>6671</v>
      </c>
      <c r="C2639" s="2" t="s">
        <v>17</v>
      </c>
      <c r="D2639" s="2" t="s">
        <v>18</v>
      </c>
      <c r="E2639" s="5">
        <v>-30881</v>
      </c>
      <c r="F2639" s="3" t="s">
        <v>446</v>
      </c>
      <c r="G2639" s="3" t="s">
        <v>52</v>
      </c>
      <c r="H2639" s="2" t="s">
        <v>72</v>
      </c>
      <c r="I2639" s="2" t="s">
        <v>6672</v>
      </c>
      <c r="J2639" s="3" t="str">
        <f>HYPERLINK("https://www.boe.es/gazeta/dias/1815/06/13/pdfs/GMD-1815-71.pdf#page=11","Abrir facsímil")</f>
        <v>Abrir facsímil</v>
      </c>
      <c r="K2639" s="3" t="s">
        <v>74</v>
      </c>
    </row>
    <row r="2640" spans="1:11" ht="42" customHeight="1">
      <c r="A2640" s="2" t="s">
        <v>6673</v>
      </c>
      <c r="B2640" s="2" t="s">
        <v>6673</v>
      </c>
      <c r="C2640" s="2" t="s">
        <v>49</v>
      </c>
      <c r="D2640" s="2" t="s">
        <v>50</v>
      </c>
      <c r="E2640" s="5">
        <v>-30720</v>
      </c>
      <c r="F2640" s="3" t="s">
        <v>373</v>
      </c>
      <c r="G2640" s="3" t="s">
        <v>52</v>
      </c>
      <c r="H2640" s="2" t="s">
        <v>72</v>
      </c>
      <c r="I2640" s="2" t="s">
        <v>6674</v>
      </c>
      <c r="J2640" s="3" t="str">
        <f>HYPERLINK("https://www.boe.es/gazeta/dias/1815/11/21/pdfs/GMD-1815-145.pdf#page=11","Abrir facsímil")</f>
        <v>Abrir facsímil</v>
      </c>
      <c r="K2640" s="3" t="s">
        <v>74</v>
      </c>
    </row>
    <row r="2641" spans="1:11" ht="42" customHeight="1">
      <c r="A2641" s="2" t="s">
        <v>6675</v>
      </c>
      <c r="B2641" s="2" t="s">
        <v>6675</v>
      </c>
      <c r="C2641" s="2" t="s">
        <v>49</v>
      </c>
      <c r="D2641" s="2" t="s">
        <v>50</v>
      </c>
      <c r="E2641" s="5">
        <v>-30996</v>
      </c>
      <c r="F2641" s="3" t="s">
        <v>289</v>
      </c>
      <c r="G2641" s="3" t="s">
        <v>71</v>
      </c>
      <c r="H2641" s="2" t="s">
        <v>72</v>
      </c>
      <c r="I2641" s="2" t="s">
        <v>6676</v>
      </c>
      <c r="J2641" s="3" t="str">
        <f>HYPERLINK("https://www.boe.es/gazeta/dias/1815/02/18/pdfs/GMD-1815-21.pdf#page=7","Abrir facsímil")</f>
        <v>Abrir facsímil</v>
      </c>
      <c r="K2641" s="3" t="s">
        <v>74</v>
      </c>
    </row>
    <row r="2642" spans="1:11" ht="42" customHeight="1">
      <c r="A2642" s="2" t="s">
        <v>6677</v>
      </c>
      <c r="B2642" s="2" t="s">
        <v>6678</v>
      </c>
      <c r="C2642" s="2" t="s">
        <v>31</v>
      </c>
      <c r="D2642" s="2" t="s">
        <v>32</v>
      </c>
      <c r="E2642" s="5">
        <v>-31033</v>
      </c>
      <c r="F2642" s="3" t="s">
        <v>493</v>
      </c>
      <c r="G2642" s="3" t="s">
        <v>27</v>
      </c>
      <c r="H2642" s="2" t="s">
        <v>72</v>
      </c>
      <c r="I2642" s="2" t="s">
        <v>6679</v>
      </c>
      <c r="J2642" s="3" t="str">
        <f>HYPERLINK("https://www.boe.es/gazeta/dias/1815/01/12/pdfs/GMD-1815-5.pdf#page=6","Abrir facsímil")</f>
        <v>Abrir facsímil</v>
      </c>
      <c r="K2642" s="3" t="s">
        <v>74</v>
      </c>
    </row>
    <row r="2643" spans="1:11" ht="42" customHeight="1">
      <c r="A2643" s="2" t="s">
        <v>6680</v>
      </c>
      <c r="B2643" s="2" t="s">
        <v>6680</v>
      </c>
      <c r="C2643" s="2" t="s">
        <v>49</v>
      </c>
      <c r="D2643" s="2" t="s">
        <v>50</v>
      </c>
      <c r="E2643" s="5">
        <v>-30818</v>
      </c>
      <c r="F2643" s="3" t="s">
        <v>334</v>
      </c>
      <c r="G2643" s="3" t="s">
        <v>224</v>
      </c>
      <c r="H2643" s="2" t="s">
        <v>72</v>
      </c>
      <c r="I2643" s="2" t="s">
        <v>6681</v>
      </c>
      <c r="J2643" s="3" t="str">
        <f>HYPERLINK("https://www.boe.es/gazeta/dias/1815/08/15/pdfs/GMD-1815-100.pdf#page=9","Abrir facsímil")</f>
        <v>Abrir facsímil</v>
      </c>
      <c r="K2643" s="3" t="s">
        <v>74</v>
      </c>
    </row>
    <row r="2644" spans="1:11" ht="42" customHeight="1">
      <c r="A2644" s="2" t="s">
        <v>6682</v>
      </c>
      <c r="B2644" s="2" t="s">
        <v>6683</v>
      </c>
      <c r="C2644" s="2" t="s">
        <v>31</v>
      </c>
      <c r="D2644" s="2" t="s">
        <v>32</v>
      </c>
      <c r="E2644" s="5">
        <v>-30916</v>
      </c>
      <c r="F2644" s="3" t="s">
        <v>147</v>
      </c>
      <c r="G2644" s="3" t="s">
        <v>148</v>
      </c>
      <c r="H2644" s="2" t="s">
        <v>72</v>
      </c>
      <c r="I2644" s="2" t="s">
        <v>6684</v>
      </c>
      <c r="J2644" s="3" t="str">
        <f>HYPERLINK("https://www.boe.es/gazeta/dias/1815/05/09/pdfs/GMD-1815-56.pdf#page=7","Abrir facsímil")</f>
        <v>Abrir facsímil</v>
      </c>
      <c r="K2644" s="3" t="s">
        <v>74</v>
      </c>
    </row>
    <row r="2645" spans="1:11" ht="42" customHeight="1">
      <c r="A2645" s="2" t="s">
        <v>6685</v>
      </c>
      <c r="B2645" s="2" t="s">
        <v>6686</v>
      </c>
      <c r="C2645" s="2" t="s">
        <v>49</v>
      </c>
      <c r="D2645" s="2" t="s">
        <v>50</v>
      </c>
      <c r="E2645" s="5">
        <v>-30825</v>
      </c>
      <c r="F2645" s="3" t="s">
        <v>669</v>
      </c>
      <c r="G2645" s="3" t="s">
        <v>88</v>
      </c>
      <c r="H2645" s="2" t="s">
        <v>72</v>
      </c>
      <c r="I2645" s="2" t="s">
        <v>6687</v>
      </c>
      <c r="J2645" s="3" t="str">
        <f>HYPERLINK("https://www.boe.es/gazeta/dias/1815/08/08/pdfs/GMD-1815-97.pdf#page=10","Abrir facsímil")</f>
        <v>Abrir facsímil</v>
      </c>
      <c r="K2645" s="3" t="s">
        <v>74</v>
      </c>
    </row>
    <row r="2646" spans="1:11" ht="42" customHeight="1">
      <c r="A2646" s="2" t="s">
        <v>6688</v>
      </c>
      <c r="B2646" s="2" t="s">
        <v>6689</v>
      </c>
      <c r="C2646" s="2" t="s">
        <v>17</v>
      </c>
      <c r="D2646" s="2" t="s">
        <v>18</v>
      </c>
      <c r="E2646" s="5">
        <v>-30774</v>
      </c>
      <c r="F2646" s="3" t="s">
        <v>1143</v>
      </c>
      <c r="G2646" s="3" t="s">
        <v>71</v>
      </c>
      <c r="H2646" s="2" t="s">
        <v>72</v>
      </c>
      <c r="I2646" s="2" t="s">
        <v>6690</v>
      </c>
      <c r="J2646" s="3" t="str">
        <f>HYPERLINK("https://www.boe.es/gazeta/dias/1815/09/28/pdfs/GMD-1815-121.pdf#page=7","Abrir facsímil")</f>
        <v>Abrir facsímil</v>
      </c>
      <c r="K2646" s="3" t="s">
        <v>74</v>
      </c>
    </row>
    <row r="2647" spans="1:11" ht="42" customHeight="1">
      <c r="A2647" s="2" t="s">
        <v>6691</v>
      </c>
      <c r="B2647" s="2" t="s">
        <v>6692</v>
      </c>
      <c r="C2647" s="2" t="s">
        <v>81</v>
      </c>
      <c r="D2647" s="2" t="s">
        <v>50</v>
      </c>
      <c r="E2647" s="5">
        <v>-30944</v>
      </c>
      <c r="F2647" s="3" t="s">
        <v>412</v>
      </c>
      <c r="G2647" s="3" t="s">
        <v>38</v>
      </c>
      <c r="H2647" s="2" t="s">
        <v>72</v>
      </c>
      <c r="I2647" s="2" t="s">
        <v>6693</v>
      </c>
      <c r="J2647" s="3" t="str">
        <f>HYPERLINK("https://www.boe.es/gazeta/dias/1815/04/11/pdfs/GMD-1815-44.pdf#page=8","Abrir facsímil")</f>
        <v>Abrir facsímil</v>
      </c>
      <c r="K2647" s="3" t="s">
        <v>74</v>
      </c>
    </row>
    <row r="2648" spans="1:11" ht="42" customHeight="1">
      <c r="A2648" s="2" t="s">
        <v>6694</v>
      </c>
      <c r="B2648" s="2" t="s">
        <v>6695</v>
      </c>
      <c r="C2648" s="2" t="s">
        <v>31</v>
      </c>
      <c r="D2648" s="2" t="s">
        <v>32</v>
      </c>
      <c r="E2648" s="5">
        <v>-30739</v>
      </c>
      <c r="F2648" s="3" t="s">
        <v>254</v>
      </c>
      <c r="G2648" s="3" t="s">
        <v>88</v>
      </c>
      <c r="H2648" s="2" t="s">
        <v>72</v>
      </c>
      <c r="I2648" s="2" t="s">
        <v>6696</v>
      </c>
      <c r="J2648" s="3" t="str">
        <f>HYPERLINK("https://www.boe.es/gazeta/dias/1815/11/02/pdfs/GMD-1815-137.pdf#page=10","Abrir facsímil")</f>
        <v>Abrir facsímil</v>
      </c>
      <c r="K2648" s="3" t="s">
        <v>74</v>
      </c>
    </row>
    <row r="2649" spans="1:11" ht="42" customHeight="1">
      <c r="A2649" s="2" t="s">
        <v>6697</v>
      </c>
      <c r="B2649" s="2" t="s">
        <v>6698</v>
      </c>
      <c r="C2649" s="2" t="s">
        <v>31</v>
      </c>
      <c r="D2649" s="2" t="s">
        <v>32</v>
      </c>
      <c r="E2649" s="5">
        <v>-30727</v>
      </c>
      <c r="F2649" s="3" t="s">
        <v>262</v>
      </c>
      <c r="G2649" s="3" t="s">
        <v>5122</v>
      </c>
      <c r="H2649" s="2" t="s">
        <v>72</v>
      </c>
      <c r="I2649" s="2" t="s">
        <v>6699</v>
      </c>
      <c r="J2649" s="3" t="str">
        <f>HYPERLINK("https://www.boe.es/gazeta/dias/1815/11/14/pdfs/GMD-1815-142.pdf#page=5","Abrir facsímil")</f>
        <v>Abrir facsímil</v>
      </c>
      <c r="K2649" s="3" t="s">
        <v>74</v>
      </c>
    </row>
    <row r="2650" spans="1:11" ht="42" customHeight="1">
      <c r="A2650" s="2" t="s">
        <v>6700</v>
      </c>
      <c r="B2650" s="2" t="s">
        <v>6701</v>
      </c>
      <c r="C2650" s="2" t="s">
        <v>31</v>
      </c>
      <c r="D2650" s="2" t="s">
        <v>32</v>
      </c>
      <c r="E2650" s="5">
        <v>-30832</v>
      </c>
      <c r="F2650" s="3" t="s">
        <v>266</v>
      </c>
      <c r="G2650" s="3" t="s">
        <v>276</v>
      </c>
      <c r="H2650" s="2" t="s">
        <v>72</v>
      </c>
      <c r="I2650" s="2" t="s">
        <v>6702</v>
      </c>
      <c r="J2650" s="3" t="str">
        <f>HYPERLINK("https://www.boe.es/gazeta/dias/1815/08/01/pdfs/GMD-1815-94.pdf#page=12","Abrir facsímil")</f>
        <v>Abrir facsímil</v>
      </c>
      <c r="K2650" s="3" t="s">
        <v>74</v>
      </c>
    </row>
    <row r="2651" spans="1:11" ht="42" customHeight="1">
      <c r="A2651" s="2" t="s">
        <v>6703</v>
      </c>
      <c r="B2651" s="2" t="s">
        <v>6704</v>
      </c>
      <c r="C2651" s="2" t="s">
        <v>49</v>
      </c>
      <c r="D2651" s="2" t="s">
        <v>50</v>
      </c>
      <c r="E2651" s="5">
        <v>-30863</v>
      </c>
      <c r="F2651" s="3" t="s">
        <v>110</v>
      </c>
      <c r="G2651" s="3" t="s">
        <v>224</v>
      </c>
      <c r="H2651" s="2" t="s">
        <v>72</v>
      </c>
      <c r="I2651" s="2" t="s">
        <v>6705</v>
      </c>
      <c r="J2651" s="3" t="str">
        <f>HYPERLINK("https://www.boe.es/gazeta/dias/1815/07/01/pdfs/GMD-1815-79.pdf#page=9","Abrir facsímil")</f>
        <v>Abrir facsímil</v>
      </c>
      <c r="K2651" s="3" t="s">
        <v>74</v>
      </c>
    </row>
    <row r="2652" spans="1:11" ht="42" customHeight="1">
      <c r="A2652" s="2" t="s">
        <v>6706</v>
      </c>
      <c r="B2652" s="2" t="s">
        <v>6707</v>
      </c>
      <c r="C2652" s="2" t="s">
        <v>195</v>
      </c>
      <c r="D2652" s="2" t="s">
        <v>50</v>
      </c>
      <c r="E2652" s="5">
        <v>-30837</v>
      </c>
      <c r="F2652" s="3" t="s">
        <v>2256</v>
      </c>
      <c r="G2652" s="3" t="s">
        <v>38</v>
      </c>
      <c r="H2652" s="2" t="s">
        <v>72</v>
      </c>
      <c r="I2652" s="2" t="s">
        <v>6708</v>
      </c>
      <c r="J2652" s="3" t="str">
        <f>HYPERLINK("https://www.boe.es/gazeta/dias/1815/07/27/pdfs/GMD-1815-92.pdf#page=8","Abrir facsímil")</f>
        <v>Abrir facsímil</v>
      </c>
      <c r="K2652" s="3" t="s">
        <v>74</v>
      </c>
    </row>
    <row r="2653" spans="1:11" ht="42" customHeight="1">
      <c r="A2653" s="2" t="s">
        <v>6709</v>
      </c>
      <c r="B2653" s="2" t="s">
        <v>6710</v>
      </c>
      <c r="C2653" s="2" t="s">
        <v>195</v>
      </c>
      <c r="D2653" s="2" t="s">
        <v>50</v>
      </c>
      <c r="E2653" s="5">
        <v>-30991</v>
      </c>
      <c r="F2653" s="3" t="s">
        <v>318</v>
      </c>
      <c r="G2653" s="3" t="s">
        <v>319</v>
      </c>
      <c r="H2653" s="2" t="s">
        <v>72</v>
      </c>
      <c r="I2653" s="2" t="s">
        <v>6711</v>
      </c>
      <c r="J2653" s="3" t="str">
        <f>HYPERLINK("https://www.boe.es/gazeta/dias/1815/02/23/pdfs/GMD-1815-23.pdf#page=6","Abrir facsímil")</f>
        <v>Abrir facsímil</v>
      </c>
      <c r="K2653" s="3" t="s">
        <v>74</v>
      </c>
    </row>
    <row r="2654" spans="1:11" ht="42" customHeight="1">
      <c r="A2654" s="2" t="s">
        <v>6712</v>
      </c>
      <c r="B2654" s="2" t="s">
        <v>6713</v>
      </c>
      <c r="C2654" s="2" t="s">
        <v>31</v>
      </c>
      <c r="D2654" s="2" t="s">
        <v>32</v>
      </c>
      <c r="E2654" s="5">
        <v>-30835</v>
      </c>
      <c r="F2654" s="3" t="s">
        <v>544</v>
      </c>
      <c r="G2654" s="3" t="s">
        <v>52</v>
      </c>
      <c r="H2654" s="2" t="s">
        <v>72</v>
      </c>
      <c r="I2654" s="2" t="s">
        <v>6714</v>
      </c>
      <c r="J2654" s="3" t="str">
        <f>HYPERLINK("https://www.boe.es/gazeta/dias/1815/07/29/pdfs/GMD-1815-93.pdf#page=11","Abrir facsímil")</f>
        <v>Abrir facsímil</v>
      </c>
      <c r="K2654" s="3" t="s">
        <v>74</v>
      </c>
    </row>
    <row r="2655" spans="1:11" ht="42" customHeight="1">
      <c r="A2655" s="2" t="s">
        <v>6715</v>
      </c>
      <c r="B2655" s="2" t="s">
        <v>6716</v>
      </c>
      <c r="C2655" s="2" t="s">
        <v>61</v>
      </c>
      <c r="D2655" s="2" t="s">
        <v>50</v>
      </c>
      <c r="E2655" s="5">
        <v>-31031</v>
      </c>
      <c r="F2655" s="3" t="s">
        <v>105</v>
      </c>
      <c r="G2655" s="3" t="s">
        <v>27</v>
      </c>
      <c r="H2655" s="2" t="s">
        <v>72</v>
      </c>
      <c r="I2655" s="2" t="s">
        <v>6717</v>
      </c>
      <c r="J2655" s="3" t="str">
        <f>HYPERLINK("https://www.boe.es/gazeta/dias/1815/01/14/pdfs/GMD-1815-6.pdf#page=6","Abrir facsímil")</f>
        <v>Abrir facsímil</v>
      </c>
      <c r="K2655" s="3" t="s">
        <v>74</v>
      </c>
    </row>
    <row r="2656" spans="1:11" ht="42" customHeight="1">
      <c r="A2656" s="2" t="s">
        <v>6715</v>
      </c>
      <c r="B2656" s="2" t="s">
        <v>6716</v>
      </c>
      <c r="C2656" s="2" t="s">
        <v>17</v>
      </c>
      <c r="D2656" s="2" t="s">
        <v>18</v>
      </c>
      <c r="E2656" s="5">
        <v>-30975</v>
      </c>
      <c r="F2656" s="3" t="s">
        <v>1194</v>
      </c>
      <c r="G2656" s="3" t="s">
        <v>71</v>
      </c>
      <c r="H2656" s="2" t="s">
        <v>72</v>
      </c>
      <c r="I2656" s="2" t="s">
        <v>6718</v>
      </c>
      <c r="J2656" s="3" t="str">
        <f>HYPERLINK("https://www.boe.es/gazeta/dias/1815/03/11/pdfs/GMD-1815-30.pdf#page=7","Abrir facsímil")</f>
        <v>Abrir facsímil</v>
      </c>
      <c r="K2656" s="3" t="s">
        <v>74</v>
      </c>
    </row>
    <row r="2657" spans="1:11" ht="42" customHeight="1">
      <c r="A2657" s="2" t="s">
        <v>6719</v>
      </c>
      <c r="B2657" s="2" t="s">
        <v>6719</v>
      </c>
      <c r="C2657" s="2" t="s">
        <v>31</v>
      </c>
      <c r="D2657" s="2" t="s">
        <v>32</v>
      </c>
      <c r="E2657" s="5">
        <v>-30940</v>
      </c>
      <c r="F2657" s="3" t="s">
        <v>610</v>
      </c>
      <c r="G2657" s="3" t="s">
        <v>71</v>
      </c>
      <c r="H2657" s="2" t="s">
        <v>72</v>
      </c>
      <c r="I2657" s="2" t="s">
        <v>6720</v>
      </c>
      <c r="J2657" s="3" t="str">
        <f>HYPERLINK("https://www.boe.es/gazeta/dias/1815/04/15/pdfs/GMD-1815-46.pdf#page=7","Abrir facsímil")</f>
        <v>Abrir facsímil</v>
      </c>
      <c r="K2657" s="3" t="s">
        <v>74</v>
      </c>
    </row>
    <row r="2658" spans="1:11" ht="42" customHeight="1">
      <c r="A2658" s="2" t="s">
        <v>6721</v>
      </c>
      <c r="B2658" s="2" t="s">
        <v>6722</v>
      </c>
      <c r="C2658" s="2" t="s">
        <v>195</v>
      </c>
      <c r="D2658" s="2" t="s">
        <v>50</v>
      </c>
      <c r="E2658" s="5">
        <v>-30818</v>
      </c>
      <c r="F2658" s="3" t="s">
        <v>334</v>
      </c>
      <c r="G2658" s="3" t="s">
        <v>88</v>
      </c>
      <c r="H2658" s="2" t="s">
        <v>72</v>
      </c>
      <c r="I2658" s="2" t="s">
        <v>6723</v>
      </c>
      <c r="J2658" s="3" t="str">
        <f>HYPERLINK("https://www.boe.es/gazeta/dias/1815/08/15/pdfs/GMD-1815-100.pdf#page=10","Abrir facsímil")</f>
        <v>Abrir facsímil</v>
      </c>
      <c r="K2658" s="3" t="s">
        <v>74</v>
      </c>
    </row>
    <row r="2659" spans="1:11" ht="42" customHeight="1">
      <c r="A2659" s="2" t="s">
        <v>6724</v>
      </c>
      <c r="B2659" s="2" t="s">
        <v>6725</v>
      </c>
      <c r="C2659" s="2" t="s">
        <v>17</v>
      </c>
      <c r="D2659" s="2" t="s">
        <v>18</v>
      </c>
      <c r="E2659" s="5">
        <v>-30877</v>
      </c>
      <c r="F2659" s="3" t="s">
        <v>548</v>
      </c>
      <c r="G2659" s="3" t="s">
        <v>276</v>
      </c>
      <c r="H2659" s="2" t="s">
        <v>72</v>
      </c>
      <c r="I2659" s="2" t="s">
        <v>6726</v>
      </c>
      <c r="J2659" s="3" t="str">
        <f>HYPERLINK("https://www.boe.es/gazeta/dias/1815/06/17/pdfs/GMD-1815-73.pdf#page=12","Abrir facsímil")</f>
        <v>Abrir facsímil</v>
      </c>
      <c r="K2659" s="3" t="s">
        <v>74</v>
      </c>
    </row>
    <row r="2660" spans="1:11" ht="42" customHeight="1">
      <c r="A2660" s="2" t="s">
        <v>6727</v>
      </c>
      <c r="B2660" s="2" t="s">
        <v>6728</v>
      </c>
      <c r="C2660" s="2" t="s">
        <v>31</v>
      </c>
      <c r="D2660" s="2" t="s">
        <v>32</v>
      </c>
      <c r="E2660" s="5">
        <v>-30816</v>
      </c>
      <c r="F2660" s="3" t="s">
        <v>1253</v>
      </c>
      <c r="G2660" s="3" t="s">
        <v>27</v>
      </c>
      <c r="H2660" s="2" t="s">
        <v>72</v>
      </c>
      <c r="I2660" s="2" t="s">
        <v>6729</v>
      </c>
      <c r="J2660" s="3" t="str">
        <f>HYPERLINK("https://www.boe.es/gazeta/dias/1815/08/17/pdfs/GMD-1815-101.pdf#page=6","Abrir facsímil")</f>
        <v>Abrir facsímil</v>
      </c>
      <c r="K2660" s="3" t="s">
        <v>74</v>
      </c>
    </row>
    <row r="2661" spans="1:11" ht="42" customHeight="1">
      <c r="A2661" s="2" t="s">
        <v>6730</v>
      </c>
      <c r="B2661" s="2" t="s">
        <v>6730</v>
      </c>
      <c r="C2661" s="2" t="s">
        <v>31</v>
      </c>
      <c r="D2661" s="2" t="s">
        <v>32</v>
      </c>
      <c r="E2661" s="5">
        <v>-30914</v>
      </c>
      <c r="F2661" s="3" t="s">
        <v>338</v>
      </c>
      <c r="G2661" s="3" t="s">
        <v>377</v>
      </c>
      <c r="H2661" s="2" t="s">
        <v>72</v>
      </c>
      <c r="I2661" s="2" t="s">
        <v>6731</v>
      </c>
      <c r="J2661" s="3" t="str">
        <f>HYPERLINK("https://www.boe.es/gazeta/dias/1815/05/11/pdfs/GMD-1815-57.pdf#page=2","Abrir facsímil")</f>
        <v>Abrir facsímil</v>
      </c>
      <c r="K2661" s="3" t="s">
        <v>74</v>
      </c>
    </row>
    <row r="2662" spans="1:11" ht="42" customHeight="1">
      <c r="A2662" s="2" t="s">
        <v>6732</v>
      </c>
      <c r="B2662" s="2" t="s">
        <v>6732</v>
      </c>
      <c r="C2662" s="2" t="s">
        <v>49</v>
      </c>
      <c r="D2662" s="2" t="s">
        <v>50</v>
      </c>
      <c r="E2662" s="5">
        <v>-30886</v>
      </c>
      <c r="F2662" s="3" t="s">
        <v>140</v>
      </c>
      <c r="G2662" s="3" t="s">
        <v>38</v>
      </c>
      <c r="H2662" s="2" t="s">
        <v>72</v>
      </c>
      <c r="I2662" s="2" t="s">
        <v>6733</v>
      </c>
      <c r="J2662" s="3" t="str">
        <f>HYPERLINK("https://www.boe.es/gazeta/dias/1815/06/08/pdfs/GMD-1815-69.pdf#page=8","Abrir facsímil")</f>
        <v>Abrir facsímil</v>
      </c>
      <c r="K2662" s="3" t="s">
        <v>74</v>
      </c>
    </row>
    <row r="2663" spans="1:11" ht="42" customHeight="1">
      <c r="A2663" s="2" t="s">
        <v>6734</v>
      </c>
      <c r="B2663" s="2" t="s">
        <v>6734</v>
      </c>
      <c r="C2663" s="2" t="s">
        <v>31</v>
      </c>
      <c r="D2663" s="2" t="s">
        <v>32</v>
      </c>
      <c r="E2663" s="5">
        <v>-31031</v>
      </c>
      <c r="F2663" s="3" t="s">
        <v>105</v>
      </c>
      <c r="G2663" s="3" t="s">
        <v>97</v>
      </c>
      <c r="H2663" s="2" t="s">
        <v>72</v>
      </c>
      <c r="I2663" s="2" t="s">
        <v>6735</v>
      </c>
      <c r="J2663" s="3" t="str">
        <f>HYPERLINK("https://www.boe.es/gazeta/dias/1815/01/14/pdfs/GMD-1815-6.pdf#page=3","Abrir facsímil")</f>
        <v>Abrir facsímil</v>
      </c>
      <c r="K2663" s="3" t="s">
        <v>74</v>
      </c>
    </row>
    <row r="2664" spans="1:11" ht="42" customHeight="1">
      <c r="A2664" s="2" t="s">
        <v>6736</v>
      </c>
      <c r="B2664" s="2" t="s">
        <v>6736</v>
      </c>
      <c r="C2664" s="2" t="s">
        <v>31</v>
      </c>
      <c r="D2664" s="2" t="s">
        <v>32</v>
      </c>
      <c r="E2664" s="5">
        <v>-30972</v>
      </c>
      <c r="F2664" s="3" t="s">
        <v>1382</v>
      </c>
      <c r="G2664" s="3" t="s">
        <v>97</v>
      </c>
      <c r="H2664" s="2" t="s">
        <v>72</v>
      </c>
      <c r="I2664" s="2" t="s">
        <v>6737</v>
      </c>
      <c r="J2664" s="3" t="str">
        <f>HYPERLINK("https://www.boe.es/gazeta/dias/1815/03/14/pdfs/GMD-1815-31.pdf#page=3","Abrir facsímil")</f>
        <v>Abrir facsímil</v>
      </c>
      <c r="K2664" s="3" t="s">
        <v>74</v>
      </c>
    </row>
    <row r="2665" spans="1:11" ht="42" customHeight="1">
      <c r="A2665" s="2" t="s">
        <v>6738</v>
      </c>
      <c r="B2665" s="2" t="s">
        <v>6738</v>
      </c>
      <c r="C2665" s="2" t="s">
        <v>17</v>
      </c>
      <c r="D2665" s="2" t="s">
        <v>18</v>
      </c>
      <c r="E2665" s="5">
        <v>-30944</v>
      </c>
      <c r="F2665" s="3" t="s">
        <v>412</v>
      </c>
      <c r="G2665" s="3" t="s">
        <v>38</v>
      </c>
      <c r="H2665" s="2" t="s">
        <v>72</v>
      </c>
      <c r="I2665" s="2" t="s">
        <v>6739</v>
      </c>
      <c r="J2665" s="3" t="str">
        <f>HYPERLINK("https://www.boe.es/gazeta/dias/1815/04/11/pdfs/GMD-1815-44.pdf#page=8","Abrir facsímil")</f>
        <v>Abrir facsímil</v>
      </c>
      <c r="K2665" s="3" t="s">
        <v>74</v>
      </c>
    </row>
    <row r="2666" spans="1:11" ht="42" customHeight="1">
      <c r="A2666" s="2" t="s">
        <v>6740</v>
      </c>
      <c r="B2666" s="2" t="s">
        <v>6740</v>
      </c>
      <c r="C2666" s="2" t="s">
        <v>195</v>
      </c>
      <c r="D2666" s="2" t="s">
        <v>50</v>
      </c>
      <c r="E2666" s="5">
        <v>-30961</v>
      </c>
      <c r="F2666" s="3" t="s">
        <v>1176</v>
      </c>
      <c r="G2666" s="3" t="s">
        <v>38</v>
      </c>
      <c r="H2666" s="2" t="s">
        <v>72</v>
      </c>
      <c r="I2666" s="2" t="s">
        <v>6741</v>
      </c>
      <c r="J2666" s="3" t="str">
        <f>HYPERLINK("https://www.boe.es/gazeta/dias/1815/03/25/pdfs/GMD-1815-36.pdf#page=8","Abrir facsímil")</f>
        <v>Abrir facsímil</v>
      </c>
      <c r="K2666" s="3" t="s">
        <v>74</v>
      </c>
    </row>
    <row r="2667" spans="1:11" ht="42" customHeight="1">
      <c r="A2667" s="2" t="s">
        <v>6742</v>
      </c>
      <c r="B2667" s="2" t="s">
        <v>6743</v>
      </c>
      <c r="C2667" s="2" t="s">
        <v>49</v>
      </c>
      <c r="D2667" s="2" t="s">
        <v>50</v>
      </c>
      <c r="E2667" s="5">
        <v>-30865</v>
      </c>
      <c r="F2667" s="3" t="s">
        <v>163</v>
      </c>
      <c r="G2667" s="3" t="s">
        <v>38</v>
      </c>
      <c r="H2667" s="2" t="s">
        <v>72</v>
      </c>
      <c r="I2667" s="2" t="s">
        <v>6744</v>
      </c>
      <c r="J2667" s="3" t="str">
        <f>HYPERLINK("https://www.boe.es/gazeta/dias/1815/06/29/pdfs/GMD-1815-78.pdf#page=8","Abrir facsímil")</f>
        <v>Abrir facsímil</v>
      </c>
      <c r="K2667" s="3" t="s">
        <v>74</v>
      </c>
    </row>
    <row r="2668" spans="1:11" ht="42" customHeight="1">
      <c r="A2668" s="2" t="s">
        <v>6745</v>
      </c>
      <c r="B2668" s="2" t="s">
        <v>6745</v>
      </c>
      <c r="C2668" s="2" t="s">
        <v>31</v>
      </c>
      <c r="D2668" s="2" t="s">
        <v>32</v>
      </c>
      <c r="E2668" s="5">
        <v>-30842</v>
      </c>
      <c r="F2668" s="3" t="s">
        <v>126</v>
      </c>
      <c r="G2668" s="3" t="s">
        <v>1715</v>
      </c>
      <c r="H2668" s="2" t="s">
        <v>72</v>
      </c>
      <c r="I2668" s="2" t="s">
        <v>6746</v>
      </c>
      <c r="J2668" s="3" t="str">
        <f>HYPERLINK("https://www.boe.es/gazeta/dias/1815/07/22/pdfs/GMD-1815-90.pdf#page=2","Abrir facsímil")</f>
        <v>Abrir facsímil</v>
      </c>
      <c r="K2668" s="3" t="s">
        <v>74</v>
      </c>
    </row>
    <row r="2669" spans="1:11" ht="42" customHeight="1">
      <c r="A2669" s="2" t="s">
        <v>6747</v>
      </c>
      <c r="B2669" s="2" t="s">
        <v>6747</v>
      </c>
      <c r="C2669" s="2" t="s">
        <v>31</v>
      </c>
      <c r="D2669" s="2" t="s">
        <v>32</v>
      </c>
      <c r="E2669" s="5">
        <v>-30681</v>
      </c>
      <c r="F2669" s="3" t="s">
        <v>2093</v>
      </c>
      <c r="G2669" s="3" t="s">
        <v>410</v>
      </c>
      <c r="H2669" s="2" t="s">
        <v>72</v>
      </c>
      <c r="I2669" s="2" t="s">
        <v>6748</v>
      </c>
      <c r="J2669" s="3" t="str">
        <f>HYPERLINK("https://www.boe.es/gazeta/dias/1815/12/30/pdfs/GMD-1815-162.pdf#page=1","Abrir facsímil")</f>
        <v>Abrir facsímil</v>
      </c>
      <c r="K2669" s="3" t="s">
        <v>74</v>
      </c>
    </row>
    <row r="2670" spans="1:11" ht="42" customHeight="1">
      <c r="A2670" s="2" t="s">
        <v>6749</v>
      </c>
      <c r="B2670" s="2" t="s">
        <v>6750</v>
      </c>
      <c r="C2670" s="2" t="s">
        <v>49</v>
      </c>
      <c r="D2670" s="2" t="s">
        <v>50</v>
      </c>
      <c r="E2670" s="5">
        <v>-30865</v>
      </c>
      <c r="F2670" s="3" t="s">
        <v>163</v>
      </c>
      <c r="G2670" s="3" t="s">
        <v>71</v>
      </c>
      <c r="H2670" s="2" t="s">
        <v>72</v>
      </c>
      <c r="I2670" s="2" t="s">
        <v>6751</v>
      </c>
      <c r="J2670" s="3" t="str">
        <f>HYPERLINK("https://www.boe.es/gazeta/dias/1815/06/29/pdfs/GMD-1815-78.pdf#page=7","Abrir facsímil")</f>
        <v>Abrir facsímil</v>
      </c>
      <c r="K2670" s="3" t="s">
        <v>74</v>
      </c>
    </row>
    <row r="2671" spans="1:11" ht="42" customHeight="1">
      <c r="A2671" s="2" t="s">
        <v>6752</v>
      </c>
      <c r="B2671" s="2" t="s">
        <v>6753</v>
      </c>
      <c r="C2671" s="2" t="s">
        <v>61</v>
      </c>
      <c r="D2671" s="2" t="s">
        <v>50</v>
      </c>
      <c r="E2671" s="5">
        <v>-30823</v>
      </c>
      <c r="F2671" s="3" t="s">
        <v>305</v>
      </c>
      <c r="G2671" s="3" t="s">
        <v>88</v>
      </c>
      <c r="H2671" s="2" t="s">
        <v>72</v>
      </c>
      <c r="I2671" s="2" t="s">
        <v>6754</v>
      </c>
      <c r="J2671" s="3" t="str">
        <f>HYPERLINK("https://www.boe.es/gazeta/dias/1815/08/10/pdfs/GMD-1815-98.pdf#page=10","Abrir facsímil")</f>
        <v>Abrir facsímil</v>
      </c>
      <c r="K2671" s="3" t="s">
        <v>74</v>
      </c>
    </row>
    <row r="2672" spans="1:11" ht="42" customHeight="1">
      <c r="A2672" s="2" t="s">
        <v>6755</v>
      </c>
      <c r="B2672" s="2" t="s">
        <v>6756</v>
      </c>
      <c r="C2672" s="2" t="s">
        <v>49</v>
      </c>
      <c r="D2672" s="2" t="s">
        <v>50</v>
      </c>
      <c r="E2672" s="5">
        <v>-30886</v>
      </c>
      <c r="F2672" s="3" t="s">
        <v>140</v>
      </c>
      <c r="G2672" s="3" t="s">
        <v>20</v>
      </c>
      <c r="H2672" s="2" t="s">
        <v>72</v>
      </c>
      <c r="I2672" s="2" t="s">
        <v>6757</v>
      </c>
      <c r="J2672" s="3" t="str">
        <f>HYPERLINK("https://www.boe.es/gazeta/dias/1815/06/08/pdfs/GMD-1815-69.pdf#page=4","Abrir facsímil")</f>
        <v>Abrir facsímil</v>
      </c>
      <c r="K2672" s="3" t="s">
        <v>74</v>
      </c>
    </row>
    <row r="2673" spans="1:11" ht="42" customHeight="1">
      <c r="A2673" s="2" t="s">
        <v>6758</v>
      </c>
      <c r="B2673" s="2" t="s">
        <v>6758</v>
      </c>
      <c r="C2673" s="2" t="s">
        <v>17</v>
      </c>
      <c r="D2673" s="2" t="s">
        <v>18</v>
      </c>
      <c r="E2673" s="5">
        <v>-30921</v>
      </c>
      <c r="F2673" s="3" t="s">
        <v>191</v>
      </c>
      <c r="G2673" s="3" t="s">
        <v>97</v>
      </c>
      <c r="H2673" s="2" t="s">
        <v>72</v>
      </c>
      <c r="I2673" s="2" t="s">
        <v>6759</v>
      </c>
      <c r="J2673" s="3" t="str">
        <f>HYPERLINK("https://www.boe.es/gazeta/dias/1815/05/04/pdfs/GMD-1815-54.pdf#page=3","Abrir facsímil")</f>
        <v>Abrir facsímil</v>
      </c>
      <c r="K2673" s="3" t="s">
        <v>74</v>
      </c>
    </row>
    <row r="2674" spans="1:11" ht="42" customHeight="1">
      <c r="A2674" s="2" t="s">
        <v>6760</v>
      </c>
      <c r="B2674" s="2" t="s">
        <v>6761</v>
      </c>
      <c r="C2674" s="2" t="s">
        <v>31</v>
      </c>
      <c r="D2674" s="2" t="s">
        <v>32</v>
      </c>
      <c r="E2674" s="5">
        <v>-30853</v>
      </c>
      <c r="F2674" s="3" t="s">
        <v>1473</v>
      </c>
      <c r="G2674" s="3" t="s">
        <v>3505</v>
      </c>
      <c r="H2674" s="2" t="s">
        <v>72</v>
      </c>
      <c r="I2674" s="2" t="s">
        <v>6762</v>
      </c>
      <c r="J2674" s="3" t="str">
        <f>HYPERLINK("https://www.boe.es/gazeta/dias/1815/07/11/pdfs/GMD-1815-85.pdf#page=4","Abrir facsímil")</f>
        <v>Abrir facsímil</v>
      </c>
      <c r="K2674" s="3" t="s">
        <v>74</v>
      </c>
    </row>
    <row r="2675" spans="1:11" ht="42" customHeight="1">
      <c r="A2675" s="2" t="s">
        <v>6763</v>
      </c>
      <c r="B2675" s="2" t="s">
        <v>6764</v>
      </c>
      <c r="C2675" s="2" t="s">
        <v>81</v>
      </c>
      <c r="D2675" s="2" t="s">
        <v>50</v>
      </c>
      <c r="E2675" s="5">
        <v>-30720</v>
      </c>
      <c r="F2675" s="3" t="s">
        <v>373</v>
      </c>
      <c r="G2675" s="3" t="s">
        <v>20</v>
      </c>
      <c r="H2675" s="2" t="s">
        <v>72</v>
      </c>
      <c r="I2675" s="2" t="s">
        <v>6765</v>
      </c>
      <c r="J2675" s="3" t="str">
        <f>HYPERLINK("https://www.boe.es/gazeta/dias/1815/11/21/pdfs/GMD-1815-145.pdf#page=4","Abrir facsímil")</f>
        <v>Abrir facsímil</v>
      </c>
      <c r="K2675" s="3" t="s">
        <v>74</v>
      </c>
    </row>
    <row r="2676" spans="1:11" ht="42" customHeight="1">
      <c r="A2676" s="2" t="s">
        <v>6766</v>
      </c>
      <c r="B2676" s="2" t="s">
        <v>6767</v>
      </c>
      <c r="C2676" s="2" t="s">
        <v>131</v>
      </c>
      <c r="D2676" s="2" t="s">
        <v>50</v>
      </c>
      <c r="E2676" s="5">
        <v>-30765</v>
      </c>
      <c r="F2676" s="3" t="s">
        <v>2150</v>
      </c>
      <c r="G2676" s="3" t="s">
        <v>20</v>
      </c>
      <c r="H2676" s="2" t="s">
        <v>72</v>
      </c>
      <c r="I2676" s="2" t="s">
        <v>6768</v>
      </c>
      <c r="J2676" s="3" t="str">
        <f>HYPERLINK("https://www.boe.es/gazeta/dias/1815/10/07/pdfs/GMD-1815-126.pdf#page=4","Abrir facsímil")</f>
        <v>Abrir facsímil</v>
      </c>
      <c r="K2676" s="3" t="s">
        <v>74</v>
      </c>
    </row>
    <row r="2677" spans="1:11" ht="42" customHeight="1">
      <c r="A2677" s="2" t="s">
        <v>6766</v>
      </c>
      <c r="B2677" s="2" t="s">
        <v>6767</v>
      </c>
      <c r="C2677" s="2" t="s">
        <v>49</v>
      </c>
      <c r="D2677" s="2" t="s">
        <v>50</v>
      </c>
      <c r="E2677" s="5">
        <v>-30755</v>
      </c>
      <c r="F2677" s="3" t="s">
        <v>598</v>
      </c>
      <c r="G2677" s="3" t="s">
        <v>20</v>
      </c>
      <c r="H2677" s="2" t="s">
        <v>72</v>
      </c>
      <c r="I2677" s="2" t="s">
        <v>6769</v>
      </c>
      <c r="J2677" s="3" t="str">
        <f>HYPERLINK("https://www.boe.es/gazeta/dias/1815/10/17/pdfs/GMD-1815-130.pdf#page=4","Abrir facsímil")</f>
        <v>Abrir facsímil</v>
      </c>
      <c r="K2677" s="3" t="s">
        <v>74</v>
      </c>
    </row>
    <row r="2678" spans="1:11" ht="42" customHeight="1">
      <c r="A2678" s="2" t="s">
        <v>6770</v>
      </c>
      <c r="B2678" s="2" t="s">
        <v>6771</v>
      </c>
      <c r="C2678" s="2" t="s">
        <v>81</v>
      </c>
      <c r="D2678" s="2" t="s">
        <v>50</v>
      </c>
      <c r="E2678" s="5">
        <v>-30727</v>
      </c>
      <c r="F2678" s="3" t="s">
        <v>262</v>
      </c>
      <c r="G2678" s="3" t="s">
        <v>38</v>
      </c>
      <c r="H2678" s="2" t="s">
        <v>72</v>
      </c>
      <c r="I2678" s="2" t="s">
        <v>6772</v>
      </c>
      <c r="J2678" s="3" t="str">
        <f>HYPERLINK("https://www.boe.es/gazeta/dias/1815/11/14/pdfs/GMD-1815-142.pdf#page=8","Abrir facsímil")</f>
        <v>Abrir facsímil</v>
      </c>
      <c r="K2678" s="3" t="s">
        <v>74</v>
      </c>
    </row>
    <row r="2679" spans="1:11" ht="42" customHeight="1">
      <c r="A2679" s="2" t="s">
        <v>6773</v>
      </c>
      <c r="B2679" s="2" t="s">
        <v>6774</v>
      </c>
      <c r="C2679" s="2" t="s">
        <v>31</v>
      </c>
      <c r="D2679" s="2" t="s">
        <v>32</v>
      </c>
      <c r="E2679" s="5">
        <v>-31040</v>
      </c>
      <c r="F2679" s="3" t="s">
        <v>326</v>
      </c>
      <c r="G2679" s="3" t="s">
        <v>27</v>
      </c>
      <c r="H2679" s="2" t="s">
        <v>72</v>
      </c>
      <c r="I2679" s="2" t="s">
        <v>6775</v>
      </c>
      <c r="J2679" s="3" t="str">
        <f>HYPERLINK("https://www.boe.es/gazeta/dias/1815/01/05/pdfs/GMD-1815-2.pdf#page=6","Abrir facsímil")</f>
        <v>Abrir facsímil</v>
      </c>
      <c r="K2679" s="3" t="s">
        <v>74</v>
      </c>
    </row>
    <row r="2680" spans="1:11" ht="42" customHeight="1">
      <c r="A2680" s="2" t="s">
        <v>6776</v>
      </c>
      <c r="B2680" s="2" t="s">
        <v>6777</v>
      </c>
      <c r="C2680" s="2" t="s">
        <v>897</v>
      </c>
      <c r="D2680" s="2" t="s">
        <v>50</v>
      </c>
      <c r="E2680" s="5">
        <v>-30886</v>
      </c>
      <c r="F2680" s="3" t="s">
        <v>140</v>
      </c>
      <c r="G2680" s="3" t="s">
        <v>276</v>
      </c>
      <c r="H2680" s="2" t="s">
        <v>72</v>
      </c>
      <c r="I2680" s="2" t="s">
        <v>6778</v>
      </c>
      <c r="J2680" s="3" t="str">
        <f>HYPERLINK("https://www.boe.es/gazeta/dias/1815/06/08/pdfs/GMD-1815-69.pdf#page=12","Abrir facsímil")</f>
        <v>Abrir facsímil</v>
      </c>
      <c r="K2680" s="3" t="s">
        <v>74</v>
      </c>
    </row>
    <row r="2681" spans="1:11" ht="42" customHeight="1">
      <c r="A2681" s="2" t="s">
        <v>6779</v>
      </c>
      <c r="B2681" s="2" t="s">
        <v>6780</v>
      </c>
      <c r="C2681" s="2" t="s">
        <v>49</v>
      </c>
      <c r="D2681" s="2" t="s">
        <v>50</v>
      </c>
      <c r="E2681" s="5">
        <v>-30886</v>
      </c>
      <c r="F2681" s="3" t="s">
        <v>140</v>
      </c>
      <c r="G2681" s="3" t="s">
        <v>88</v>
      </c>
      <c r="H2681" s="2" t="s">
        <v>72</v>
      </c>
      <c r="I2681" s="2" t="s">
        <v>6781</v>
      </c>
      <c r="J2681" s="3" t="str">
        <f>HYPERLINK("https://www.boe.es/gazeta/dias/1815/06/08/pdfs/GMD-1815-69.pdf#page=10","Abrir facsímil")</f>
        <v>Abrir facsímil</v>
      </c>
      <c r="K2681" s="3" t="s">
        <v>74</v>
      </c>
    </row>
    <row r="2682" spans="1:11" ht="42" customHeight="1">
      <c r="A2682" s="2" t="s">
        <v>6782</v>
      </c>
      <c r="B2682" s="2" t="s">
        <v>6782</v>
      </c>
      <c r="C2682" s="2" t="s">
        <v>17</v>
      </c>
      <c r="D2682" s="2" t="s">
        <v>18</v>
      </c>
      <c r="E2682" s="5">
        <v>-30900</v>
      </c>
      <c r="F2682" s="3" t="s">
        <v>921</v>
      </c>
      <c r="G2682" s="3" t="s">
        <v>276</v>
      </c>
      <c r="H2682" s="2" t="s">
        <v>72</v>
      </c>
      <c r="I2682" s="2" t="s">
        <v>6783</v>
      </c>
      <c r="J2682" s="3" t="str">
        <f>HYPERLINK("https://www.boe.es/gazeta/dias/1815/05/25/pdfs/GMD-1815-63.pdf#page=12","Abrir facsímil")</f>
        <v>Abrir facsímil</v>
      </c>
      <c r="K2682" s="3" t="s">
        <v>74</v>
      </c>
    </row>
    <row r="2683" spans="1:11" ht="42" customHeight="1">
      <c r="A2683" s="2" t="s">
        <v>6784</v>
      </c>
      <c r="B2683" s="2" t="s">
        <v>6784</v>
      </c>
      <c r="C2683" s="2" t="s">
        <v>17</v>
      </c>
      <c r="D2683" s="2" t="s">
        <v>18</v>
      </c>
      <c r="E2683" s="5">
        <v>-30900</v>
      </c>
      <c r="F2683" s="3" t="s">
        <v>921</v>
      </c>
      <c r="G2683" s="3" t="s">
        <v>276</v>
      </c>
      <c r="H2683" s="2" t="s">
        <v>72</v>
      </c>
      <c r="I2683" s="2" t="s">
        <v>6785</v>
      </c>
      <c r="J2683" s="3" t="str">
        <f>HYPERLINK("https://www.boe.es/gazeta/dias/1815/05/25/pdfs/GMD-1815-63.pdf#page=12","Abrir facsímil")</f>
        <v>Abrir facsímil</v>
      </c>
      <c r="K2683" s="3" t="s">
        <v>74</v>
      </c>
    </row>
    <row r="2684" spans="1:11" ht="42" customHeight="1">
      <c r="A2684" s="2" t="s">
        <v>6786</v>
      </c>
      <c r="B2684" s="2" t="s">
        <v>6786</v>
      </c>
      <c r="C2684" s="2" t="s">
        <v>31</v>
      </c>
      <c r="D2684" s="2" t="s">
        <v>32</v>
      </c>
      <c r="E2684" s="5">
        <v>-30821</v>
      </c>
      <c r="F2684" s="3" t="s">
        <v>915</v>
      </c>
      <c r="G2684" s="3" t="s">
        <v>410</v>
      </c>
      <c r="H2684" s="2" t="s">
        <v>72</v>
      </c>
      <c r="I2684" s="2" t="s">
        <v>6787</v>
      </c>
      <c r="J2684" s="3" t="str">
        <f>HYPERLINK("https://www.boe.es/gazeta/dias/1815/08/12/pdfs/GMD-1815-99.pdf#page=1","Abrir facsímil")</f>
        <v>Abrir facsímil</v>
      </c>
      <c r="K2684" s="3" t="s">
        <v>74</v>
      </c>
    </row>
    <row r="2685" spans="1:11" ht="42" customHeight="1">
      <c r="A2685" s="2" t="s">
        <v>6788</v>
      </c>
      <c r="B2685" s="2" t="s">
        <v>6789</v>
      </c>
      <c r="C2685" s="2" t="s">
        <v>49</v>
      </c>
      <c r="D2685" s="2" t="s">
        <v>50</v>
      </c>
      <c r="E2685" s="5">
        <v>-30986</v>
      </c>
      <c r="F2685" s="3" t="s">
        <v>46</v>
      </c>
      <c r="G2685" s="3" t="s">
        <v>38</v>
      </c>
      <c r="H2685" s="2" t="s">
        <v>72</v>
      </c>
      <c r="I2685" s="2" t="s">
        <v>6790</v>
      </c>
      <c r="J2685" s="3" t="str">
        <f>HYPERLINK("https://www.boe.es/gazeta/dias/1815/02/28/pdfs/GMD-1815-25.pdf#page=8","Abrir facsímil")</f>
        <v>Abrir facsímil</v>
      </c>
      <c r="K2685" s="3" t="s">
        <v>74</v>
      </c>
    </row>
    <row r="2686" spans="1:11" ht="42" customHeight="1">
      <c r="A2686" s="2" t="s">
        <v>6791</v>
      </c>
      <c r="B2686" s="2" t="s">
        <v>6792</v>
      </c>
      <c r="C2686" s="2" t="s">
        <v>49</v>
      </c>
      <c r="D2686" s="2" t="s">
        <v>50</v>
      </c>
      <c r="E2686" s="5">
        <v>-30772</v>
      </c>
      <c r="F2686" s="3" t="s">
        <v>216</v>
      </c>
      <c r="G2686" s="3" t="s">
        <v>71</v>
      </c>
      <c r="H2686" s="2" t="s">
        <v>72</v>
      </c>
      <c r="I2686" s="2" t="s">
        <v>6793</v>
      </c>
      <c r="J2686" s="3" t="str">
        <f>HYPERLINK("https://www.boe.es/gazeta/dias/1815/09/30/pdfs/GMD-1815-123.pdf#page=7","Abrir facsímil")</f>
        <v>Abrir facsímil</v>
      </c>
      <c r="K2686" s="3" t="s">
        <v>74</v>
      </c>
    </row>
    <row r="2687" spans="1:11" ht="42" customHeight="1">
      <c r="A2687" s="2" t="s">
        <v>6794</v>
      </c>
      <c r="B2687" s="2" t="s">
        <v>6794</v>
      </c>
      <c r="C2687" s="2" t="s">
        <v>897</v>
      </c>
      <c r="D2687" s="2" t="s">
        <v>50</v>
      </c>
      <c r="E2687" s="5">
        <v>-30849</v>
      </c>
      <c r="F2687" s="3" t="s">
        <v>501</v>
      </c>
      <c r="G2687" s="3" t="s">
        <v>276</v>
      </c>
      <c r="H2687" s="2" t="s">
        <v>72</v>
      </c>
      <c r="I2687" s="2" t="s">
        <v>6795</v>
      </c>
      <c r="J2687" s="3" t="str">
        <f>HYPERLINK("https://www.boe.es/gazeta/dias/1815/07/15/pdfs/GMD-1815-87.pdf#page=12","Abrir facsímil")</f>
        <v>Abrir facsímil</v>
      </c>
      <c r="K2687" s="3" t="s">
        <v>74</v>
      </c>
    </row>
    <row r="2688" spans="1:11" ht="42" customHeight="1">
      <c r="A2688" s="2" t="s">
        <v>6796</v>
      </c>
      <c r="B2688" s="2" t="s">
        <v>6796</v>
      </c>
      <c r="C2688" s="2" t="s">
        <v>31</v>
      </c>
      <c r="D2688" s="2" t="s">
        <v>32</v>
      </c>
      <c r="E2688" s="5">
        <v>-30874</v>
      </c>
      <c r="F2688" s="3" t="s">
        <v>208</v>
      </c>
      <c r="G2688" s="3" t="s">
        <v>276</v>
      </c>
      <c r="H2688" s="2" t="s">
        <v>72</v>
      </c>
      <c r="I2688" s="2" t="s">
        <v>6797</v>
      </c>
      <c r="J2688" s="3" t="str">
        <f>HYPERLINK("https://www.boe.es/gazeta/dias/1815/06/20/pdfs/GMD-1815-74.pdf#page=12","Abrir facsímil")</f>
        <v>Abrir facsímil</v>
      </c>
      <c r="K2688" s="3" t="s">
        <v>74</v>
      </c>
    </row>
    <row r="2689" spans="1:11" ht="42" customHeight="1">
      <c r="A2689" s="2" t="s">
        <v>6796</v>
      </c>
      <c r="B2689" s="2" t="s">
        <v>6796</v>
      </c>
      <c r="C2689" s="2" t="s">
        <v>31</v>
      </c>
      <c r="D2689" s="2" t="s">
        <v>32</v>
      </c>
      <c r="E2689" s="5">
        <v>-30797</v>
      </c>
      <c r="F2689" s="3" t="s">
        <v>248</v>
      </c>
      <c r="G2689" s="3" t="s">
        <v>249</v>
      </c>
      <c r="H2689" s="2" t="s">
        <v>72</v>
      </c>
      <c r="I2689" s="2" t="s">
        <v>6798</v>
      </c>
      <c r="J2689" s="3" t="str">
        <f>HYPERLINK("https://www.boe.es/gazeta/dias/1815/09/05/pdfs/GMD-1815-110.pdf#page=3","Abrir facsímil")</f>
        <v>Abrir facsímil</v>
      </c>
      <c r="K2689" s="3" t="s">
        <v>74</v>
      </c>
    </row>
    <row r="2690" spans="1:11" ht="42" customHeight="1">
      <c r="A2690" s="2" t="s">
        <v>6799</v>
      </c>
      <c r="B2690" s="2" t="s">
        <v>6800</v>
      </c>
      <c r="C2690" s="2" t="s">
        <v>49</v>
      </c>
      <c r="D2690" s="2" t="s">
        <v>50</v>
      </c>
      <c r="E2690" s="5">
        <v>-31040</v>
      </c>
      <c r="F2690" s="3" t="s">
        <v>326</v>
      </c>
      <c r="G2690" s="3" t="s">
        <v>38</v>
      </c>
      <c r="H2690" s="2" t="s">
        <v>72</v>
      </c>
      <c r="I2690" s="2" t="s">
        <v>6801</v>
      </c>
      <c r="J2690" s="3" t="str">
        <f>HYPERLINK("https://www.boe.es/gazeta/dias/1815/01/05/pdfs/GMD-1815-2.pdf#page=8","Abrir facsímil")</f>
        <v>Abrir facsímil</v>
      </c>
      <c r="K2690" s="3" t="s">
        <v>74</v>
      </c>
    </row>
    <row r="2691" spans="1:11" ht="42" customHeight="1">
      <c r="A2691" s="2" t="s">
        <v>6802</v>
      </c>
      <c r="B2691" s="2" t="s">
        <v>6802</v>
      </c>
      <c r="C2691" s="2" t="s">
        <v>195</v>
      </c>
      <c r="D2691" s="2" t="s">
        <v>50</v>
      </c>
      <c r="E2691" s="5">
        <v>-30940</v>
      </c>
      <c r="F2691" s="3" t="s">
        <v>610</v>
      </c>
      <c r="G2691" s="3" t="s">
        <v>71</v>
      </c>
      <c r="H2691" s="2" t="s">
        <v>72</v>
      </c>
      <c r="I2691" s="2" t="s">
        <v>6803</v>
      </c>
      <c r="J2691" s="3" t="str">
        <f>HYPERLINK("https://www.boe.es/gazeta/dias/1815/04/15/pdfs/GMD-1815-46.pdf#page=7","Abrir facsímil")</f>
        <v>Abrir facsímil</v>
      </c>
      <c r="K2691" s="3" t="s">
        <v>74</v>
      </c>
    </row>
    <row r="2692" spans="1:11" ht="42" customHeight="1">
      <c r="A2692" s="2" t="s">
        <v>6804</v>
      </c>
      <c r="B2692" s="2" t="s">
        <v>6804</v>
      </c>
      <c r="C2692" s="2" t="s">
        <v>31</v>
      </c>
      <c r="D2692" s="2" t="s">
        <v>32</v>
      </c>
      <c r="E2692" s="5">
        <v>-30823</v>
      </c>
      <c r="F2692" s="3" t="s">
        <v>305</v>
      </c>
      <c r="G2692" s="3" t="s">
        <v>410</v>
      </c>
      <c r="H2692" s="2" t="s">
        <v>72</v>
      </c>
      <c r="I2692" s="2" t="s">
        <v>6805</v>
      </c>
      <c r="J2692" s="3" t="str">
        <f>HYPERLINK("https://www.boe.es/gazeta/dias/1815/08/10/pdfs/GMD-1815-98.pdf#page=1","Abrir facsímil")</f>
        <v>Abrir facsímil</v>
      </c>
      <c r="K2692" s="3" t="s">
        <v>74</v>
      </c>
    </row>
    <row r="2693" spans="1:11" ht="42" customHeight="1">
      <c r="A2693" s="2" t="s">
        <v>6806</v>
      </c>
      <c r="B2693" s="2" t="s">
        <v>6806</v>
      </c>
      <c r="C2693" s="2" t="s">
        <v>49</v>
      </c>
      <c r="D2693" s="2" t="s">
        <v>50</v>
      </c>
      <c r="E2693" s="5">
        <v>-31000</v>
      </c>
      <c r="F2693" s="3" t="s">
        <v>70</v>
      </c>
      <c r="G2693" s="3" t="s">
        <v>410</v>
      </c>
      <c r="H2693" s="2" t="s">
        <v>72</v>
      </c>
      <c r="I2693" s="2" t="s">
        <v>6807</v>
      </c>
      <c r="J2693" s="3" t="str">
        <f>HYPERLINK("https://www.boe.es/gazeta/dias/1815/02/14/pdfs/GMD-1815-19.pdf#page=1","Abrir facsímil")</f>
        <v>Abrir facsímil</v>
      </c>
      <c r="K2693" s="3" t="s">
        <v>74</v>
      </c>
    </row>
    <row r="2694" spans="1:11" ht="42" customHeight="1">
      <c r="A2694" s="2" t="s">
        <v>6806</v>
      </c>
      <c r="B2694" s="2" t="s">
        <v>6806</v>
      </c>
      <c r="C2694" s="2" t="s">
        <v>61</v>
      </c>
      <c r="D2694" s="2" t="s">
        <v>50</v>
      </c>
      <c r="E2694" s="5">
        <v>-30986</v>
      </c>
      <c r="F2694" s="3" t="s">
        <v>46</v>
      </c>
      <c r="G2694" s="3" t="s">
        <v>276</v>
      </c>
      <c r="H2694" s="2" t="s">
        <v>72</v>
      </c>
      <c r="I2694" s="2" t="s">
        <v>6808</v>
      </c>
      <c r="J2694" s="3" t="str">
        <f>HYPERLINK("https://www.boe.es/gazeta/dias/1815/02/28/pdfs/GMD-1815-25.pdf#page=12","Abrir facsímil")</f>
        <v>Abrir facsímil</v>
      </c>
      <c r="K2694" s="3" t="s">
        <v>74</v>
      </c>
    </row>
    <row r="2695" spans="1:11" ht="42" customHeight="1">
      <c r="A2695" s="2" t="s">
        <v>6806</v>
      </c>
      <c r="B2695" s="2" t="s">
        <v>6806</v>
      </c>
      <c r="C2695" s="2" t="s">
        <v>81</v>
      </c>
      <c r="D2695" s="2" t="s">
        <v>50</v>
      </c>
      <c r="E2695" s="5">
        <v>-30982</v>
      </c>
      <c r="F2695" s="3" t="s">
        <v>220</v>
      </c>
      <c r="G2695" s="3" t="s">
        <v>38</v>
      </c>
      <c r="H2695" s="2" t="s">
        <v>72</v>
      </c>
      <c r="I2695" s="2" t="s">
        <v>6809</v>
      </c>
      <c r="J2695" s="3" t="str">
        <f>HYPERLINK("https://www.boe.es/gazeta/dias/1815/03/04/pdfs/GMD-1815-27.pdf#page=8","Abrir facsímil")</f>
        <v>Abrir facsímil</v>
      </c>
      <c r="K2695" s="3" t="s">
        <v>74</v>
      </c>
    </row>
    <row r="2696" spans="1:11" ht="42" customHeight="1">
      <c r="A2696" s="2" t="s">
        <v>6806</v>
      </c>
      <c r="B2696" s="2" t="s">
        <v>6806</v>
      </c>
      <c r="C2696" s="2" t="s">
        <v>195</v>
      </c>
      <c r="D2696" s="2" t="s">
        <v>50</v>
      </c>
      <c r="E2696" s="5">
        <v>-30744</v>
      </c>
      <c r="F2696" s="3" t="s">
        <v>391</v>
      </c>
      <c r="G2696" s="3" t="s">
        <v>38</v>
      </c>
      <c r="H2696" s="2" t="s">
        <v>72</v>
      </c>
      <c r="I2696" s="2" t="s">
        <v>6810</v>
      </c>
      <c r="J2696" s="3" t="str">
        <f>HYPERLINK("https://www.boe.es/gazeta/dias/1815/10/28/pdfs/GMD-1815-135.pdf#page=8","Abrir facsímil")</f>
        <v>Abrir facsímil</v>
      </c>
      <c r="K2696" s="3" t="s">
        <v>74</v>
      </c>
    </row>
    <row r="2697" spans="1:11" ht="42" customHeight="1">
      <c r="A2697" s="2" t="s">
        <v>6811</v>
      </c>
      <c r="B2697" s="2" t="s">
        <v>6811</v>
      </c>
      <c r="C2697" s="2" t="s">
        <v>49</v>
      </c>
      <c r="D2697" s="2" t="s">
        <v>50</v>
      </c>
      <c r="E2697" s="5">
        <v>-31038</v>
      </c>
      <c r="F2697" s="3" t="s">
        <v>395</v>
      </c>
      <c r="G2697" s="3" t="s">
        <v>71</v>
      </c>
      <c r="H2697" s="2" t="s">
        <v>72</v>
      </c>
      <c r="I2697" s="2" t="s">
        <v>6812</v>
      </c>
      <c r="J2697" s="3" t="str">
        <f>HYPERLINK("https://www.boe.es/gazeta/dias/1815/01/07/pdfs/GMD-1815-3.pdf#page=7","Abrir facsímil")</f>
        <v>Abrir facsímil</v>
      </c>
      <c r="K2697" s="3" t="s">
        <v>74</v>
      </c>
    </row>
    <row r="2698" spans="1:11" ht="42" customHeight="1">
      <c r="A2698" s="2" t="s">
        <v>6813</v>
      </c>
      <c r="B2698" s="2" t="s">
        <v>6813</v>
      </c>
      <c r="C2698" s="2" t="s">
        <v>31</v>
      </c>
      <c r="D2698" s="2" t="s">
        <v>32</v>
      </c>
      <c r="E2698" s="5">
        <v>-30884</v>
      </c>
      <c r="F2698" s="3" t="s">
        <v>136</v>
      </c>
      <c r="G2698" s="3" t="s">
        <v>71</v>
      </c>
      <c r="H2698" s="2" t="s">
        <v>72</v>
      </c>
      <c r="I2698" s="2" t="s">
        <v>6814</v>
      </c>
      <c r="J2698" s="3" t="str">
        <f>HYPERLINK("https://www.boe.es/gazeta/dias/1815/06/10/pdfs/GMD-1815-70.pdf#page=7","Abrir facsímil")</f>
        <v>Abrir facsímil</v>
      </c>
      <c r="K2698" s="3" t="s">
        <v>74</v>
      </c>
    </row>
    <row r="2699" spans="1:11" ht="42" customHeight="1">
      <c r="A2699" s="2" t="s">
        <v>6815</v>
      </c>
      <c r="B2699" s="2" t="s">
        <v>6815</v>
      </c>
      <c r="C2699" s="2" t="s">
        <v>31</v>
      </c>
      <c r="D2699" s="2" t="s">
        <v>32</v>
      </c>
      <c r="E2699" s="5">
        <v>-30818</v>
      </c>
      <c r="F2699" s="3" t="s">
        <v>334</v>
      </c>
      <c r="G2699" s="3" t="s">
        <v>4553</v>
      </c>
      <c r="H2699" s="2" t="s">
        <v>72</v>
      </c>
      <c r="I2699" s="2" t="s">
        <v>6816</v>
      </c>
      <c r="J2699" s="3" t="str">
        <f>HYPERLINK("https://www.boe.es/gazeta/dias/1815/08/15/pdfs/GMD-1815-100.pdf#page=2","Abrir facsímil")</f>
        <v>Abrir facsímil</v>
      </c>
      <c r="K2699" s="3" t="s">
        <v>74</v>
      </c>
    </row>
    <row r="2700" spans="1:11" ht="42" customHeight="1">
      <c r="A2700" s="2" t="s">
        <v>6817</v>
      </c>
      <c r="B2700" s="2" t="s">
        <v>6818</v>
      </c>
      <c r="C2700" s="2" t="s">
        <v>17</v>
      </c>
      <c r="D2700" s="2" t="s">
        <v>18</v>
      </c>
      <c r="E2700" s="5">
        <v>-30888</v>
      </c>
      <c r="F2700" s="3" t="s">
        <v>368</v>
      </c>
      <c r="G2700" s="3" t="s">
        <v>52</v>
      </c>
      <c r="H2700" s="2" t="s">
        <v>72</v>
      </c>
      <c r="I2700" s="2" t="s">
        <v>6819</v>
      </c>
      <c r="J2700" s="3" t="str">
        <f>HYPERLINK("https://www.boe.es/gazeta/dias/1815/06/06/pdfs/GMD-1815-68.pdf#page=11","Abrir facsímil")</f>
        <v>Abrir facsímil</v>
      </c>
      <c r="K2700" s="3" t="s">
        <v>74</v>
      </c>
    </row>
    <row r="2701" spans="1:11" ht="42" customHeight="1">
      <c r="A2701" s="2" t="s">
        <v>6820</v>
      </c>
      <c r="B2701" s="2" t="s">
        <v>6820</v>
      </c>
      <c r="C2701" s="2" t="s">
        <v>31</v>
      </c>
      <c r="D2701" s="2" t="s">
        <v>32</v>
      </c>
      <c r="E2701" s="5">
        <v>-30879</v>
      </c>
      <c r="F2701" s="3" t="s">
        <v>754</v>
      </c>
      <c r="G2701" s="3" t="s">
        <v>57</v>
      </c>
      <c r="H2701" s="2" t="s">
        <v>72</v>
      </c>
      <c r="I2701" s="2" t="s">
        <v>6821</v>
      </c>
      <c r="J2701" s="3" t="str">
        <f>HYPERLINK("https://www.boe.es/gazeta/dias/1815/06/15/pdfs/GMD-1815-72.pdf#page=5","Abrir facsímil")</f>
        <v>Abrir facsímil</v>
      </c>
      <c r="K2701" s="3" t="s">
        <v>74</v>
      </c>
    </row>
    <row r="2702" spans="1:11" ht="42" customHeight="1">
      <c r="A2702" s="2" t="s">
        <v>6822</v>
      </c>
      <c r="B2702" s="2" t="s">
        <v>6822</v>
      </c>
      <c r="C2702" s="2" t="s">
        <v>49</v>
      </c>
      <c r="D2702" s="2" t="s">
        <v>50</v>
      </c>
      <c r="E2702" s="5">
        <v>-30956</v>
      </c>
      <c r="F2702" s="3" t="s">
        <v>495</v>
      </c>
      <c r="G2702" s="3" t="s">
        <v>27</v>
      </c>
      <c r="H2702" s="2" t="s">
        <v>72</v>
      </c>
      <c r="I2702" s="2" t="s">
        <v>6823</v>
      </c>
      <c r="J2702" s="3" t="str">
        <f>HYPERLINK("https://www.boe.es/gazeta/dias/1815/03/30/pdfs/GMD-1815-38.pdf#page=6","Abrir facsímil")</f>
        <v>Abrir facsímil</v>
      </c>
      <c r="K2702" s="3" t="s">
        <v>74</v>
      </c>
    </row>
    <row r="2703" spans="1:11" ht="42" customHeight="1">
      <c r="A2703" s="2" t="s">
        <v>6824</v>
      </c>
      <c r="B2703" s="2" t="s">
        <v>6824</v>
      </c>
      <c r="C2703" s="2" t="s">
        <v>49</v>
      </c>
      <c r="D2703" s="2" t="s">
        <v>50</v>
      </c>
      <c r="E2703" s="5">
        <v>-31040</v>
      </c>
      <c r="F2703" s="3" t="s">
        <v>326</v>
      </c>
      <c r="G2703" s="3" t="s">
        <v>27</v>
      </c>
      <c r="H2703" s="2" t="s">
        <v>72</v>
      </c>
      <c r="I2703" s="2" t="s">
        <v>6825</v>
      </c>
      <c r="J2703" s="3" t="str">
        <f>HYPERLINK("https://www.boe.es/gazeta/dias/1815/01/05/pdfs/GMD-1815-2.pdf#page=6","Abrir facsímil")</f>
        <v>Abrir facsímil</v>
      </c>
      <c r="K2703" s="3" t="s">
        <v>74</v>
      </c>
    </row>
    <row r="2704" spans="1:11" ht="42" customHeight="1">
      <c r="A2704" s="2" t="s">
        <v>6824</v>
      </c>
      <c r="B2704" s="2" t="s">
        <v>6824</v>
      </c>
      <c r="C2704" s="2" t="s">
        <v>31</v>
      </c>
      <c r="D2704" s="2" t="s">
        <v>32</v>
      </c>
      <c r="E2704" s="5">
        <v>-30977</v>
      </c>
      <c r="F2704" s="3" t="s">
        <v>37</v>
      </c>
      <c r="G2704" s="3" t="s">
        <v>71</v>
      </c>
      <c r="H2704" s="2" t="s">
        <v>72</v>
      </c>
      <c r="I2704" s="2" t="s">
        <v>6826</v>
      </c>
      <c r="J2704" s="3" t="str">
        <f>HYPERLINK("https://www.boe.es/gazeta/dias/1815/03/09/pdfs/GMD-1815-29.pdf#page=7","Abrir facsímil")</f>
        <v>Abrir facsímil</v>
      </c>
      <c r="K2704" s="3" t="s">
        <v>74</v>
      </c>
    </row>
    <row r="2705" spans="1:11" ht="42" customHeight="1">
      <c r="A2705" s="2" t="s">
        <v>6824</v>
      </c>
      <c r="B2705" s="2" t="s">
        <v>6824</v>
      </c>
      <c r="C2705" s="2" t="s">
        <v>31</v>
      </c>
      <c r="D2705" s="2" t="s">
        <v>32</v>
      </c>
      <c r="E2705" s="5">
        <v>-30958</v>
      </c>
      <c r="F2705" s="3" t="s">
        <v>297</v>
      </c>
      <c r="G2705" s="3" t="s">
        <v>57</v>
      </c>
      <c r="H2705" s="2" t="s">
        <v>72</v>
      </c>
      <c r="I2705" s="2" t="s">
        <v>6827</v>
      </c>
      <c r="J2705" s="3" t="str">
        <f>HYPERLINK("https://www.boe.es/gazeta/dias/1815/03/28/pdfs/GMD-1815-37.pdf#page=5","Abrir facsímil")</f>
        <v>Abrir facsímil</v>
      </c>
      <c r="K2705" s="3" t="s">
        <v>74</v>
      </c>
    </row>
    <row r="2706" spans="1:11" ht="42" customHeight="1">
      <c r="A2706" s="2" t="s">
        <v>6824</v>
      </c>
      <c r="B2706" s="2" t="s">
        <v>6824</v>
      </c>
      <c r="C2706" s="2" t="s">
        <v>49</v>
      </c>
      <c r="D2706" s="2" t="s">
        <v>50</v>
      </c>
      <c r="E2706" s="5">
        <v>-30916</v>
      </c>
      <c r="F2706" s="3" t="s">
        <v>147</v>
      </c>
      <c r="G2706" s="3" t="s">
        <v>38</v>
      </c>
      <c r="H2706" s="2" t="s">
        <v>72</v>
      </c>
      <c r="I2706" s="2" t="s">
        <v>6828</v>
      </c>
      <c r="J2706" s="3" t="str">
        <f>HYPERLINK("https://www.boe.es/gazeta/dias/1815/05/09/pdfs/GMD-1815-56.pdf#page=8","Abrir facsímil")</f>
        <v>Abrir facsímil</v>
      </c>
      <c r="K2706" s="3" t="s">
        <v>74</v>
      </c>
    </row>
    <row r="2707" spans="1:11" ht="42" customHeight="1">
      <c r="A2707" s="2" t="s">
        <v>6824</v>
      </c>
      <c r="B2707" s="2" t="s">
        <v>6824</v>
      </c>
      <c r="C2707" s="2" t="s">
        <v>31</v>
      </c>
      <c r="D2707" s="2" t="s">
        <v>32</v>
      </c>
      <c r="E2707" s="5">
        <v>-30891</v>
      </c>
      <c r="F2707" s="3" t="s">
        <v>498</v>
      </c>
      <c r="G2707" s="3" t="s">
        <v>27</v>
      </c>
      <c r="H2707" s="2" t="s">
        <v>72</v>
      </c>
      <c r="I2707" s="2" t="s">
        <v>6829</v>
      </c>
      <c r="J2707" s="3" t="str">
        <f>HYPERLINK("https://www.boe.es/gazeta/dias/1815/06/03/pdfs/GMD-1815-67.pdf#page=6","Abrir facsímil")</f>
        <v>Abrir facsímil</v>
      </c>
      <c r="K2707" s="3" t="s">
        <v>74</v>
      </c>
    </row>
    <row r="2708" spans="1:11" ht="42" customHeight="1">
      <c r="A2708" s="2" t="s">
        <v>6824</v>
      </c>
      <c r="B2708" s="2" t="s">
        <v>6824</v>
      </c>
      <c r="C2708" s="2" t="s">
        <v>49</v>
      </c>
      <c r="D2708" s="2" t="s">
        <v>50</v>
      </c>
      <c r="E2708" s="5">
        <v>-30886</v>
      </c>
      <c r="F2708" s="3" t="s">
        <v>140</v>
      </c>
      <c r="G2708" s="3" t="s">
        <v>88</v>
      </c>
      <c r="H2708" s="2" t="s">
        <v>72</v>
      </c>
      <c r="I2708" s="2" t="s">
        <v>6830</v>
      </c>
      <c r="J2708" s="3" t="str">
        <f>HYPERLINK("https://www.boe.es/gazeta/dias/1815/06/08/pdfs/GMD-1815-69.pdf#page=10","Abrir facsímil")</f>
        <v>Abrir facsímil</v>
      </c>
      <c r="K2708" s="3" t="s">
        <v>74</v>
      </c>
    </row>
    <row r="2709" spans="1:11" ht="42" customHeight="1">
      <c r="A2709" s="2" t="s">
        <v>6824</v>
      </c>
      <c r="B2709" s="2" t="s">
        <v>6824</v>
      </c>
      <c r="C2709" s="2" t="s">
        <v>49</v>
      </c>
      <c r="D2709" s="2" t="s">
        <v>50</v>
      </c>
      <c r="E2709" s="5">
        <v>-30886</v>
      </c>
      <c r="F2709" s="3" t="s">
        <v>140</v>
      </c>
      <c r="G2709" s="3" t="s">
        <v>224</v>
      </c>
      <c r="H2709" s="2" t="s">
        <v>72</v>
      </c>
      <c r="I2709" s="2" t="s">
        <v>6831</v>
      </c>
      <c r="J2709" s="3" t="str">
        <f>HYPERLINK("https://www.boe.es/gazeta/dias/1815/06/08/pdfs/GMD-1815-69.pdf#page=9","Abrir facsímil")</f>
        <v>Abrir facsímil</v>
      </c>
      <c r="K2709" s="3" t="s">
        <v>74</v>
      </c>
    </row>
    <row r="2710" spans="1:11" ht="42" customHeight="1">
      <c r="A2710" s="2" t="s">
        <v>6824</v>
      </c>
      <c r="B2710" s="2" t="s">
        <v>6824</v>
      </c>
      <c r="C2710" s="2" t="s">
        <v>195</v>
      </c>
      <c r="D2710" s="2" t="s">
        <v>50</v>
      </c>
      <c r="E2710" s="5">
        <v>-30874</v>
      </c>
      <c r="F2710" s="3" t="s">
        <v>208</v>
      </c>
      <c r="G2710" s="3" t="s">
        <v>71</v>
      </c>
      <c r="H2710" s="2" t="s">
        <v>72</v>
      </c>
      <c r="I2710" s="2" t="s">
        <v>6832</v>
      </c>
      <c r="J2710" s="3" t="str">
        <f>HYPERLINK("https://www.boe.es/gazeta/dias/1815/06/20/pdfs/GMD-1815-74.pdf#page=7","Abrir facsímil")</f>
        <v>Abrir facsímil</v>
      </c>
      <c r="K2710" s="3" t="s">
        <v>74</v>
      </c>
    </row>
    <row r="2711" spans="1:11" ht="42" customHeight="1">
      <c r="A2711" s="2" t="s">
        <v>6824</v>
      </c>
      <c r="B2711" s="2" t="s">
        <v>6824</v>
      </c>
      <c r="C2711" s="2" t="s">
        <v>31</v>
      </c>
      <c r="D2711" s="2" t="s">
        <v>32</v>
      </c>
      <c r="E2711" s="5">
        <v>-30872</v>
      </c>
      <c r="F2711" s="3" t="s">
        <v>167</v>
      </c>
      <c r="G2711" s="3" t="s">
        <v>224</v>
      </c>
      <c r="H2711" s="2" t="s">
        <v>72</v>
      </c>
      <c r="I2711" s="2" t="s">
        <v>6833</v>
      </c>
      <c r="J2711" s="3" t="str">
        <f>HYPERLINK("https://www.boe.es/gazeta/dias/1815/06/22/pdfs/GMD-1815-75.pdf#page=9","Abrir facsímil")</f>
        <v>Abrir facsímil</v>
      </c>
      <c r="K2711" s="3" t="s">
        <v>74</v>
      </c>
    </row>
    <row r="2712" spans="1:11" ht="42" customHeight="1">
      <c r="A2712" s="2" t="s">
        <v>6824</v>
      </c>
      <c r="B2712" s="2" t="s">
        <v>6824</v>
      </c>
      <c r="C2712" s="2" t="s">
        <v>49</v>
      </c>
      <c r="D2712" s="2" t="s">
        <v>50</v>
      </c>
      <c r="E2712" s="5">
        <v>-30865</v>
      </c>
      <c r="F2712" s="3" t="s">
        <v>163</v>
      </c>
      <c r="G2712" s="3" t="s">
        <v>71</v>
      </c>
      <c r="H2712" s="2" t="s">
        <v>72</v>
      </c>
      <c r="I2712" s="2" t="s">
        <v>6834</v>
      </c>
      <c r="J2712" s="3" t="str">
        <f>HYPERLINK("https://www.boe.es/gazeta/dias/1815/06/29/pdfs/GMD-1815-78.pdf#page=7","Abrir facsímil")</f>
        <v>Abrir facsímil</v>
      </c>
      <c r="K2712" s="3" t="s">
        <v>74</v>
      </c>
    </row>
    <row r="2713" spans="1:11" ht="42" customHeight="1">
      <c r="A2713" s="2" t="s">
        <v>6835</v>
      </c>
      <c r="B2713" s="2" t="s">
        <v>6836</v>
      </c>
      <c r="C2713" s="2" t="s">
        <v>31</v>
      </c>
      <c r="D2713" s="2" t="s">
        <v>32</v>
      </c>
      <c r="E2713" s="5">
        <v>-30907</v>
      </c>
      <c r="F2713" s="3" t="s">
        <v>301</v>
      </c>
      <c r="G2713" s="3" t="s">
        <v>71</v>
      </c>
      <c r="H2713" s="2" t="s">
        <v>72</v>
      </c>
      <c r="I2713" s="2" t="s">
        <v>6837</v>
      </c>
      <c r="J2713" s="3" t="str">
        <f>HYPERLINK("https://www.boe.es/gazeta/dias/1815/05/18/pdfs/GMD-1815-60.pdf#page=7","Abrir facsímil")</f>
        <v>Abrir facsímil</v>
      </c>
      <c r="K2713" s="3" t="s">
        <v>74</v>
      </c>
    </row>
    <row r="2714" spans="1:11" ht="42" customHeight="1">
      <c r="A2714" s="2" t="s">
        <v>6838</v>
      </c>
      <c r="B2714" s="2" t="s">
        <v>6839</v>
      </c>
      <c r="C2714" s="2" t="s">
        <v>49</v>
      </c>
      <c r="D2714" s="2" t="s">
        <v>50</v>
      </c>
      <c r="E2714" s="5">
        <v>-30741</v>
      </c>
      <c r="F2714" s="3" t="s">
        <v>1000</v>
      </c>
      <c r="G2714" s="3" t="s">
        <v>38</v>
      </c>
      <c r="H2714" s="2" t="s">
        <v>72</v>
      </c>
      <c r="I2714" s="2" t="s">
        <v>6840</v>
      </c>
      <c r="J2714" s="3" t="str">
        <f>HYPERLINK("https://www.boe.es/gazeta/dias/1815/10/31/pdfs/GMD-1815-136.pdf#page=8","Abrir facsímil")</f>
        <v>Abrir facsímil</v>
      </c>
      <c r="K2714" s="3" t="s">
        <v>74</v>
      </c>
    </row>
    <row r="2715" spans="1:11" ht="42" customHeight="1">
      <c r="A2715" s="2" t="s">
        <v>6841</v>
      </c>
      <c r="B2715" s="2" t="s">
        <v>6842</v>
      </c>
      <c r="C2715" s="2" t="s">
        <v>49</v>
      </c>
      <c r="D2715" s="2" t="s">
        <v>50</v>
      </c>
      <c r="E2715" s="5">
        <v>-31031</v>
      </c>
      <c r="F2715" s="3" t="s">
        <v>105</v>
      </c>
      <c r="G2715" s="3" t="s">
        <v>106</v>
      </c>
      <c r="H2715" s="2" t="s">
        <v>72</v>
      </c>
      <c r="I2715" s="2" t="s">
        <v>6843</v>
      </c>
      <c r="J2715" s="3" t="str">
        <f>HYPERLINK("https://www.boe.es/gazeta/dias/1815/01/14/pdfs/GMD-1815-6.pdf#page=7","Abrir facsímil")</f>
        <v>Abrir facsímil</v>
      </c>
      <c r="K2715" s="3" t="s">
        <v>74</v>
      </c>
    </row>
    <row r="2716" spans="1:11" ht="42" customHeight="1">
      <c r="A2716" s="2" t="s">
        <v>6844</v>
      </c>
      <c r="B2716" s="2" t="s">
        <v>6844</v>
      </c>
      <c r="C2716" s="2" t="s">
        <v>17</v>
      </c>
      <c r="D2716" s="2" t="s">
        <v>18</v>
      </c>
      <c r="E2716" s="5">
        <v>-30958</v>
      </c>
      <c r="F2716" s="3" t="s">
        <v>297</v>
      </c>
      <c r="G2716" s="3" t="s">
        <v>27</v>
      </c>
      <c r="H2716" s="2" t="s">
        <v>72</v>
      </c>
      <c r="I2716" s="2" t="s">
        <v>6845</v>
      </c>
      <c r="J2716" s="3" t="str">
        <f>HYPERLINK("https://www.boe.es/gazeta/dias/1815/03/28/pdfs/GMD-1815-37.pdf#page=6","Abrir facsímil")</f>
        <v>Abrir facsímil</v>
      </c>
      <c r="K2716" s="3" t="s">
        <v>74</v>
      </c>
    </row>
    <row r="2717" spans="1:11" ht="42" customHeight="1">
      <c r="A2717" s="2" t="s">
        <v>6844</v>
      </c>
      <c r="B2717" s="2" t="s">
        <v>6844</v>
      </c>
      <c r="C2717" s="2" t="s">
        <v>195</v>
      </c>
      <c r="D2717" s="2" t="s">
        <v>50</v>
      </c>
      <c r="E2717" s="5">
        <v>-30874</v>
      </c>
      <c r="F2717" s="3" t="s">
        <v>208</v>
      </c>
      <c r="G2717" s="3" t="s">
        <v>38</v>
      </c>
      <c r="H2717" s="2" t="s">
        <v>72</v>
      </c>
      <c r="I2717" s="2" t="s">
        <v>6846</v>
      </c>
      <c r="J2717" s="3" t="str">
        <f>HYPERLINK("https://www.boe.es/gazeta/dias/1815/06/20/pdfs/GMD-1815-74.pdf#page=8","Abrir facsímil")</f>
        <v>Abrir facsímil</v>
      </c>
      <c r="K2717" s="3" t="s">
        <v>74</v>
      </c>
    </row>
    <row r="2718" spans="1:11" ht="42" customHeight="1">
      <c r="A2718" s="2" t="s">
        <v>6847</v>
      </c>
      <c r="B2718" s="2" t="s">
        <v>6848</v>
      </c>
      <c r="C2718" s="2" t="s">
        <v>61</v>
      </c>
      <c r="D2718" s="2" t="s">
        <v>50</v>
      </c>
      <c r="E2718" s="5">
        <v>-30874</v>
      </c>
      <c r="F2718" s="3" t="s">
        <v>208</v>
      </c>
      <c r="G2718" s="3" t="s">
        <v>38</v>
      </c>
      <c r="H2718" s="2" t="s">
        <v>72</v>
      </c>
      <c r="I2718" s="2" t="s">
        <v>6849</v>
      </c>
      <c r="J2718" s="3" t="str">
        <f>HYPERLINK("https://www.boe.es/gazeta/dias/1815/06/20/pdfs/GMD-1815-74.pdf#page=8","Abrir facsímil")</f>
        <v>Abrir facsímil</v>
      </c>
      <c r="K2718" s="3" t="s">
        <v>74</v>
      </c>
    </row>
    <row r="2719" spans="1:11" ht="42" customHeight="1">
      <c r="A2719" s="2" t="s">
        <v>6850</v>
      </c>
      <c r="B2719" s="2" t="s">
        <v>6850</v>
      </c>
      <c r="C2719" s="2" t="s">
        <v>31</v>
      </c>
      <c r="D2719" s="2" t="s">
        <v>32</v>
      </c>
      <c r="E2719" s="5">
        <v>-30905</v>
      </c>
      <c r="F2719" s="3" t="s">
        <v>901</v>
      </c>
      <c r="G2719" s="3" t="s">
        <v>377</v>
      </c>
      <c r="H2719" s="2" t="s">
        <v>72</v>
      </c>
      <c r="I2719" s="2" t="s">
        <v>6851</v>
      </c>
      <c r="J2719" s="3" t="str">
        <f>HYPERLINK("https://www.boe.es/gazeta/dias/1815/05/20/pdfs/GMD-1815-61.pdf#page=2","Abrir facsímil")</f>
        <v>Abrir facsímil</v>
      </c>
      <c r="K2719" s="3" t="s">
        <v>74</v>
      </c>
    </row>
    <row r="2720" spans="1:11" ht="42" customHeight="1">
      <c r="A2720" s="2" t="s">
        <v>6850</v>
      </c>
      <c r="B2720" s="2" t="s">
        <v>6850</v>
      </c>
      <c r="C2720" s="2" t="s">
        <v>61</v>
      </c>
      <c r="D2720" s="2" t="s">
        <v>50</v>
      </c>
      <c r="E2720" s="5">
        <v>-30872</v>
      </c>
      <c r="F2720" s="3" t="s">
        <v>167</v>
      </c>
      <c r="G2720" s="3" t="s">
        <v>224</v>
      </c>
      <c r="H2720" s="2" t="s">
        <v>72</v>
      </c>
      <c r="I2720" s="2" t="s">
        <v>6852</v>
      </c>
      <c r="J2720" s="3" t="str">
        <f>HYPERLINK("https://www.boe.es/gazeta/dias/1815/06/22/pdfs/GMD-1815-75.pdf#page=9","Abrir facsímil")</f>
        <v>Abrir facsímil</v>
      </c>
      <c r="K2720" s="3" t="s">
        <v>74</v>
      </c>
    </row>
    <row r="2721" spans="1:11" ht="42" customHeight="1">
      <c r="A2721" s="2" t="s">
        <v>6850</v>
      </c>
      <c r="B2721" s="2" t="s">
        <v>6850</v>
      </c>
      <c r="C2721" s="2" t="s">
        <v>49</v>
      </c>
      <c r="D2721" s="2" t="s">
        <v>50</v>
      </c>
      <c r="E2721" s="5">
        <v>-30865</v>
      </c>
      <c r="F2721" s="3" t="s">
        <v>163</v>
      </c>
      <c r="G2721" s="3" t="s">
        <v>27</v>
      </c>
      <c r="H2721" s="2" t="s">
        <v>72</v>
      </c>
      <c r="I2721" s="2" t="s">
        <v>6853</v>
      </c>
      <c r="J2721" s="3" t="str">
        <f>HYPERLINK("https://www.boe.es/gazeta/dias/1815/06/29/pdfs/GMD-1815-78.pdf#page=6","Abrir facsímil")</f>
        <v>Abrir facsímil</v>
      </c>
      <c r="K2721" s="3" t="s">
        <v>74</v>
      </c>
    </row>
    <row r="2722" spans="1:11" ht="42" customHeight="1">
      <c r="A2722" s="2" t="s">
        <v>6850</v>
      </c>
      <c r="B2722" s="2" t="s">
        <v>6850</v>
      </c>
      <c r="C2722" s="2" t="s">
        <v>49</v>
      </c>
      <c r="D2722" s="2" t="s">
        <v>50</v>
      </c>
      <c r="E2722" s="5">
        <v>-30790</v>
      </c>
      <c r="F2722" s="3" t="s">
        <v>285</v>
      </c>
      <c r="G2722" s="3" t="s">
        <v>57</v>
      </c>
      <c r="H2722" s="2" t="s">
        <v>72</v>
      </c>
      <c r="I2722" s="2" t="s">
        <v>6854</v>
      </c>
      <c r="J2722" s="3" t="str">
        <f>HYPERLINK("https://www.boe.es/gazeta/dias/1815/09/12/pdfs/GMD-1815-113.pdf#page=5","Abrir facsímil")</f>
        <v>Abrir facsímil</v>
      </c>
      <c r="K2722" s="3" t="s">
        <v>74</v>
      </c>
    </row>
    <row r="2723" spans="1:11" ht="42" customHeight="1">
      <c r="A2723" s="2" t="s">
        <v>6855</v>
      </c>
      <c r="B2723" s="2" t="s">
        <v>6856</v>
      </c>
      <c r="C2723" s="2" t="s">
        <v>17</v>
      </c>
      <c r="D2723" s="2" t="s">
        <v>18</v>
      </c>
      <c r="E2723" s="5">
        <v>-31000</v>
      </c>
      <c r="F2723" s="3" t="s">
        <v>70</v>
      </c>
      <c r="G2723" s="3" t="s">
        <v>20</v>
      </c>
      <c r="H2723" s="2" t="s">
        <v>72</v>
      </c>
      <c r="I2723" s="2" t="s">
        <v>6857</v>
      </c>
      <c r="J2723" s="3" t="str">
        <f>HYPERLINK("https://www.boe.es/gazeta/dias/1815/02/14/pdfs/GMD-1815-19.pdf#page=4","Abrir facsímil")</f>
        <v>Abrir facsímil</v>
      </c>
      <c r="K2723" s="3" t="s">
        <v>74</v>
      </c>
    </row>
    <row r="2724" spans="1:11" ht="42" customHeight="1">
      <c r="A2724" s="2" t="s">
        <v>6858</v>
      </c>
      <c r="B2724" s="2" t="s">
        <v>6858</v>
      </c>
      <c r="C2724" s="2" t="s">
        <v>31</v>
      </c>
      <c r="D2724" s="2" t="s">
        <v>32</v>
      </c>
      <c r="E2724" s="5">
        <v>-30877</v>
      </c>
      <c r="F2724" s="3" t="s">
        <v>548</v>
      </c>
      <c r="G2724" s="3" t="s">
        <v>1720</v>
      </c>
      <c r="H2724" s="2" t="s">
        <v>72</v>
      </c>
      <c r="I2724" s="2" t="s">
        <v>6859</v>
      </c>
      <c r="J2724" s="3" t="str">
        <f>HYPERLINK("https://www.boe.es/gazeta/dias/1815/06/17/pdfs/GMD-1815-73.pdf#page=4","Abrir facsímil")</f>
        <v>Abrir facsímil</v>
      </c>
      <c r="K2724" s="3" t="s">
        <v>74</v>
      </c>
    </row>
    <row r="2725" spans="1:11" ht="42" customHeight="1">
      <c r="A2725" s="2" t="s">
        <v>6860</v>
      </c>
      <c r="B2725" s="2" t="s">
        <v>6860</v>
      </c>
      <c r="C2725" s="2" t="s">
        <v>31</v>
      </c>
      <c r="D2725" s="2" t="s">
        <v>32</v>
      </c>
      <c r="E2725" s="5">
        <v>-30905</v>
      </c>
      <c r="F2725" s="3" t="s">
        <v>901</v>
      </c>
      <c r="G2725" s="3" t="s">
        <v>377</v>
      </c>
      <c r="H2725" s="2" t="s">
        <v>72</v>
      </c>
      <c r="I2725" s="2" t="s">
        <v>6861</v>
      </c>
      <c r="J2725" s="3" t="str">
        <f>HYPERLINK("https://www.boe.es/gazeta/dias/1815/05/20/pdfs/GMD-1815-61.pdf#page=2","Abrir facsímil")</f>
        <v>Abrir facsímil</v>
      </c>
      <c r="K2725" s="3" t="s">
        <v>74</v>
      </c>
    </row>
    <row r="2726" spans="1:11" ht="42" customHeight="1">
      <c r="A2726" s="2" t="s">
        <v>6862</v>
      </c>
      <c r="B2726" s="2" t="s">
        <v>6862</v>
      </c>
      <c r="C2726" s="2" t="s">
        <v>17</v>
      </c>
      <c r="D2726" s="2" t="s">
        <v>18</v>
      </c>
      <c r="E2726" s="5">
        <v>-31042</v>
      </c>
      <c r="F2726" s="3" t="s">
        <v>512</v>
      </c>
      <c r="G2726" s="3" t="s">
        <v>20</v>
      </c>
      <c r="H2726" s="2" t="s">
        <v>72</v>
      </c>
      <c r="I2726" s="2" t="s">
        <v>6863</v>
      </c>
      <c r="J2726" s="3" t="str">
        <f>HYPERLINK("https://www.boe.es/gazeta/dias/1815/01/03/pdfs/GMD-1815-1.pdf#page=4","Abrir facsímil")</f>
        <v>Abrir facsímil</v>
      </c>
      <c r="K2726" s="3" t="s">
        <v>74</v>
      </c>
    </row>
    <row r="2727" spans="1:11" ht="42" customHeight="1">
      <c r="A2727" s="2" t="s">
        <v>6864</v>
      </c>
      <c r="B2727" s="2" t="s">
        <v>6864</v>
      </c>
      <c r="C2727" s="2" t="s">
        <v>49</v>
      </c>
      <c r="D2727" s="2" t="s">
        <v>50</v>
      </c>
      <c r="E2727" s="5">
        <v>-30998</v>
      </c>
      <c r="F2727" s="3" t="s">
        <v>539</v>
      </c>
      <c r="G2727" s="3" t="s">
        <v>38</v>
      </c>
      <c r="H2727" s="2" t="s">
        <v>72</v>
      </c>
      <c r="I2727" s="2" t="s">
        <v>6865</v>
      </c>
      <c r="J2727" s="3" t="str">
        <f>HYPERLINK("https://www.boe.es/gazeta/dias/1815/02/16/pdfs/GMD-1815-20.pdf#page=8","Abrir facsímil")</f>
        <v>Abrir facsímil</v>
      </c>
      <c r="K2727" s="3" t="s">
        <v>74</v>
      </c>
    </row>
    <row r="2728" spans="1:11" ht="42" customHeight="1">
      <c r="A2728" s="2" t="s">
        <v>6864</v>
      </c>
      <c r="B2728" s="2" t="s">
        <v>6864</v>
      </c>
      <c r="C2728" s="2" t="s">
        <v>31</v>
      </c>
      <c r="D2728" s="2" t="s">
        <v>32</v>
      </c>
      <c r="E2728" s="5">
        <v>-30958</v>
      </c>
      <c r="F2728" s="3" t="s">
        <v>297</v>
      </c>
      <c r="G2728" s="3" t="s">
        <v>57</v>
      </c>
      <c r="H2728" s="2" t="s">
        <v>72</v>
      </c>
      <c r="I2728" s="2" t="s">
        <v>6866</v>
      </c>
      <c r="J2728" s="3" t="str">
        <f>HYPERLINK("https://www.boe.es/gazeta/dias/1815/03/28/pdfs/GMD-1815-37.pdf#page=5","Abrir facsímil")</f>
        <v>Abrir facsímil</v>
      </c>
      <c r="K2728" s="3" t="s">
        <v>74</v>
      </c>
    </row>
    <row r="2729" spans="1:11" ht="42" customHeight="1">
      <c r="A2729" s="2" t="s">
        <v>6864</v>
      </c>
      <c r="B2729" s="2" t="s">
        <v>6864</v>
      </c>
      <c r="C2729" s="2" t="s">
        <v>31</v>
      </c>
      <c r="D2729" s="2" t="s">
        <v>32</v>
      </c>
      <c r="E2729" s="5">
        <v>-30951</v>
      </c>
      <c r="F2729" s="3" t="s">
        <v>87</v>
      </c>
      <c r="G2729" s="3" t="s">
        <v>88</v>
      </c>
      <c r="H2729" s="2" t="s">
        <v>72</v>
      </c>
      <c r="I2729" s="2" t="s">
        <v>6867</v>
      </c>
      <c r="J2729" s="3" t="str">
        <f>HYPERLINK("https://www.boe.es/gazeta/dias/1815/04/04/pdfs/GMD-1815-41.pdf#page=10","Abrir facsímil")</f>
        <v>Abrir facsímil</v>
      </c>
      <c r="K2729" s="3" t="s">
        <v>74</v>
      </c>
    </row>
    <row r="2730" spans="1:11" ht="42" customHeight="1">
      <c r="A2730" s="2" t="s">
        <v>6864</v>
      </c>
      <c r="B2730" s="2" t="s">
        <v>6864</v>
      </c>
      <c r="C2730" s="2" t="s">
        <v>31</v>
      </c>
      <c r="D2730" s="2" t="s">
        <v>32</v>
      </c>
      <c r="E2730" s="5">
        <v>-30905</v>
      </c>
      <c r="F2730" s="3" t="s">
        <v>901</v>
      </c>
      <c r="G2730" s="3" t="s">
        <v>377</v>
      </c>
      <c r="H2730" s="2" t="s">
        <v>72</v>
      </c>
      <c r="I2730" s="2" t="s">
        <v>6868</v>
      </c>
      <c r="J2730" s="3" t="str">
        <f>HYPERLINK("https://www.boe.es/gazeta/dias/1815/05/20/pdfs/GMD-1815-61.pdf#page=2","Abrir facsímil")</f>
        <v>Abrir facsímil</v>
      </c>
      <c r="K2730" s="3" t="s">
        <v>74</v>
      </c>
    </row>
    <row r="2731" spans="1:11" ht="42" customHeight="1">
      <c r="A2731" s="2" t="s">
        <v>6864</v>
      </c>
      <c r="B2731" s="2" t="s">
        <v>6864</v>
      </c>
      <c r="C2731" s="2" t="s">
        <v>31</v>
      </c>
      <c r="D2731" s="2" t="s">
        <v>32</v>
      </c>
      <c r="E2731" s="5">
        <v>-30905</v>
      </c>
      <c r="F2731" s="3" t="s">
        <v>901</v>
      </c>
      <c r="G2731" s="3" t="s">
        <v>97</v>
      </c>
      <c r="H2731" s="2" t="s">
        <v>72</v>
      </c>
      <c r="I2731" s="2" t="s">
        <v>6869</v>
      </c>
      <c r="J2731" s="3" t="str">
        <f>HYPERLINK("https://www.boe.es/gazeta/dias/1815/05/20/pdfs/GMD-1815-61.pdf#page=3","Abrir facsímil")</f>
        <v>Abrir facsímil</v>
      </c>
      <c r="K2731" s="3" t="s">
        <v>74</v>
      </c>
    </row>
    <row r="2732" spans="1:11" ht="42" customHeight="1">
      <c r="A2732" s="2" t="s">
        <v>6864</v>
      </c>
      <c r="B2732" s="2" t="s">
        <v>6864</v>
      </c>
      <c r="C2732" s="2" t="s">
        <v>17</v>
      </c>
      <c r="D2732" s="2" t="s">
        <v>18</v>
      </c>
      <c r="E2732" s="5">
        <v>-30877</v>
      </c>
      <c r="F2732" s="3" t="s">
        <v>548</v>
      </c>
      <c r="G2732" s="3" t="s">
        <v>1720</v>
      </c>
      <c r="H2732" s="2" t="s">
        <v>72</v>
      </c>
      <c r="I2732" s="2" t="s">
        <v>6870</v>
      </c>
      <c r="J2732" s="3" t="str">
        <f>HYPERLINK("https://www.boe.es/gazeta/dias/1815/06/17/pdfs/GMD-1815-73.pdf#page=4","Abrir facsímil")</f>
        <v>Abrir facsímil</v>
      </c>
      <c r="K2732" s="3" t="s">
        <v>74</v>
      </c>
    </row>
    <row r="2733" spans="1:11" ht="42" customHeight="1">
      <c r="A2733" s="2" t="s">
        <v>6864</v>
      </c>
      <c r="B2733" s="2" t="s">
        <v>6864</v>
      </c>
      <c r="C2733" s="2" t="s">
        <v>31</v>
      </c>
      <c r="D2733" s="2" t="s">
        <v>32</v>
      </c>
      <c r="E2733" s="5">
        <v>-30877</v>
      </c>
      <c r="F2733" s="3" t="s">
        <v>548</v>
      </c>
      <c r="G2733" s="3" t="s">
        <v>97</v>
      </c>
      <c r="H2733" s="2" t="s">
        <v>72</v>
      </c>
      <c r="I2733" s="2" t="s">
        <v>6871</v>
      </c>
      <c r="J2733" s="3" t="str">
        <f>HYPERLINK("https://www.boe.es/gazeta/dias/1815/06/17/pdfs/GMD-1815-73.pdf#page=3","Abrir facsímil")</f>
        <v>Abrir facsímil</v>
      </c>
      <c r="K2733" s="3" t="s">
        <v>74</v>
      </c>
    </row>
    <row r="2734" spans="1:11" ht="42" customHeight="1">
      <c r="A2734" s="2" t="s">
        <v>6864</v>
      </c>
      <c r="B2734" s="2" t="s">
        <v>6864</v>
      </c>
      <c r="C2734" s="2" t="s">
        <v>49</v>
      </c>
      <c r="D2734" s="2" t="s">
        <v>50</v>
      </c>
      <c r="E2734" s="5">
        <v>-30877</v>
      </c>
      <c r="F2734" s="3" t="s">
        <v>548</v>
      </c>
      <c r="G2734" s="3" t="s">
        <v>57</v>
      </c>
      <c r="H2734" s="2" t="s">
        <v>72</v>
      </c>
      <c r="I2734" s="2" t="s">
        <v>6872</v>
      </c>
      <c r="J2734" s="3" t="str">
        <f>HYPERLINK("https://www.boe.es/gazeta/dias/1815/06/17/pdfs/GMD-1815-73.pdf#page=5","Abrir facsímil")</f>
        <v>Abrir facsímil</v>
      </c>
      <c r="K2734" s="3" t="s">
        <v>74</v>
      </c>
    </row>
    <row r="2735" spans="1:11" ht="42" customHeight="1">
      <c r="A2735" s="2" t="s">
        <v>6864</v>
      </c>
      <c r="B2735" s="2" t="s">
        <v>6864</v>
      </c>
      <c r="C2735" s="2" t="s">
        <v>31</v>
      </c>
      <c r="D2735" s="2" t="s">
        <v>32</v>
      </c>
      <c r="E2735" s="5">
        <v>-30874</v>
      </c>
      <c r="F2735" s="3" t="s">
        <v>208</v>
      </c>
      <c r="G2735" s="3" t="s">
        <v>377</v>
      </c>
      <c r="H2735" s="2" t="s">
        <v>72</v>
      </c>
      <c r="I2735" s="2" t="s">
        <v>6873</v>
      </c>
      <c r="J2735" s="3" t="str">
        <f>HYPERLINK("https://www.boe.es/gazeta/dias/1815/06/20/pdfs/GMD-1815-74.pdf#page=2","Abrir facsímil")</f>
        <v>Abrir facsímil</v>
      </c>
      <c r="K2735" s="3" t="s">
        <v>74</v>
      </c>
    </row>
    <row r="2736" spans="1:11" ht="42" customHeight="1">
      <c r="A2736" s="2" t="s">
        <v>6864</v>
      </c>
      <c r="B2736" s="2" t="s">
        <v>6864</v>
      </c>
      <c r="C2736" s="2" t="s">
        <v>17</v>
      </c>
      <c r="D2736" s="2" t="s">
        <v>18</v>
      </c>
      <c r="E2736" s="5">
        <v>-30870</v>
      </c>
      <c r="F2736" s="3" t="s">
        <v>122</v>
      </c>
      <c r="G2736" s="3" t="s">
        <v>276</v>
      </c>
      <c r="H2736" s="2" t="s">
        <v>72</v>
      </c>
      <c r="I2736" s="2" t="s">
        <v>6874</v>
      </c>
      <c r="J2736" s="3" t="str">
        <f>HYPERLINK("https://www.boe.es/gazeta/dias/1815/06/24/pdfs/GMD-1815-76.pdf#page=12","Abrir facsímil")</f>
        <v>Abrir facsímil</v>
      </c>
      <c r="K2736" s="3" t="s">
        <v>74</v>
      </c>
    </row>
    <row r="2737" spans="1:11" ht="42" customHeight="1">
      <c r="A2737" s="2" t="s">
        <v>6864</v>
      </c>
      <c r="B2737" s="2" t="s">
        <v>6864</v>
      </c>
      <c r="C2737" s="2" t="s">
        <v>31</v>
      </c>
      <c r="D2737" s="2" t="s">
        <v>32</v>
      </c>
      <c r="E2737" s="5">
        <v>-30865</v>
      </c>
      <c r="F2737" s="3" t="s">
        <v>163</v>
      </c>
      <c r="G2737" s="3" t="s">
        <v>38</v>
      </c>
      <c r="H2737" s="2" t="s">
        <v>72</v>
      </c>
      <c r="I2737" s="2" t="s">
        <v>6875</v>
      </c>
      <c r="J2737" s="3" t="str">
        <f>HYPERLINK("https://www.boe.es/gazeta/dias/1815/06/29/pdfs/GMD-1815-78.pdf#page=8","Abrir facsímil")</f>
        <v>Abrir facsímil</v>
      </c>
      <c r="K2737" s="3" t="s">
        <v>74</v>
      </c>
    </row>
    <row r="2738" spans="1:11" ht="42" customHeight="1">
      <c r="A2738" s="2" t="s">
        <v>6864</v>
      </c>
      <c r="B2738" s="2" t="s">
        <v>6864</v>
      </c>
      <c r="C2738" s="2" t="s">
        <v>31</v>
      </c>
      <c r="D2738" s="2" t="s">
        <v>32</v>
      </c>
      <c r="E2738" s="5">
        <v>-30790</v>
      </c>
      <c r="F2738" s="3" t="s">
        <v>285</v>
      </c>
      <c r="G2738" s="3" t="s">
        <v>20</v>
      </c>
      <c r="H2738" s="2" t="s">
        <v>72</v>
      </c>
      <c r="I2738" s="2" t="s">
        <v>6876</v>
      </c>
      <c r="J2738" s="3" t="str">
        <f>HYPERLINK("https://www.boe.es/gazeta/dias/1815/09/12/pdfs/GMD-1815-113.pdf#page=4","Abrir facsímil")</f>
        <v>Abrir facsímil</v>
      </c>
      <c r="K2738" s="3" t="s">
        <v>74</v>
      </c>
    </row>
    <row r="2739" spans="1:11" ht="42" customHeight="1">
      <c r="A2739" s="2" t="s">
        <v>6864</v>
      </c>
      <c r="B2739" s="2" t="s">
        <v>6864</v>
      </c>
      <c r="C2739" s="2" t="s">
        <v>17</v>
      </c>
      <c r="D2739" s="2" t="s">
        <v>18</v>
      </c>
      <c r="E2739" s="5">
        <v>-30776</v>
      </c>
      <c r="F2739" s="3" t="s">
        <v>118</v>
      </c>
      <c r="G2739" s="3" t="s">
        <v>71</v>
      </c>
      <c r="H2739" s="2" t="s">
        <v>72</v>
      </c>
      <c r="I2739" s="2" t="s">
        <v>6877</v>
      </c>
      <c r="J2739" s="3" t="str">
        <f>HYPERLINK("https://www.boe.es/gazeta/dias/1815/09/26/pdfs/GMD-1815-119.pdf#page=7","Abrir facsímil")</f>
        <v>Abrir facsímil</v>
      </c>
      <c r="K2739" s="3" t="s">
        <v>74</v>
      </c>
    </row>
    <row r="2740" spans="1:11" ht="42" customHeight="1">
      <c r="A2740" s="2" t="s">
        <v>6864</v>
      </c>
      <c r="B2740" s="2" t="s">
        <v>6864</v>
      </c>
      <c r="C2740" s="2" t="s">
        <v>17</v>
      </c>
      <c r="D2740" s="2" t="s">
        <v>18</v>
      </c>
      <c r="E2740" s="5">
        <v>-30765</v>
      </c>
      <c r="F2740" s="3" t="s">
        <v>2150</v>
      </c>
      <c r="G2740" s="3" t="s">
        <v>71</v>
      </c>
      <c r="H2740" s="2" t="s">
        <v>72</v>
      </c>
      <c r="I2740" s="2" t="s">
        <v>6878</v>
      </c>
      <c r="J2740" s="3" t="str">
        <f>HYPERLINK("https://www.boe.es/gazeta/dias/1815/10/07/pdfs/GMD-1815-126.pdf#page=7","Abrir facsímil")</f>
        <v>Abrir facsímil</v>
      </c>
      <c r="K2740" s="3" t="s">
        <v>74</v>
      </c>
    </row>
    <row r="2741" spans="1:11" ht="42" customHeight="1">
      <c r="A2741" s="2" t="s">
        <v>6864</v>
      </c>
      <c r="B2741" s="2" t="s">
        <v>6864</v>
      </c>
      <c r="C2741" s="2" t="s">
        <v>195</v>
      </c>
      <c r="D2741" s="2" t="s">
        <v>50</v>
      </c>
      <c r="E2741" s="5">
        <v>-30739</v>
      </c>
      <c r="F2741" s="3" t="s">
        <v>254</v>
      </c>
      <c r="G2741" s="3" t="s">
        <v>52</v>
      </c>
      <c r="H2741" s="2" t="s">
        <v>72</v>
      </c>
      <c r="I2741" s="2" t="s">
        <v>6879</v>
      </c>
      <c r="J2741" s="3" t="str">
        <f>HYPERLINK("https://www.boe.es/gazeta/dias/1815/11/02/pdfs/GMD-1815-137.pdf#page=11","Abrir facsímil")</f>
        <v>Abrir facsímil</v>
      </c>
      <c r="K2741" s="3" t="s">
        <v>74</v>
      </c>
    </row>
    <row r="2742" spans="1:11" ht="42" customHeight="1">
      <c r="A2742" s="2" t="s">
        <v>6864</v>
      </c>
      <c r="B2742" s="2" t="s">
        <v>6864</v>
      </c>
      <c r="C2742" s="2" t="s">
        <v>31</v>
      </c>
      <c r="D2742" s="2" t="s">
        <v>32</v>
      </c>
      <c r="E2742" s="5">
        <v>-30699</v>
      </c>
      <c r="F2742" s="3" t="s">
        <v>810</v>
      </c>
      <c r="G2742" s="3" t="s">
        <v>71</v>
      </c>
      <c r="H2742" s="2" t="s">
        <v>72</v>
      </c>
      <c r="I2742" s="2" t="s">
        <v>6880</v>
      </c>
      <c r="J2742" s="3" t="str">
        <f>HYPERLINK("https://www.boe.es/gazeta/dias/1815/12/12/pdfs/GMD-1815-154.pdf#page=7","Abrir facsímil")</f>
        <v>Abrir facsímil</v>
      </c>
      <c r="K2742" s="3" t="s">
        <v>74</v>
      </c>
    </row>
    <row r="2743" spans="1:11" ht="42" customHeight="1">
      <c r="A2743" s="2" t="s">
        <v>6864</v>
      </c>
      <c r="B2743" s="2" t="s">
        <v>6864</v>
      </c>
      <c r="C2743" s="2" t="s">
        <v>49</v>
      </c>
      <c r="D2743" s="2" t="s">
        <v>50</v>
      </c>
      <c r="E2743" s="5">
        <v>-30690</v>
      </c>
      <c r="F2743" s="3" t="s">
        <v>1449</v>
      </c>
      <c r="G2743" s="3" t="s">
        <v>71</v>
      </c>
      <c r="H2743" s="2" t="s">
        <v>72</v>
      </c>
      <c r="I2743" s="2" t="s">
        <v>6881</v>
      </c>
      <c r="J2743" s="3" t="str">
        <f>HYPERLINK("https://www.boe.es/gazeta/dias/1815/12/21/pdfs/GMD-1815-158.pdf#page=7","Abrir facsímil")</f>
        <v>Abrir facsímil</v>
      </c>
      <c r="K2743" s="3" t="s">
        <v>74</v>
      </c>
    </row>
    <row r="2744" spans="1:11" ht="42" customHeight="1">
      <c r="A2744" s="2" t="s">
        <v>6882</v>
      </c>
      <c r="B2744" s="2" t="s">
        <v>6883</v>
      </c>
      <c r="C2744" s="2" t="s">
        <v>17</v>
      </c>
      <c r="D2744" s="2" t="s">
        <v>18</v>
      </c>
      <c r="E2744" s="5">
        <v>-30975</v>
      </c>
      <c r="F2744" s="3" t="s">
        <v>1194</v>
      </c>
      <c r="G2744" s="3" t="s">
        <v>71</v>
      </c>
      <c r="H2744" s="2" t="s">
        <v>72</v>
      </c>
      <c r="I2744" s="2" t="s">
        <v>6884</v>
      </c>
      <c r="J2744" s="3" t="str">
        <f>HYPERLINK("https://www.boe.es/gazeta/dias/1815/03/11/pdfs/GMD-1815-30.pdf#page=7","Abrir facsímil")</f>
        <v>Abrir facsímil</v>
      </c>
      <c r="K2744" s="3" t="s">
        <v>74</v>
      </c>
    </row>
    <row r="2745" spans="1:11" ht="42" customHeight="1">
      <c r="A2745" s="2" t="s">
        <v>6885</v>
      </c>
      <c r="B2745" s="2" t="s">
        <v>6886</v>
      </c>
      <c r="C2745" s="2" t="s">
        <v>17</v>
      </c>
      <c r="D2745" s="2" t="s">
        <v>18</v>
      </c>
      <c r="E2745" s="5">
        <v>-30737</v>
      </c>
      <c r="F2745" s="3" t="s">
        <v>1932</v>
      </c>
      <c r="G2745" s="3" t="s">
        <v>57</v>
      </c>
      <c r="H2745" s="2" t="s">
        <v>72</v>
      </c>
      <c r="I2745" s="2" t="s">
        <v>6887</v>
      </c>
      <c r="J2745" s="3" t="str">
        <f>HYPERLINK("https://www.boe.es/gazeta/dias/1815/11/04/pdfs/GMD-1815-138.pdf#page=5","Abrir facsímil")</f>
        <v>Abrir facsímil</v>
      </c>
      <c r="K2745" s="3" t="s">
        <v>74</v>
      </c>
    </row>
    <row r="2746" spans="1:11" ht="42" customHeight="1">
      <c r="A2746" s="2" t="s">
        <v>6888</v>
      </c>
      <c r="B2746" s="2" t="s">
        <v>6888</v>
      </c>
      <c r="C2746" s="2" t="s">
        <v>17</v>
      </c>
      <c r="D2746" s="2" t="s">
        <v>18</v>
      </c>
      <c r="E2746" s="5">
        <v>-30751</v>
      </c>
      <c r="F2746" s="3" t="s">
        <v>819</v>
      </c>
      <c r="G2746" s="3" t="s">
        <v>38</v>
      </c>
      <c r="H2746" s="2" t="s">
        <v>72</v>
      </c>
      <c r="I2746" s="2" t="s">
        <v>6889</v>
      </c>
      <c r="J2746" s="3" t="str">
        <f>HYPERLINK("https://www.boe.es/gazeta/dias/1815/10/21/pdfs/GMD-1815-132.pdf#page=8","Abrir facsímil")</f>
        <v>Abrir facsímil</v>
      </c>
      <c r="K2746" s="3" t="s">
        <v>74</v>
      </c>
    </row>
    <row r="2747" spans="1:11" ht="42" customHeight="1">
      <c r="A2747" s="2" t="s">
        <v>6890</v>
      </c>
      <c r="B2747" s="2" t="s">
        <v>6890</v>
      </c>
      <c r="C2747" s="2" t="s">
        <v>31</v>
      </c>
      <c r="D2747" s="2" t="s">
        <v>32</v>
      </c>
      <c r="E2747" s="5">
        <v>-30877</v>
      </c>
      <c r="F2747" s="3" t="s">
        <v>548</v>
      </c>
      <c r="G2747" s="3" t="s">
        <v>57</v>
      </c>
      <c r="H2747" s="2" t="s">
        <v>72</v>
      </c>
      <c r="I2747" s="2" t="s">
        <v>6891</v>
      </c>
      <c r="J2747" s="3" t="str">
        <f>HYPERLINK("https://www.boe.es/gazeta/dias/1815/06/17/pdfs/GMD-1815-73.pdf#page=5","Abrir facsímil")</f>
        <v>Abrir facsímil</v>
      </c>
      <c r="K2747" s="3" t="s">
        <v>74</v>
      </c>
    </row>
    <row r="2748" spans="1:11" ht="42" customHeight="1">
      <c r="A2748" s="2" t="s">
        <v>6892</v>
      </c>
      <c r="B2748" s="2" t="s">
        <v>6892</v>
      </c>
      <c r="C2748" s="2" t="s">
        <v>31</v>
      </c>
      <c r="D2748" s="2" t="s">
        <v>32</v>
      </c>
      <c r="E2748" s="5">
        <v>-31019</v>
      </c>
      <c r="F2748" s="3" t="s">
        <v>1094</v>
      </c>
      <c r="G2748" s="3" t="s">
        <v>57</v>
      </c>
      <c r="H2748" s="2" t="s">
        <v>72</v>
      </c>
      <c r="I2748" s="2" t="s">
        <v>6893</v>
      </c>
      <c r="J2748" s="3" t="str">
        <f>HYPERLINK("https://www.boe.es/gazeta/dias/1815/01/26/pdfs/GMD-1815-11.pdf#page=5","Abrir facsímil")</f>
        <v>Abrir facsímil</v>
      </c>
      <c r="K2748" s="3" t="s">
        <v>74</v>
      </c>
    </row>
    <row r="2749" spans="1:11" ht="42" customHeight="1">
      <c r="A2749" s="2" t="s">
        <v>6894</v>
      </c>
      <c r="B2749" s="2" t="s">
        <v>6895</v>
      </c>
      <c r="C2749" s="2" t="s">
        <v>49</v>
      </c>
      <c r="D2749" s="2" t="s">
        <v>50</v>
      </c>
      <c r="E2749" s="5">
        <v>-30692</v>
      </c>
      <c r="F2749" s="3" t="s">
        <v>508</v>
      </c>
      <c r="G2749" s="3" t="s">
        <v>38</v>
      </c>
      <c r="H2749" s="2" t="s">
        <v>72</v>
      </c>
      <c r="I2749" s="2" t="s">
        <v>6896</v>
      </c>
      <c r="J2749" s="3" t="str">
        <f>HYPERLINK("https://www.boe.es/gazeta/dias/1815/12/19/pdfs/GMD-1815-157.pdf#page=8","Abrir facsímil")</f>
        <v>Abrir facsímil</v>
      </c>
      <c r="K2749" s="3" t="s">
        <v>74</v>
      </c>
    </row>
    <row r="2750" spans="1:11" ht="42" customHeight="1">
      <c r="A2750" s="2" t="s">
        <v>6897</v>
      </c>
      <c r="B2750" s="2" t="s">
        <v>6897</v>
      </c>
      <c r="C2750" s="2" t="s">
        <v>31</v>
      </c>
      <c r="D2750" s="2" t="s">
        <v>32</v>
      </c>
      <c r="E2750" s="5">
        <v>-30718</v>
      </c>
      <c r="F2750" s="3" t="s">
        <v>3115</v>
      </c>
      <c r="G2750" s="3" t="s">
        <v>6058</v>
      </c>
      <c r="H2750" s="2" t="s">
        <v>72</v>
      </c>
      <c r="I2750" s="2" t="s">
        <v>6898</v>
      </c>
      <c r="J2750" s="3" t="str">
        <f>HYPERLINK("https://www.boe.es/gazeta/dias/1815/11/23/pdfs/GMD-1815-146.pdf#page=4","Abrir facsímil")</f>
        <v>Abrir facsímil</v>
      </c>
      <c r="K2750" s="3" t="s">
        <v>74</v>
      </c>
    </row>
    <row r="2751" spans="1:11" ht="42" customHeight="1">
      <c r="A2751" s="2" t="s">
        <v>6899</v>
      </c>
      <c r="B2751" s="2" t="s">
        <v>6899</v>
      </c>
      <c r="C2751" s="2" t="s">
        <v>31</v>
      </c>
      <c r="D2751" s="2" t="s">
        <v>32</v>
      </c>
      <c r="E2751" s="5">
        <v>-30744</v>
      </c>
      <c r="F2751" s="3" t="s">
        <v>391</v>
      </c>
      <c r="G2751" s="3" t="s">
        <v>97</v>
      </c>
      <c r="H2751" s="2" t="s">
        <v>72</v>
      </c>
      <c r="I2751" s="2" t="s">
        <v>6900</v>
      </c>
      <c r="J2751" s="3" t="str">
        <f>HYPERLINK("https://www.boe.es/gazeta/dias/1815/10/28/pdfs/GMD-1815-135.pdf#page=3","Abrir facsímil")</f>
        <v>Abrir facsímil</v>
      </c>
      <c r="K2751" s="3" t="s">
        <v>74</v>
      </c>
    </row>
    <row r="2752" spans="1:11" ht="42" customHeight="1">
      <c r="A2752" s="2" t="s">
        <v>6901</v>
      </c>
      <c r="B2752" s="2" t="s">
        <v>6901</v>
      </c>
      <c r="C2752" s="2" t="s">
        <v>31</v>
      </c>
      <c r="D2752" s="2" t="s">
        <v>32</v>
      </c>
      <c r="E2752" s="5">
        <v>-30795</v>
      </c>
      <c r="F2752" s="3" t="s">
        <v>172</v>
      </c>
      <c r="G2752" s="3" t="s">
        <v>377</v>
      </c>
      <c r="H2752" s="2" t="s">
        <v>72</v>
      </c>
      <c r="I2752" s="2" t="s">
        <v>6902</v>
      </c>
      <c r="J2752" s="3" t="str">
        <f>HYPERLINK("https://www.boe.es/gazeta/dias/1815/09/07/pdfs/GMD-1815-111.pdf#page=2","Abrir facsímil")</f>
        <v>Abrir facsímil</v>
      </c>
      <c r="K2752" s="3" t="s">
        <v>74</v>
      </c>
    </row>
    <row r="2753" spans="1:11" ht="42" customHeight="1">
      <c r="A2753" s="2" t="s">
        <v>6903</v>
      </c>
      <c r="B2753" s="2" t="s">
        <v>6904</v>
      </c>
      <c r="C2753" s="2" t="s">
        <v>49</v>
      </c>
      <c r="D2753" s="2" t="s">
        <v>50</v>
      </c>
      <c r="E2753" s="5">
        <v>-30818</v>
      </c>
      <c r="F2753" s="3" t="s">
        <v>334</v>
      </c>
      <c r="G2753" s="3" t="s">
        <v>224</v>
      </c>
      <c r="H2753" s="2" t="s">
        <v>72</v>
      </c>
      <c r="I2753" s="2" t="s">
        <v>6905</v>
      </c>
      <c r="J2753" s="3" t="str">
        <f>HYPERLINK("https://www.boe.es/gazeta/dias/1815/08/15/pdfs/GMD-1815-100.pdf#page=9","Abrir facsímil")</f>
        <v>Abrir facsímil</v>
      </c>
      <c r="K2753" s="3" t="s">
        <v>74</v>
      </c>
    </row>
    <row r="2754" spans="1:11" ht="42" customHeight="1">
      <c r="A2754" s="2" t="s">
        <v>6906</v>
      </c>
      <c r="B2754" s="2" t="s">
        <v>6907</v>
      </c>
      <c r="C2754" s="2" t="s">
        <v>195</v>
      </c>
      <c r="D2754" s="2" t="s">
        <v>50</v>
      </c>
      <c r="E2754" s="5">
        <v>-30711</v>
      </c>
      <c r="F2754" s="3" t="s">
        <v>438</v>
      </c>
      <c r="G2754" s="3" t="s">
        <v>38</v>
      </c>
      <c r="H2754" s="2" t="s">
        <v>72</v>
      </c>
      <c r="I2754" s="2" t="s">
        <v>6908</v>
      </c>
      <c r="J2754" s="3" t="str">
        <f>HYPERLINK("https://www.boe.es/gazeta/dias/1815/11/30/pdfs/GMD-1815-149.pdf#page=8","Abrir facsímil")</f>
        <v>Abrir facsímil</v>
      </c>
      <c r="K2754" s="3" t="s">
        <v>74</v>
      </c>
    </row>
    <row r="2755" spans="1:11" ht="42" customHeight="1">
      <c r="A2755" s="2" t="s">
        <v>6909</v>
      </c>
      <c r="B2755" s="2" t="s">
        <v>6910</v>
      </c>
      <c r="C2755" s="2" t="s">
        <v>81</v>
      </c>
      <c r="D2755" s="2" t="s">
        <v>50</v>
      </c>
      <c r="E2755" s="5">
        <v>-30711</v>
      </c>
      <c r="F2755" s="3" t="s">
        <v>438</v>
      </c>
      <c r="G2755" s="3" t="s">
        <v>38</v>
      </c>
      <c r="H2755" s="2" t="s">
        <v>72</v>
      </c>
      <c r="I2755" s="2" t="s">
        <v>6911</v>
      </c>
      <c r="J2755" s="3" t="str">
        <f>HYPERLINK("https://www.boe.es/gazeta/dias/1815/11/30/pdfs/GMD-1815-149.pdf#page=8","Abrir facsímil")</f>
        <v>Abrir facsímil</v>
      </c>
      <c r="K2755" s="3" t="s">
        <v>74</v>
      </c>
    </row>
    <row r="2756" spans="1:11" ht="42" customHeight="1">
      <c r="A2756" s="2" t="s">
        <v>6912</v>
      </c>
      <c r="B2756" s="2" t="s">
        <v>6913</v>
      </c>
      <c r="C2756" s="2" t="s">
        <v>81</v>
      </c>
      <c r="D2756" s="2" t="s">
        <v>50</v>
      </c>
      <c r="E2756" s="5">
        <v>-30947</v>
      </c>
      <c r="F2756" s="3" t="s">
        <v>159</v>
      </c>
      <c r="G2756" s="3" t="s">
        <v>38</v>
      </c>
      <c r="H2756" s="2" t="s">
        <v>72</v>
      </c>
      <c r="I2756" s="2" t="s">
        <v>6914</v>
      </c>
      <c r="J2756" s="3" t="str">
        <f>HYPERLINK("https://www.boe.es/gazeta/dias/1815/04/08/pdfs/GMD-1815-43.pdf#page=8","Abrir facsímil")</f>
        <v>Abrir facsímil</v>
      </c>
      <c r="K2756" s="3" t="s">
        <v>74</v>
      </c>
    </row>
    <row r="2757" spans="1:11" ht="42" customHeight="1">
      <c r="A2757" s="2" t="s">
        <v>6915</v>
      </c>
      <c r="B2757" s="2" t="s">
        <v>6916</v>
      </c>
      <c r="C2757" s="2" t="s">
        <v>49</v>
      </c>
      <c r="D2757" s="2" t="s">
        <v>50</v>
      </c>
      <c r="E2757" s="5">
        <v>-30793</v>
      </c>
      <c r="F2757" s="3" t="s">
        <v>1704</v>
      </c>
      <c r="G2757" s="3" t="s">
        <v>377</v>
      </c>
      <c r="H2757" s="2" t="s">
        <v>21</v>
      </c>
      <c r="I2757" s="2" t="s">
        <v>6917</v>
      </c>
      <c r="J2757" s="3" t="str">
        <f>HYPERLINK("https://www.boe.es/gazeta/dias/1815/09/09/pdfs/GMD-1815-112.pdf#page=2","Abrir facsímil")</f>
        <v>Abrir facsímil</v>
      </c>
      <c r="K2757" s="3" t="s">
        <v>23</v>
      </c>
    </row>
    <row r="2758" spans="1:11" ht="42" customHeight="1">
      <c r="A2758" s="2" t="s">
        <v>6918</v>
      </c>
      <c r="B2758" s="2" t="s">
        <v>6918</v>
      </c>
      <c r="C2758" s="2" t="s">
        <v>17</v>
      </c>
      <c r="D2758" s="2" t="s">
        <v>18</v>
      </c>
      <c r="E2758" s="5">
        <v>-31040</v>
      </c>
      <c r="F2758" s="3" t="s">
        <v>326</v>
      </c>
      <c r="G2758" s="3" t="s">
        <v>71</v>
      </c>
      <c r="H2758" s="2" t="s">
        <v>72</v>
      </c>
      <c r="I2758" s="2" t="s">
        <v>6919</v>
      </c>
      <c r="J2758" s="3" t="str">
        <f>HYPERLINK("https://www.boe.es/gazeta/dias/1815/01/05/pdfs/GMD-1815-2.pdf#page=7","Abrir facsímil")</f>
        <v>Abrir facsímil</v>
      </c>
      <c r="K2758" s="3" t="s">
        <v>74</v>
      </c>
    </row>
    <row r="2759" spans="1:11" ht="42" customHeight="1">
      <c r="A2759" s="2" t="s">
        <v>6918</v>
      </c>
      <c r="B2759" s="2" t="s">
        <v>6918</v>
      </c>
      <c r="C2759" s="2" t="s">
        <v>49</v>
      </c>
      <c r="D2759" s="2" t="s">
        <v>50</v>
      </c>
      <c r="E2759" s="5">
        <v>-31038</v>
      </c>
      <c r="F2759" s="3" t="s">
        <v>395</v>
      </c>
      <c r="G2759" s="3" t="s">
        <v>396</v>
      </c>
      <c r="H2759" s="2" t="s">
        <v>72</v>
      </c>
      <c r="I2759" s="2" t="s">
        <v>6920</v>
      </c>
      <c r="J2759" s="3" t="str">
        <f>HYPERLINK("https://www.boe.es/gazeta/dias/1815/01/07/pdfs/GMD-1815-3.pdf#page=5","Abrir facsímil")</f>
        <v>Abrir facsímil</v>
      </c>
      <c r="K2759" s="3" t="s">
        <v>74</v>
      </c>
    </row>
    <row r="2760" spans="1:11" ht="42" customHeight="1">
      <c r="A2760" s="2" t="s">
        <v>6921</v>
      </c>
      <c r="B2760" s="2" t="s">
        <v>6921</v>
      </c>
      <c r="C2760" s="2" t="s">
        <v>131</v>
      </c>
      <c r="D2760" s="2" t="s">
        <v>50</v>
      </c>
      <c r="E2760" s="5">
        <v>-30965</v>
      </c>
      <c r="F2760" s="3" t="s">
        <v>1679</v>
      </c>
      <c r="G2760" s="3" t="s">
        <v>38</v>
      </c>
      <c r="H2760" s="2" t="s">
        <v>72</v>
      </c>
      <c r="I2760" s="2" t="s">
        <v>6922</v>
      </c>
      <c r="J2760" s="3" t="str">
        <f>HYPERLINK("https://www.boe.es/gazeta/dias/1815/03/21/pdfs/GMD-1815-34.pdf#page=8","Abrir facsímil")</f>
        <v>Abrir facsímil</v>
      </c>
      <c r="K2760" s="3" t="s">
        <v>74</v>
      </c>
    </row>
    <row r="2761" spans="1:11" ht="42" customHeight="1">
      <c r="A2761" s="2" t="s">
        <v>6923</v>
      </c>
      <c r="B2761" s="2" t="s">
        <v>6923</v>
      </c>
      <c r="C2761" s="2" t="s">
        <v>17</v>
      </c>
      <c r="D2761" s="2" t="s">
        <v>18</v>
      </c>
      <c r="E2761" s="5">
        <v>-30996</v>
      </c>
      <c r="F2761" s="3" t="s">
        <v>289</v>
      </c>
      <c r="G2761" s="3" t="s">
        <v>71</v>
      </c>
      <c r="H2761" s="2" t="s">
        <v>72</v>
      </c>
      <c r="I2761" s="2" t="s">
        <v>6924</v>
      </c>
      <c r="J2761" s="3" t="str">
        <f>HYPERLINK("https://www.boe.es/gazeta/dias/1815/02/18/pdfs/GMD-1815-21.pdf#page=7","Abrir facsímil")</f>
        <v>Abrir facsímil</v>
      </c>
      <c r="K2761" s="3" t="s">
        <v>74</v>
      </c>
    </row>
    <row r="2762" spans="1:11" ht="42" customHeight="1">
      <c r="A2762" s="2" t="s">
        <v>6923</v>
      </c>
      <c r="B2762" s="2" t="s">
        <v>6923</v>
      </c>
      <c r="C2762" s="2" t="s">
        <v>897</v>
      </c>
      <c r="D2762" s="2" t="s">
        <v>50</v>
      </c>
      <c r="E2762" s="5">
        <v>-30965</v>
      </c>
      <c r="F2762" s="3" t="s">
        <v>1679</v>
      </c>
      <c r="G2762" s="3" t="s">
        <v>38</v>
      </c>
      <c r="H2762" s="2" t="s">
        <v>72</v>
      </c>
      <c r="I2762" s="2" t="s">
        <v>6925</v>
      </c>
      <c r="J2762" s="3" t="str">
        <f>HYPERLINK("https://www.boe.es/gazeta/dias/1815/03/21/pdfs/GMD-1815-34.pdf#page=8","Abrir facsímil")</f>
        <v>Abrir facsímil</v>
      </c>
      <c r="K2762" s="3" t="s">
        <v>74</v>
      </c>
    </row>
    <row r="2763" spans="1:11" ht="42" customHeight="1">
      <c r="A2763" s="2" t="s">
        <v>6923</v>
      </c>
      <c r="B2763" s="2" t="s">
        <v>6923</v>
      </c>
      <c r="C2763" s="2" t="s">
        <v>31</v>
      </c>
      <c r="D2763" s="2" t="s">
        <v>32</v>
      </c>
      <c r="E2763" s="5">
        <v>-30951</v>
      </c>
      <c r="F2763" s="3" t="s">
        <v>87</v>
      </c>
      <c r="G2763" s="3" t="s">
        <v>88</v>
      </c>
      <c r="H2763" s="2" t="s">
        <v>72</v>
      </c>
      <c r="I2763" s="2" t="s">
        <v>6926</v>
      </c>
      <c r="J2763" s="3" t="str">
        <f>HYPERLINK("https://www.boe.es/gazeta/dias/1815/04/04/pdfs/GMD-1815-41.pdf#page=10","Abrir facsímil")</f>
        <v>Abrir facsímil</v>
      </c>
      <c r="K2763" s="3" t="s">
        <v>74</v>
      </c>
    </row>
    <row r="2764" spans="1:11" ht="42" customHeight="1">
      <c r="A2764" s="2" t="s">
        <v>6923</v>
      </c>
      <c r="B2764" s="2" t="s">
        <v>6923</v>
      </c>
      <c r="C2764" s="2" t="s">
        <v>17</v>
      </c>
      <c r="D2764" s="2" t="s">
        <v>18</v>
      </c>
      <c r="E2764" s="5">
        <v>-30951</v>
      </c>
      <c r="F2764" s="3" t="s">
        <v>87</v>
      </c>
      <c r="G2764" s="3" t="s">
        <v>27</v>
      </c>
      <c r="H2764" s="2" t="s">
        <v>72</v>
      </c>
      <c r="I2764" s="2" t="s">
        <v>6927</v>
      </c>
      <c r="J2764" s="3" t="str">
        <f>HYPERLINK("https://www.boe.es/gazeta/dias/1815/04/04/pdfs/GMD-1815-41.pdf#page=6","Abrir facsímil")</f>
        <v>Abrir facsímil</v>
      </c>
      <c r="K2764" s="3" t="s">
        <v>74</v>
      </c>
    </row>
    <row r="2765" spans="1:11" ht="42" customHeight="1">
      <c r="A2765" s="2" t="s">
        <v>6923</v>
      </c>
      <c r="B2765" s="2" t="s">
        <v>6923</v>
      </c>
      <c r="C2765" s="2" t="s">
        <v>31</v>
      </c>
      <c r="D2765" s="2" t="s">
        <v>32</v>
      </c>
      <c r="E2765" s="5">
        <v>-30923</v>
      </c>
      <c r="F2765" s="3" t="s">
        <v>524</v>
      </c>
      <c r="G2765" s="3" t="s">
        <v>1314</v>
      </c>
      <c r="H2765" s="2" t="s">
        <v>72</v>
      </c>
      <c r="I2765" s="2" t="s">
        <v>6928</v>
      </c>
      <c r="J2765" s="3" t="str">
        <f>HYPERLINK("https://www.boe.es/gazeta/dias/1815/05/02/pdfs/GMD-1815-53.pdf#page=12","Abrir facsímil")</f>
        <v>Abrir facsímil</v>
      </c>
      <c r="K2765" s="3" t="s">
        <v>74</v>
      </c>
    </row>
    <row r="2766" spans="1:11" ht="42" customHeight="1">
      <c r="A2766" s="2" t="s">
        <v>6923</v>
      </c>
      <c r="B2766" s="2" t="s">
        <v>6923</v>
      </c>
      <c r="C2766" s="2" t="s">
        <v>31</v>
      </c>
      <c r="D2766" s="2" t="s">
        <v>32</v>
      </c>
      <c r="E2766" s="5">
        <v>-30909</v>
      </c>
      <c r="F2766" s="3" t="s">
        <v>581</v>
      </c>
      <c r="G2766" s="3" t="s">
        <v>38</v>
      </c>
      <c r="H2766" s="2" t="s">
        <v>72</v>
      </c>
      <c r="I2766" s="2" t="s">
        <v>6929</v>
      </c>
      <c r="J2766" s="3" t="str">
        <f>HYPERLINK("https://www.boe.es/gazeta/dias/1815/05/16/pdfs/GMD-1815-59.pdf#page=8","Abrir facsímil")</f>
        <v>Abrir facsímil</v>
      </c>
      <c r="K2766" s="3" t="s">
        <v>74</v>
      </c>
    </row>
    <row r="2767" spans="1:11" ht="42" customHeight="1">
      <c r="A2767" s="2" t="s">
        <v>6923</v>
      </c>
      <c r="B2767" s="2" t="s">
        <v>6923</v>
      </c>
      <c r="C2767" s="2" t="s">
        <v>31</v>
      </c>
      <c r="D2767" s="2" t="s">
        <v>32</v>
      </c>
      <c r="E2767" s="5">
        <v>-30891</v>
      </c>
      <c r="F2767" s="3" t="s">
        <v>498</v>
      </c>
      <c r="G2767" s="3" t="s">
        <v>71</v>
      </c>
      <c r="H2767" s="2" t="s">
        <v>72</v>
      </c>
      <c r="I2767" s="2" t="s">
        <v>6930</v>
      </c>
      <c r="J2767" s="3" t="str">
        <f>HYPERLINK("https://www.boe.es/gazeta/dias/1815/06/03/pdfs/GMD-1815-67.pdf#page=7","Abrir facsímil")</f>
        <v>Abrir facsímil</v>
      </c>
      <c r="K2767" s="3" t="s">
        <v>74</v>
      </c>
    </row>
    <row r="2768" spans="1:11" ht="42" customHeight="1">
      <c r="A2768" s="2" t="s">
        <v>6923</v>
      </c>
      <c r="B2768" s="2" t="s">
        <v>6923</v>
      </c>
      <c r="C2768" s="2" t="s">
        <v>49</v>
      </c>
      <c r="D2768" s="2" t="s">
        <v>50</v>
      </c>
      <c r="E2768" s="5">
        <v>-30886</v>
      </c>
      <c r="F2768" s="3" t="s">
        <v>140</v>
      </c>
      <c r="G2768" s="3" t="s">
        <v>224</v>
      </c>
      <c r="H2768" s="2" t="s">
        <v>72</v>
      </c>
      <c r="I2768" s="2" t="s">
        <v>6931</v>
      </c>
      <c r="J2768" s="3" t="str">
        <f>HYPERLINK("https://www.boe.es/gazeta/dias/1815/06/08/pdfs/GMD-1815-69.pdf#page=9","Abrir facsímil")</f>
        <v>Abrir facsímil</v>
      </c>
      <c r="K2768" s="3" t="s">
        <v>74</v>
      </c>
    </row>
    <row r="2769" spans="1:11" ht="42" customHeight="1">
      <c r="A2769" s="2" t="s">
        <v>6923</v>
      </c>
      <c r="B2769" s="2" t="s">
        <v>6923</v>
      </c>
      <c r="C2769" s="2" t="s">
        <v>49</v>
      </c>
      <c r="D2769" s="2" t="s">
        <v>50</v>
      </c>
      <c r="E2769" s="5">
        <v>-30865</v>
      </c>
      <c r="F2769" s="3" t="s">
        <v>163</v>
      </c>
      <c r="G2769" s="3" t="s">
        <v>27</v>
      </c>
      <c r="H2769" s="2" t="s">
        <v>72</v>
      </c>
      <c r="I2769" s="2" t="s">
        <v>6932</v>
      </c>
      <c r="J2769" s="3" t="str">
        <f>HYPERLINK("https://www.boe.es/gazeta/dias/1815/06/29/pdfs/GMD-1815-78.pdf#page=6","Abrir facsímil")</f>
        <v>Abrir facsímil</v>
      </c>
      <c r="K2769" s="3" t="s">
        <v>74</v>
      </c>
    </row>
    <row r="2770" spans="1:11" ht="42" customHeight="1">
      <c r="A2770" s="2" t="s">
        <v>6923</v>
      </c>
      <c r="B2770" s="2" t="s">
        <v>6923</v>
      </c>
      <c r="C2770" s="2" t="s">
        <v>49</v>
      </c>
      <c r="D2770" s="2" t="s">
        <v>50</v>
      </c>
      <c r="E2770" s="5">
        <v>-30865</v>
      </c>
      <c r="F2770" s="3" t="s">
        <v>163</v>
      </c>
      <c r="G2770" s="3" t="s">
        <v>71</v>
      </c>
      <c r="H2770" s="2" t="s">
        <v>72</v>
      </c>
      <c r="I2770" s="2" t="s">
        <v>6933</v>
      </c>
      <c r="J2770" s="3" t="str">
        <f>HYPERLINK("https://www.boe.es/gazeta/dias/1815/06/29/pdfs/GMD-1815-78.pdf#page=7","Abrir facsímil")</f>
        <v>Abrir facsímil</v>
      </c>
      <c r="K2770" s="3" t="s">
        <v>74</v>
      </c>
    </row>
    <row r="2771" spans="1:11" ht="42" customHeight="1">
      <c r="A2771" s="2" t="s">
        <v>6923</v>
      </c>
      <c r="B2771" s="2" t="s">
        <v>6923</v>
      </c>
      <c r="C2771" s="2" t="s">
        <v>17</v>
      </c>
      <c r="D2771" s="2" t="s">
        <v>18</v>
      </c>
      <c r="E2771" s="5">
        <v>-30842</v>
      </c>
      <c r="F2771" s="3" t="s">
        <v>126</v>
      </c>
      <c r="G2771" s="3" t="s">
        <v>88</v>
      </c>
      <c r="H2771" s="2" t="s">
        <v>72</v>
      </c>
      <c r="I2771" s="2" t="s">
        <v>6934</v>
      </c>
      <c r="J2771" s="3" t="str">
        <f>HYPERLINK("https://www.boe.es/gazeta/dias/1815/07/22/pdfs/GMD-1815-90.pdf#page=10","Abrir facsímil")</f>
        <v>Abrir facsímil</v>
      </c>
      <c r="K2771" s="3" t="s">
        <v>74</v>
      </c>
    </row>
    <row r="2772" spans="1:11" ht="42" customHeight="1">
      <c r="A2772" s="2" t="s">
        <v>6923</v>
      </c>
      <c r="B2772" s="2" t="s">
        <v>6923</v>
      </c>
      <c r="C2772" s="2" t="s">
        <v>49</v>
      </c>
      <c r="D2772" s="2" t="s">
        <v>50</v>
      </c>
      <c r="E2772" s="5">
        <v>-30825</v>
      </c>
      <c r="F2772" s="3" t="s">
        <v>669</v>
      </c>
      <c r="G2772" s="3" t="s">
        <v>88</v>
      </c>
      <c r="H2772" s="2" t="s">
        <v>72</v>
      </c>
      <c r="I2772" s="2" t="s">
        <v>6935</v>
      </c>
      <c r="J2772" s="3" t="str">
        <f>HYPERLINK("https://www.boe.es/gazeta/dias/1815/08/08/pdfs/GMD-1815-97.pdf#page=10","Abrir facsímil")</f>
        <v>Abrir facsímil</v>
      </c>
      <c r="K2772" s="3" t="s">
        <v>74</v>
      </c>
    </row>
    <row r="2773" spans="1:11" ht="42" customHeight="1">
      <c r="A2773" s="2" t="s">
        <v>6923</v>
      </c>
      <c r="B2773" s="2" t="s">
        <v>6923</v>
      </c>
      <c r="C2773" s="2" t="s">
        <v>31</v>
      </c>
      <c r="D2773" s="2" t="s">
        <v>32</v>
      </c>
      <c r="E2773" s="5">
        <v>-30818</v>
      </c>
      <c r="F2773" s="3" t="s">
        <v>334</v>
      </c>
      <c r="G2773" s="3" t="s">
        <v>52</v>
      </c>
      <c r="H2773" s="2" t="s">
        <v>72</v>
      </c>
      <c r="I2773" s="2" t="s">
        <v>6936</v>
      </c>
      <c r="J2773" s="3" t="str">
        <f>HYPERLINK("https://www.boe.es/gazeta/dias/1815/08/15/pdfs/GMD-1815-100.pdf#page=11","Abrir facsímil")</f>
        <v>Abrir facsímil</v>
      </c>
      <c r="K2773" s="3" t="s">
        <v>74</v>
      </c>
    </row>
    <row r="2774" spans="1:11" ht="42" customHeight="1">
      <c r="A2774" s="2" t="s">
        <v>6923</v>
      </c>
      <c r="B2774" s="2" t="s">
        <v>6923</v>
      </c>
      <c r="C2774" s="2" t="s">
        <v>17</v>
      </c>
      <c r="D2774" s="2" t="s">
        <v>18</v>
      </c>
      <c r="E2774" s="5">
        <v>-30783</v>
      </c>
      <c r="F2774" s="3" t="s">
        <v>423</v>
      </c>
      <c r="G2774" s="3" t="s">
        <v>38</v>
      </c>
      <c r="H2774" s="2" t="s">
        <v>72</v>
      </c>
      <c r="I2774" s="2" t="s">
        <v>6937</v>
      </c>
      <c r="J2774" s="3" t="str">
        <f>HYPERLINK("https://www.boe.es/gazeta/dias/1815/09/19/pdfs/GMD-1815-116.pdf#page=8","Abrir facsímil")</f>
        <v>Abrir facsímil</v>
      </c>
      <c r="K2774" s="3" t="s">
        <v>74</v>
      </c>
    </row>
    <row r="2775" spans="1:11" ht="42" customHeight="1">
      <c r="A2775" s="2" t="s">
        <v>6923</v>
      </c>
      <c r="B2775" s="2" t="s">
        <v>6923</v>
      </c>
      <c r="C2775" s="2" t="s">
        <v>17</v>
      </c>
      <c r="D2775" s="2" t="s">
        <v>18</v>
      </c>
      <c r="E2775" s="5">
        <v>-30762</v>
      </c>
      <c r="F2775" s="3" t="s">
        <v>19</v>
      </c>
      <c r="G2775" s="3" t="s">
        <v>2323</v>
      </c>
      <c r="H2775" s="2" t="s">
        <v>72</v>
      </c>
      <c r="I2775" s="2" t="s">
        <v>6938</v>
      </c>
      <c r="J2775" s="3" t="str">
        <f>HYPERLINK("https://www.boe.es/gazeta/dias/1815/10/10/pdfs/GMD-1815-127.pdf#page=8","Abrir facsímil")</f>
        <v>Abrir facsímil</v>
      </c>
      <c r="K2775" s="3" t="s">
        <v>74</v>
      </c>
    </row>
    <row r="2776" spans="1:11" ht="42" customHeight="1">
      <c r="A2776" s="2" t="s">
        <v>6923</v>
      </c>
      <c r="B2776" s="2" t="s">
        <v>6923</v>
      </c>
      <c r="C2776" s="2" t="s">
        <v>195</v>
      </c>
      <c r="D2776" s="2" t="s">
        <v>50</v>
      </c>
      <c r="E2776" s="5">
        <v>-30739</v>
      </c>
      <c r="F2776" s="3" t="s">
        <v>254</v>
      </c>
      <c r="G2776" s="3" t="s">
        <v>52</v>
      </c>
      <c r="H2776" s="2" t="s">
        <v>72</v>
      </c>
      <c r="I2776" s="2" t="s">
        <v>6939</v>
      </c>
      <c r="J2776" s="3" t="str">
        <f>HYPERLINK("https://www.boe.es/gazeta/dias/1815/11/02/pdfs/GMD-1815-137.pdf#page=11","Abrir facsímil")</f>
        <v>Abrir facsímil</v>
      </c>
      <c r="K2776" s="3" t="s">
        <v>74</v>
      </c>
    </row>
    <row r="2777" spans="1:11" ht="42" customHeight="1">
      <c r="A2777" s="2" t="s">
        <v>6923</v>
      </c>
      <c r="B2777" s="2" t="s">
        <v>6923</v>
      </c>
      <c r="C2777" s="2" t="s">
        <v>31</v>
      </c>
      <c r="D2777" s="2" t="s">
        <v>32</v>
      </c>
      <c r="E2777" s="5">
        <v>-30737</v>
      </c>
      <c r="F2777" s="3" t="s">
        <v>1932</v>
      </c>
      <c r="G2777" s="3" t="s">
        <v>71</v>
      </c>
      <c r="H2777" s="2" t="s">
        <v>72</v>
      </c>
      <c r="I2777" s="2" t="s">
        <v>6940</v>
      </c>
      <c r="J2777" s="3" t="str">
        <f>HYPERLINK("https://www.boe.es/gazeta/dias/1815/11/04/pdfs/GMD-1815-138.pdf#page=7","Abrir facsímil")</f>
        <v>Abrir facsímil</v>
      </c>
      <c r="K2777" s="3" t="s">
        <v>74</v>
      </c>
    </row>
    <row r="2778" spans="1:11" ht="42" customHeight="1">
      <c r="A2778" s="2" t="s">
        <v>6941</v>
      </c>
      <c r="B2778" s="2" t="s">
        <v>6942</v>
      </c>
      <c r="C2778" s="2" t="s">
        <v>31</v>
      </c>
      <c r="D2778" s="2" t="s">
        <v>32</v>
      </c>
      <c r="E2778" s="5">
        <v>-30951</v>
      </c>
      <c r="F2778" s="3" t="s">
        <v>87</v>
      </c>
      <c r="G2778" s="3" t="s">
        <v>38</v>
      </c>
      <c r="H2778" s="2" t="s">
        <v>72</v>
      </c>
      <c r="I2778" s="2" t="s">
        <v>6943</v>
      </c>
      <c r="J2778" s="3" t="str">
        <f>HYPERLINK("https://www.boe.es/gazeta/dias/1815/04/04/pdfs/GMD-1815-41.pdf#page=8","Abrir facsímil")</f>
        <v>Abrir facsímil</v>
      </c>
      <c r="K2778" s="3" t="s">
        <v>74</v>
      </c>
    </row>
    <row r="2779" spans="1:11" ht="42" customHeight="1">
      <c r="A2779" s="2" t="s">
        <v>6944</v>
      </c>
      <c r="B2779" s="2" t="s">
        <v>6945</v>
      </c>
      <c r="C2779" s="2" t="s">
        <v>61</v>
      </c>
      <c r="D2779" s="2" t="s">
        <v>50</v>
      </c>
      <c r="E2779" s="5">
        <v>-30849</v>
      </c>
      <c r="F2779" s="3" t="s">
        <v>501</v>
      </c>
      <c r="G2779" s="3" t="s">
        <v>276</v>
      </c>
      <c r="H2779" s="2" t="s">
        <v>72</v>
      </c>
      <c r="I2779" s="2" t="s">
        <v>6946</v>
      </c>
      <c r="J2779" s="3" t="str">
        <f>HYPERLINK("https://www.boe.es/gazeta/dias/1815/07/15/pdfs/GMD-1815-87.pdf#page=12","Abrir facsímil")</f>
        <v>Abrir facsímil</v>
      </c>
      <c r="K2779" s="3" t="s">
        <v>74</v>
      </c>
    </row>
    <row r="2780" spans="1:11" ht="42" customHeight="1">
      <c r="A2780" s="2" t="s">
        <v>6947</v>
      </c>
      <c r="B2780" s="2" t="s">
        <v>6948</v>
      </c>
      <c r="C2780" s="2" t="s">
        <v>17</v>
      </c>
      <c r="D2780" s="2" t="s">
        <v>18</v>
      </c>
      <c r="E2780" s="5">
        <v>-30839</v>
      </c>
      <c r="F2780" s="3" t="s">
        <v>616</v>
      </c>
      <c r="G2780" s="3" t="s">
        <v>27</v>
      </c>
      <c r="H2780" s="2" t="s">
        <v>72</v>
      </c>
      <c r="I2780" s="2" t="s">
        <v>6949</v>
      </c>
      <c r="J2780" s="3" t="str">
        <f>HYPERLINK("https://www.boe.es/gazeta/dias/1815/07/25/pdfs/GMD-1815-91.pdf#page=6","Abrir facsímil")</f>
        <v>Abrir facsímil</v>
      </c>
      <c r="K2780" s="3" t="s">
        <v>74</v>
      </c>
    </row>
    <row r="2781" spans="1:11" ht="42" customHeight="1">
      <c r="A2781" s="2" t="s">
        <v>6950</v>
      </c>
      <c r="B2781" s="2" t="s">
        <v>6950</v>
      </c>
      <c r="C2781" s="2" t="s">
        <v>195</v>
      </c>
      <c r="D2781" s="2" t="s">
        <v>50</v>
      </c>
      <c r="E2781" s="5">
        <v>-31000</v>
      </c>
      <c r="F2781" s="3" t="s">
        <v>70</v>
      </c>
      <c r="G2781" s="3" t="s">
        <v>71</v>
      </c>
      <c r="H2781" s="2" t="s">
        <v>72</v>
      </c>
      <c r="I2781" s="2" t="s">
        <v>6951</v>
      </c>
      <c r="J2781" s="3" t="str">
        <f>HYPERLINK("https://www.boe.es/gazeta/dias/1815/02/14/pdfs/GMD-1815-19.pdf#page=7","Abrir facsímil")</f>
        <v>Abrir facsímil</v>
      </c>
      <c r="K2781" s="3" t="s">
        <v>74</v>
      </c>
    </row>
    <row r="2782" spans="1:11" ht="42" customHeight="1">
      <c r="A2782" s="2" t="s">
        <v>6952</v>
      </c>
      <c r="B2782" s="2" t="s">
        <v>6952</v>
      </c>
      <c r="C2782" s="2" t="s">
        <v>49</v>
      </c>
      <c r="D2782" s="2" t="s">
        <v>50</v>
      </c>
      <c r="E2782" s="5">
        <v>-30865</v>
      </c>
      <c r="F2782" s="3" t="s">
        <v>163</v>
      </c>
      <c r="G2782" s="3" t="s">
        <v>38</v>
      </c>
      <c r="H2782" s="2" t="s">
        <v>72</v>
      </c>
      <c r="I2782" s="2" t="s">
        <v>6953</v>
      </c>
      <c r="J2782" s="3" t="str">
        <f>HYPERLINK("https://www.boe.es/gazeta/dias/1815/06/29/pdfs/GMD-1815-78.pdf#page=8","Abrir facsímil")</f>
        <v>Abrir facsímil</v>
      </c>
      <c r="K2782" s="3" t="s">
        <v>74</v>
      </c>
    </row>
    <row r="2783" spans="1:11" ht="42" customHeight="1">
      <c r="A2783" s="2" t="s">
        <v>6954</v>
      </c>
      <c r="B2783" s="2" t="s">
        <v>6954</v>
      </c>
      <c r="C2783" s="2" t="s">
        <v>17</v>
      </c>
      <c r="D2783" s="2" t="s">
        <v>18</v>
      </c>
      <c r="E2783" s="5">
        <v>-30842</v>
      </c>
      <c r="F2783" s="3" t="s">
        <v>126</v>
      </c>
      <c r="G2783" s="3" t="s">
        <v>88</v>
      </c>
      <c r="H2783" s="2" t="s">
        <v>72</v>
      </c>
      <c r="I2783" s="2" t="s">
        <v>6955</v>
      </c>
      <c r="J2783" s="3" t="str">
        <f>HYPERLINK("https://www.boe.es/gazeta/dias/1815/07/22/pdfs/GMD-1815-90.pdf#page=10","Abrir facsímil")</f>
        <v>Abrir facsímil</v>
      </c>
      <c r="K2783" s="3" t="s">
        <v>74</v>
      </c>
    </row>
    <row r="2784" spans="1:11" ht="42" customHeight="1">
      <c r="A2784" s="2" t="s">
        <v>6954</v>
      </c>
      <c r="B2784" s="2" t="s">
        <v>6954</v>
      </c>
      <c r="C2784" s="2" t="s">
        <v>195</v>
      </c>
      <c r="D2784" s="2" t="s">
        <v>50</v>
      </c>
      <c r="E2784" s="5">
        <v>-30818</v>
      </c>
      <c r="F2784" s="3" t="s">
        <v>334</v>
      </c>
      <c r="G2784" s="3" t="s">
        <v>88</v>
      </c>
      <c r="H2784" s="2" t="s">
        <v>72</v>
      </c>
      <c r="I2784" s="2" t="s">
        <v>6956</v>
      </c>
      <c r="J2784" s="3" t="str">
        <f>HYPERLINK("https://www.boe.es/gazeta/dias/1815/08/15/pdfs/GMD-1815-100.pdf#page=10","Abrir facsímil")</f>
        <v>Abrir facsímil</v>
      </c>
      <c r="K2784" s="3" t="s">
        <v>74</v>
      </c>
    </row>
    <row r="2785" spans="1:11" ht="42" customHeight="1">
      <c r="A2785" s="2" t="s">
        <v>6954</v>
      </c>
      <c r="B2785" s="2" t="s">
        <v>6954</v>
      </c>
      <c r="C2785" s="2" t="s">
        <v>31</v>
      </c>
      <c r="D2785" s="2" t="s">
        <v>32</v>
      </c>
      <c r="E2785" s="5">
        <v>-30774</v>
      </c>
      <c r="F2785" s="3" t="s">
        <v>1143</v>
      </c>
      <c r="G2785" s="3" t="s">
        <v>1144</v>
      </c>
      <c r="H2785" s="2" t="s">
        <v>72</v>
      </c>
      <c r="I2785" s="2" t="s">
        <v>6957</v>
      </c>
      <c r="J2785" s="3" t="str">
        <f>HYPERLINK("https://www.boe.es/gazeta/dias/1815/09/28/pdfs/GMD-1815-121.pdf#page=8","Abrir facsímil")</f>
        <v>Abrir facsímil</v>
      </c>
      <c r="K2785" s="3" t="s">
        <v>74</v>
      </c>
    </row>
    <row r="2786" spans="1:11" ht="42" customHeight="1">
      <c r="A2786" s="2" t="s">
        <v>6958</v>
      </c>
      <c r="B2786" s="2" t="s">
        <v>6958</v>
      </c>
      <c r="C2786" s="2" t="s">
        <v>195</v>
      </c>
      <c r="D2786" s="2" t="s">
        <v>50</v>
      </c>
      <c r="E2786" s="5">
        <v>-30888</v>
      </c>
      <c r="F2786" s="3" t="s">
        <v>368</v>
      </c>
      <c r="G2786" s="3" t="s">
        <v>224</v>
      </c>
      <c r="H2786" s="2" t="s">
        <v>72</v>
      </c>
      <c r="I2786" s="2" t="s">
        <v>6959</v>
      </c>
      <c r="J2786" s="3" t="str">
        <f>HYPERLINK("https://www.boe.es/gazeta/dias/1815/06/06/pdfs/GMD-1815-68.pdf#page=9","Abrir facsímil")</f>
        <v>Abrir facsímil</v>
      </c>
      <c r="K2786" s="3" t="s">
        <v>74</v>
      </c>
    </row>
    <row r="2787" spans="1:11" ht="42" customHeight="1">
      <c r="A2787" s="2" t="s">
        <v>6960</v>
      </c>
      <c r="B2787" s="2" t="s">
        <v>6960</v>
      </c>
      <c r="C2787" s="2" t="s">
        <v>31</v>
      </c>
      <c r="D2787" s="2" t="s">
        <v>32</v>
      </c>
      <c r="E2787" s="5">
        <v>-30998</v>
      </c>
      <c r="F2787" s="3" t="s">
        <v>539</v>
      </c>
      <c r="G2787" s="3" t="s">
        <v>6961</v>
      </c>
      <c r="H2787" s="2" t="s">
        <v>72</v>
      </c>
      <c r="I2787" s="2" t="s">
        <v>6962</v>
      </c>
      <c r="J2787" s="3" t="str">
        <f>HYPERLINK("https://www.boe.es/gazeta/dias/1815/02/16/pdfs/GMD-1815-20.pdf#page=7","Abrir facsímil")</f>
        <v>Abrir facsímil</v>
      </c>
      <c r="K2787" s="3" t="s">
        <v>74</v>
      </c>
    </row>
    <row r="2788" spans="1:11" ht="42" customHeight="1">
      <c r="A2788" s="2" t="s">
        <v>6963</v>
      </c>
      <c r="B2788" s="2" t="s">
        <v>6963</v>
      </c>
      <c r="C2788" s="2" t="s">
        <v>31</v>
      </c>
      <c r="D2788" s="2" t="s">
        <v>32</v>
      </c>
      <c r="E2788" s="5">
        <v>-30879</v>
      </c>
      <c r="F2788" s="3" t="s">
        <v>754</v>
      </c>
      <c r="G2788" s="3" t="s">
        <v>52</v>
      </c>
      <c r="H2788" s="2" t="s">
        <v>72</v>
      </c>
      <c r="I2788" s="2" t="s">
        <v>6964</v>
      </c>
      <c r="J2788" s="3" t="str">
        <f>HYPERLINK("https://www.boe.es/gazeta/dias/1815/06/15/pdfs/GMD-1815-72.pdf#page=11","Abrir facsímil")</f>
        <v>Abrir facsímil</v>
      </c>
      <c r="K2788" s="3" t="s">
        <v>74</v>
      </c>
    </row>
    <row r="2789" spans="1:11" ht="42" customHeight="1">
      <c r="A2789" s="2" t="s">
        <v>6965</v>
      </c>
      <c r="B2789" s="2" t="s">
        <v>6965</v>
      </c>
      <c r="C2789" s="2" t="s">
        <v>17</v>
      </c>
      <c r="D2789" s="2" t="s">
        <v>18</v>
      </c>
      <c r="E2789" s="5">
        <v>-30856</v>
      </c>
      <c r="F2789" s="3" t="s">
        <v>92</v>
      </c>
      <c r="G2789" s="3" t="s">
        <v>38</v>
      </c>
      <c r="H2789" s="2" t="s">
        <v>72</v>
      </c>
      <c r="I2789" s="2" t="s">
        <v>6966</v>
      </c>
      <c r="J2789" s="3" t="str">
        <f>HYPERLINK("https://www.boe.es/gazeta/dias/1815/07/08/pdfs/GMD-1815-84.pdf#page=8","Abrir facsímil")</f>
        <v>Abrir facsímil</v>
      </c>
      <c r="K2789" s="3" t="s">
        <v>74</v>
      </c>
    </row>
    <row r="2790" spans="1:11" ht="42" customHeight="1">
      <c r="A2790" s="2" t="s">
        <v>6967</v>
      </c>
      <c r="B2790" s="2" t="s">
        <v>6967</v>
      </c>
      <c r="C2790" s="2" t="s">
        <v>31</v>
      </c>
      <c r="D2790" s="2" t="s">
        <v>32</v>
      </c>
      <c r="E2790" s="5">
        <v>-30816</v>
      </c>
      <c r="F2790" s="3" t="s">
        <v>1253</v>
      </c>
      <c r="G2790" s="3" t="s">
        <v>97</v>
      </c>
      <c r="H2790" s="2" t="s">
        <v>72</v>
      </c>
      <c r="I2790" s="2" t="s">
        <v>6968</v>
      </c>
      <c r="J2790" s="3" t="str">
        <f>HYPERLINK("https://www.boe.es/gazeta/dias/1815/08/17/pdfs/GMD-1815-101.pdf#page=3","Abrir facsímil")</f>
        <v>Abrir facsímil</v>
      </c>
      <c r="K2790" s="3" t="s">
        <v>74</v>
      </c>
    </row>
    <row r="2791" spans="1:11" ht="42" customHeight="1">
      <c r="A2791" s="2" t="s">
        <v>6969</v>
      </c>
      <c r="B2791" s="2" t="s">
        <v>6969</v>
      </c>
      <c r="C2791" s="2" t="s">
        <v>31</v>
      </c>
      <c r="D2791" s="2" t="s">
        <v>32</v>
      </c>
      <c r="E2791" s="5">
        <v>-30823</v>
      </c>
      <c r="F2791" s="3" t="s">
        <v>305</v>
      </c>
      <c r="G2791" s="3" t="s">
        <v>306</v>
      </c>
      <c r="H2791" s="2" t="s">
        <v>72</v>
      </c>
      <c r="I2791" s="2" t="s">
        <v>6970</v>
      </c>
      <c r="J2791" s="3" t="str">
        <f>HYPERLINK("https://www.boe.es/gazeta/dias/1815/08/10/pdfs/GMD-1815-98.pdf#page=7","Abrir facsímil")</f>
        <v>Abrir facsímil</v>
      </c>
      <c r="K2791" s="3" t="s">
        <v>74</v>
      </c>
    </row>
    <row r="2792" spans="1:11" ht="42" customHeight="1">
      <c r="A2792" s="2" t="s">
        <v>6971</v>
      </c>
      <c r="B2792" s="2" t="s">
        <v>6972</v>
      </c>
      <c r="C2792" s="2" t="s">
        <v>49</v>
      </c>
      <c r="D2792" s="2" t="s">
        <v>50</v>
      </c>
      <c r="E2792" s="5">
        <v>-30863</v>
      </c>
      <c r="F2792" s="3" t="s">
        <v>110</v>
      </c>
      <c r="G2792" s="3" t="s">
        <v>224</v>
      </c>
      <c r="H2792" s="2" t="s">
        <v>72</v>
      </c>
      <c r="I2792" s="2" t="s">
        <v>6973</v>
      </c>
      <c r="J2792" s="3" t="str">
        <f>HYPERLINK("https://www.boe.es/gazeta/dias/1815/07/01/pdfs/GMD-1815-79.pdf#page=9","Abrir facsímil")</f>
        <v>Abrir facsímil</v>
      </c>
      <c r="K2792" s="3" t="s">
        <v>74</v>
      </c>
    </row>
    <row r="2793" spans="1:11" ht="42" customHeight="1">
      <c r="A2793" s="2" t="s">
        <v>6974</v>
      </c>
      <c r="B2793" s="2" t="s">
        <v>6974</v>
      </c>
      <c r="C2793" s="2" t="s">
        <v>31</v>
      </c>
      <c r="D2793" s="2" t="s">
        <v>32</v>
      </c>
      <c r="E2793" s="5">
        <v>-30818</v>
      </c>
      <c r="F2793" s="3" t="s">
        <v>334</v>
      </c>
      <c r="G2793" s="3" t="s">
        <v>38</v>
      </c>
      <c r="H2793" s="2" t="s">
        <v>72</v>
      </c>
      <c r="I2793" s="2" t="s">
        <v>6975</v>
      </c>
      <c r="J2793" s="3" t="str">
        <f>HYPERLINK("https://www.boe.es/gazeta/dias/1815/08/15/pdfs/GMD-1815-100.pdf#page=8","Abrir facsímil")</f>
        <v>Abrir facsímil</v>
      </c>
      <c r="K2793" s="3" t="s">
        <v>74</v>
      </c>
    </row>
    <row r="2794" spans="1:11" ht="42" customHeight="1">
      <c r="A2794" s="2" t="s">
        <v>6976</v>
      </c>
      <c r="B2794" s="2" t="s">
        <v>6976</v>
      </c>
      <c r="C2794" s="2" t="s">
        <v>17</v>
      </c>
      <c r="D2794" s="2" t="s">
        <v>18</v>
      </c>
      <c r="E2794" s="5">
        <v>-30963</v>
      </c>
      <c r="F2794" s="3" t="s">
        <v>879</v>
      </c>
      <c r="G2794" s="3" t="s">
        <v>71</v>
      </c>
      <c r="H2794" s="2" t="s">
        <v>72</v>
      </c>
      <c r="I2794" s="2" t="s">
        <v>6977</v>
      </c>
      <c r="J2794" s="3" t="str">
        <f>HYPERLINK("https://www.boe.es/gazeta/dias/1815/03/23/pdfs/GMD-1815-35.pdf#page=7","Abrir facsímil")</f>
        <v>Abrir facsímil</v>
      </c>
      <c r="K2794" s="3" t="s">
        <v>74</v>
      </c>
    </row>
    <row r="2795" spans="1:11" ht="42" customHeight="1">
      <c r="A2795" s="2" t="s">
        <v>6978</v>
      </c>
      <c r="B2795" s="2" t="s">
        <v>6978</v>
      </c>
      <c r="C2795" s="2" t="s">
        <v>31</v>
      </c>
      <c r="D2795" s="2" t="s">
        <v>32</v>
      </c>
      <c r="E2795" s="5">
        <v>-31007</v>
      </c>
      <c r="F2795" s="3" t="s">
        <v>200</v>
      </c>
      <c r="G2795" s="3" t="s">
        <v>276</v>
      </c>
      <c r="H2795" s="2" t="s">
        <v>72</v>
      </c>
      <c r="I2795" s="2" t="s">
        <v>6979</v>
      </c>
      <c r="J2795" s="3" t="str">
        <f>HYPERLINK("https://www.boe.es/gazeta/dias/1815/02/07/pdfs/GMD-1815-16.pdf#page=12","Abrir facsímil")</f>
        <v>Abrir facsímil</v>
      </c>
      <c r="K2795" s="3" t="s">
        <v>74</v>
      </c>
    </row>
    <row r="2796" spans="1:11" ht="42" customHeight="1">
      <c r="A2796" s="2" t="s">
        <v>6978</v>
      </c>
      <c r="B2796" s="2" t="s">
        <v>6978</v>
      </c>
      <c r="C2796" s="2" t="s">
        <v>31</v>
      </c>
      <c r="D2796" s="2" t="s">
        <v>32</v>
      </c>
      <c r="E2796" s="5">
        <v>-30958</v>
      </c>
      <c r="F2796" s="3" t="s">
        <v>297</v>
      </c>
      <c r="G2796" s="3" t="s">
        <v>27</v>
      </c>
      <c r="H2796" s="2" t="s">
        <v>72</v>
      </c>
      <c r="I2796" s="2" t="s">
        <v>6980</v>
      </c>
      <c r="J2796" s="3" t="str">
        <f>HYPERLINK("https://www.boe.es/gazeta/dias/1815/03/28/pdfs/GMD-1815-37.pdf#page=6","Abrir facsímil")</f>
        <v>Abrir facsímil</v>
      </c>
      <c r="K2796" s="3" t="s">
        <v>74</v>
      </c>
    </row>
    <row r="2797" spans="1:11" ht="42" customHeight="1">
      <c r="A2797" s="2" t="s">
        <v>6978</v>
      </c>
      <c r="B2797" s="2" t="s">
        <v>6978</v>
      </c>
      <c r="C2797" s="2" t="s">
        <v>131</v>
      </c>
      <c r="D2797" s="2" t="s">
        <v>50</v>
      </c>
      <c r="E2797" s="5">
        <v>-30751</v>
      </c>
      <c r="F2797" s="3" t="s">
        <v>819</v>
      </c>
      <c r="G2797" s="3" t="s">
        <v>38</v>
      </c>
      <c r="H2797" s="2" t="s">
        <v>72</v>
      </c>
      <c r="I2797" s="2" t="s">
        <v>6981</v>
      </c>
      <c r="J2797" s="3" t="str">
        <f>HYPERLINK("https://www.boe.es/gazeta/dias/1815/10/21/pdfs/GMD-1815-132.pdf#page=8","Abrir facsímil")</f>
        <v>Abrir facsímil</v>
      </c>
      <c r="K2797" s="3" t="s">
        <v>74</v>
      </c>
    </row>
    <row r="2798" spans="1:11" ht="42" customHeight="1">
      <c r="A2798" s="2" t="s">
        <v>6982</v>
      </c>
      <c r="B2798" s="2" t="s">
        <v>6983</v>
      </c>
      <c r="C2798" s="2" t="s">
        <v>17</v>
      </c>
      <c r="D2798" s="2" t="s">
        <v>18</v>
      </c>
      <c r="E2798" s="5">
        <v>-30879</v>
      </c>
      <c r="F2798" s="3" t="s">
        <v>754</v>
      </c>
      <c r="G2798" s="3" t="s">
        <v>71</v>
      </c>
      <c r="H2798" s="2" t="s">
        <v>72</v>
      </c>
      <c r="I2798" s="2" t="s">
        <v>6984</v>
      </c>
      <c r="J2798" s="3" t="str">
        <f>HYPERLINK("https://www.boe.es/gazeta/dias/1815/06/15/pdfs/GMD-1815-72.pdf#page=7","Abrir facsímil")</f>
        <v>Abrir facsímil</v>
      </c>
      <c r="K2798" s="3" t="s">
        <v>74</v>
      </c>
    </row>
    <row r="2799" spans="1:11" ht="42" customHeight="1">
      <c r="A2799" s="2" t="s">
        <v>6985</v>
      </c>
      <c r="B2799" s="2" t="s">
        <v>6985</v>
      </c>
      <c r="C2799" s="2" t="s">
        <v>31</v>
      </c>
      <c r="D2799" s="2" t="s">
        <v>32</v>
      </c>
      <c r="E2799" s="5">
        <v>-31033</v>
      </c>
      <c r="F2799" s="3" t="s">
        <v>493</v>
      </c>
      <c r="G2799" s="3" t="s">
        <v>27</v>
      </c>
      <c r="H2799" s="2" t="s">
        <v>72</v>
      </c>
      <c r="I2799" s="2" t="s">
        <v>6986</v>
      </c>
      <c r="J2799" s="3" t="str">
        <f>HYPERLINK("https://www.boe.es/gazeta/dias/1815/01/12/pdfs/GMD-1815-5.pdf#page=6","Abrir facsímil")</f>
        <v>Abrir facsímil</v>
      </c>
      <c r="K2799" s="3" t="s">
        <v>74</v>
      </c>
    </row>
    <row r="2800" spans="1:11" ht="42" customHeight="1">
      <c r="A2800" s="2" t="s">
        <v>6987</v>
      </c>
      <c r="B2800" s="2" t="s">
        <v>6987</v>
      </c>
      <c r="C2800" s="2" t="s">
        <v>31</v>
      </c>
      <c r="D2800" s="2" t="s">
        <v>32</v>
      </c>
      <c r="E2800" s="5">
        <v>-30891</v>
      </c>
      <c r="F2800" s="3" t="s">
        <v>498</v>
      </c>
      <c r="G2800" s="3" t="s">
        <v>27</v>
      </c>
      <c r="H2800" s="2" t="s">
        <v>72</v>
      </c>
      <c r="I2800" s="2" t="s">
        <v>6988</v>
      </c>
      <c r="J2800" s="3" t="str">
        <f>HYPERLINK("https://www.boe.es/gazeta/dias/1815/06/03/pdfs/GMD-1815-67.pdf#page=6","Abrir facsímil")</f>
        <v>Abrir facsímil</v>
      </c>
      <c r="K2800" s="3" t="s">
        <v>74</v>
      </c>
    </row>
    <row r="2801" spans="1:11" ht="42" customHeight="1">
      <c r="A2801" s="2" t="s">
        <v>6989</v>
      </c>
      <c r="B2801" s="2" t="s">
        <v>6989</v>
      </c>
      <c r="C2801" s="2" t="s">
        <v>31</v>
      </c>
      <c r="D2801" s="2" t="s">
        <v>32</v>
      </c>
      <c r="E2801" s="5">
        <v>-30884</v>
      </c>
      <c r="F2801" s="3" t="s">
        <v>136</v>
      </c>
      <c r="G2801" s="3" t="s">
        <v>27</v>
      </c>
      <c r="H2801" s="2" t="s">
        <v>72</v>
      </c>
      <c r="I2801" s="2" t="s">
        <v>6990</v>
      </c>
      <c r="J2801" s="3" t="str">
        <f>HYPERLINK("https://www.boe.es/gazeta/dias/1815/06/10/pdfs/GMD-1815-70.pdf#page=6","Abrir facsímil")</f>
        <v>Abrir facsímil</v>
      </c>
      <c r="K2801" s="3" t="s">
        <v>74</v>
      </c>
    </row>
    <row r="2802" spans="1:11" ht="42" customHeight="1">
      <c r="A2802" s="2" t="s">
        <v>6991</v>
      </c>
      <c r="B2802" s="2" t="s">
        <v>6991</v>
      </c>
      <c r="C2802" s="2" t="s">
        <v>31</v>
      </c>
      <c r="D2802" s="2" t="s">
        <v>32</v>
      </c>
      <c r="E2802" s="5">
        <v>-31031</v>
      </c>
      <c r="F2802" s="3" t="s">
        <v>105</v>
      </c>
      <c r="G2802" s="3" t="s">
        <v>97</v>
      </c>
      <c r="H2802" s="2" t="s">
        <v>72</v>
      </c>
      <c r="I2802" s="2" t="s">
        <v>6992</v>
      </c>
      <c r="J2802" s="3" t="str">
        <f>HYPERLINK("https://www.boe.es/gazeta/dias/1815/01/14/pdfs/GMD-1815-6.pdf#page=3","Abrir facsímil")</f>
        <v>Abrir facsímil</v>
      </c>
      <c r="K2802" s="3" t="s">
        <v>74</v>
      </c>
    </row>
    <row r="2803" spans="1:11" ht="42" customHeight="1">
      <c r="A2803" s="2" t="s">
        <v>6991</v>
      </c>
      <c r="B2803" s="2" t="s">
        <v>6991</v>
      </c>
      <c r="C2803" s="2" t="s">
        <v>17</v>
      </c>
      <c r="D2803" s="2" t="s">
        <v>18</v>
      </c>
      <c r="E2803" s="5">
        <v>-31007</v>
      </c>
      <c r="F2803" s="3" t="s">
        <v>200</v>
      </c>
      <c r="G2803" s="3" t="s">
        <v>20</v>
      </c>
      <c r="H2803" s="2" t="s">
        <v>72</v>
      </c>
      <c r="I2803" s="2" t="s">
        <v>6993</v>
      </c>
      <c r="J2803" s="3" t="str">
        <f>HYPERLINK("https://www.boe.es/gazeta/dias/1815/02/07/pdfs/GMD-1815-16.pdf#page=4","Abrir facsímil")</f>
        <v>Abrir facsímil</v>
      </c>
      <c r="K2803" s="3" t="s">
        <v>74</v>
      </c>
    </row>
    <row r="2804" spans="1:11" ht="42" customHeight="1">
      <c r="A2804" s="2" t="s">
        <v>6991</v>
      </c>
      <c r="B2804" s="2" t="s">
        <v>6991</v>
      </c>
      <c r="C2804" s="2" t="s">
        <v>49</v>
      </c>
      <c r="D2804" s="2" t="s">
        <v>50</v>
      </c>
      <c r="E2804" s="5">
        <v>-30982</v>
      </c>
      <c r="F2804" s="3" t="s">
        <v>220</v>
      </c>
      <c r="G2804" s="3" t="s">
        <v>57</v>
      </c>
      <c r="H2804" s="2" t="s">
        <v>72</v>
      </c>
      <c r="I2804" s="2" t="s">
        <v>6994</v>
      </c>
      <c r="J2804" s="3" t="str">
        <f>HYPERLINK("https://www.boe.es/gazeta/dias/1815/03/04/pdfs/GMD-1815-27.pdf#page=5","Abrir facsímil")</f>
        <v>Abrir facsímil</v>
      </c>
      <c r="K2804" s="3" t="s">
        <v>74</v>
      </c>
    </row>
    <row r="2805" spans="1:11" ht="42" customHeight="1">
      <c r="A2805" s="2" t="s">
        <v>6991</v>
      </c>
      <c r="B2805" s="2" t="s">
        <v>6991</v>
      </c>
      <c r="C2805" s="2" t="s">
        <v>81</v>
      </c>
      <c r="D2805" s="2" t="s">
        <v>50</v>
      </c>
      <c r="E2805" s="5">
        <v>-30982</v>
      </c>
      <c r="F2805" s="3" t="s">
        <v>220</v>
      </c>
      <c r="G2805" s="3" t="s">
        <v>38</v>
      </c>
      <c r="H2805" s="2" t="s">
        <v>72</v>
      </c>
      <c r="I2805" s="2" t="s">
        <v>6995</v>
      </c>
      <c r="J2805" s="3" t="str">
        <f>HYPERLINK("https://www.boe.es/gazeta/dias/1815/03/04/pdfs/GMD-1815-27.pdf#page=8","Abrir facsímil")</f>
        <v>Abrir facsímil</v>
      </c>
      <c r="K2805" s="3" t="s">
        <v>74</v>
      </c>
    </row>
    <row r="2806" spans="1:11" ht="42" customHeight="1">
      <c r="A2806" s="2" t="s">
        <v>6991</v>
      </c>
      <c r="B2806" s="2" t="s">
        <v>6991</v>
      </c>
      <c r="C2806" s="2" t="s">
        <v>49</v>
      </c>
      <c r="D2806" s="2" t="s">
        <v>50</v>
      </c>
      <c r="E2806" s="5">
        <v>-30958</v>
      </c>
      <c r="F2806" s="3" t="s">
        <v>297</v>
      </c>
      <c r="G2806" s="3" t="s">
        <v>27</v>
      </c>
      <c r="H2806" s="2" t="s">
        <v>72</v>
      </c>
      <c r="I2806" s="2" t="s">
        <v>6996</v>
      </c>
      <c r="J2806" s="3" t="str">
        <f>HYPERLINK("https://www.boe.es/gazeta/dias/1815/03/28/pdfs/GMD-1815-37.pdf#page=6","Abrir facsímil")</f>
        <v>Abrir facsímil</v>
      </c>
      <c r="K2806" s="3" t="s">
        <v>74</v>
      </c>
    </row>
    <row r="2807" spans="1:11" ht="42" customHeight="1">
      <c r="A2807" s="2" t="s">
        <v>6991</v>
      </c>
      <c r="B2807" s="2" t="s">
        <v>6991</v>
      </c>
      <c r="C2807" s="2" t="s">
        <v>49</v>
      </c>
      <c r="D2807" s="2" t="s">
        <v>50</v>
      </c>
      <c r="E2807" s="5">
        <v>-30886</v>
      </c>
      <c r="F2807" s="3" t="s">
        <v>140</v>
      </c>
      <c r="G2807" s="3" t="s">
        <v>224</v>
      </c>
      <c r="H2807" s="2" t="s">
        <v>72</v>
      </c>
      <c r="I2807" s="2" t="s">
        <v>6997</v>
      </c>
      <c r="J2807" s="3" t="str">
        <f>HYPERLINK("https://www.boe.es/gazeta/dias/1815/06/08/pdfs/GMD-1815-69.pdf#page=9","Abrir facsímil")</f>
        <v>Abrir facsímil</v>
      </c>
      <c r="K2807" s="3" t="s">
        <v>74</v>
      </c>
    </row>
    <row r="2808" spans="1:11" ht="42" customHeight="1">
      <c r="A2808" s="2" t="s">
        <v>6991</v>
      </c>
      <c r="B2808" s="2" t="s">
        <v>6991</v>
      </c>
      <c r="C2808" s="2" t="s">
        <v>195</v>
      </c>
      <c r="D2808" s="2" t="s">
        <v>50</v>
      </c>
      <c r="E2808" s="5">
        <v>-30879</v>
      </c>
      <c r="F2808" s="3" t="s">
        <v>754</v>
      </c>
      <c r="G2808" s="3" t="s">
        <v>88</v>
      </c>
      <c r="H2808" s="2" t="s">
        <v>72</v>
      </c>
      <c r="I2808" s="2" t="s">
        <v>6998</v>
      </c>
      <c r="J2808" s="3" t="str">
        <f>HYPERLINK("https://www.boe.es/gazeta/dias/1815/06/15/pdfs/GMD-1815-72.pdf#page=10","Abrir facsímil")</f>
        <v>Abrir facsímil</v>
      </c>
      <c r="K2808" s="3" t="s">
        <v>74</v>
      </c>
    </row>
    <row r="2809" spans="1:11" ht="42" customHeight="1">
      <c r="A2809" s="2" t="s">
        <v>6991</v>
      </c>
      <c r="B2809" s="2" t="s">
        <v>6991</v>
      </c>
      <c r="C2809" s="2" t="s">
        <v>49</v>
      </c>
      <c r="D2809" s="2" t="s">
        <v>50</v>
      </c>
      <c r="E2809" s="5">
        <v>-30865</v>
      </c>
      <c r="F2809" s="3" t="s">
        <v>163</v>
      </c>
      <c r="G2809" s="3" t="s">
        <v>27</v>
      </c>
      <c r="H2809" s="2" t="s">
        <v>72</v>
      </c>
      <c r="I2809" s="2" t="s">
        <v>6999</v>
      </c>
      <c r="J2809" s="3" t="str">
        <f>HYPERLINK("https://www.boe.es/gazeta/dias/1815/06/29/pdfs/GMD-1815-78.pdf#page=6","Abrir facsímil")</f>
        <v>Abrir facsímil</v>
      </c>
      <c r="K2809" s="3" t="s">
        <v>74</v>
      </c>
    </row>
    <row r="2810" spans="1:11" ht="42" customHeight="1">
      <c r="A2810" s="2" t="s">
        <v>6991</v>
      </c>
      <c r="B2810" s="2" t="s">
        <v>6991</v>
      </c>
      <c r="C2810" s="2" t="s">
        <v>31</v>
      </c>
      <c r="D2810" s="2" t="s">
        <v>32</v>
      </c>
      <c r="E2810" s="5">
        <v>-30863</v>
      </c>
      <c r="F2810" s="3" t="s">
        <v>110</v>
      </c>
      <c r="G2810" s="3" t="s">
        <v>88</v>
      </c>
      <c r="H2810" s="2" t="s">
        <v>72</v>
      </c>
      <c r="I2810" s="2" t="s">
        <v>7000</v>
      </c>
      <c r="J2810" s="3" t="str">
        <f>HYPERLINK("https://www.boe.es/gazeta/dias/1815/07/01/pdfs/GMD-1815-79.pdf#page=10","Abrir facsímil")</f>
        <v>Abrir facsímil</v>
      </c>
      <c r="K2810" s="3" t="s">
        <v>74</v>
      </c>
    </row>
    <row r="2811" spans="1:11" ht="42" customHeight="1">
      <c r="A2811" s="2" t="s">
        <v>6991</v>
      </c>
      <c r="B2811" s="2" t="s">
        <v>6991</v>
      </c>
      <c r="C2811" s="2" t="s">
        <v>31</v>
      </c>
      <c r="D2811" s="2" t="s">
        <v>32</v>
      </c>
      <c r="E2811" s="5">
        <v>-30860</v>
      </c>
      <c r="F2811" s="3" t="s">
        <v>184</v>
      </c>
      <c r="G2811" s="3" t="s">
        <v>20</v>
      </c>
      <c r="H2811" s="2" t="s">
        <v>72</v>
      </c>
      <c r="I2811" s="2" t="s">
        <v>7001</v>
      </c>
      <c r="J2811" s="3" t="str">
        <f>HYPERLINK("https://www.boe.es/gazeta/dias/1815/07/04/pdfs/GMD-1815-81.pdf#page=4","Abrir facsímil")</f>
        <v>Abrir facsímil</v>
      </c>
      <c r="K2811" s="3" t="s">
        <v>74</v>
      </c>
    </row>
    <row r="2812" spans="1:11" ht="42" customHeight="1">
      <c r="A2812" s="2" t="s">
        <v>6991</v>
      </c>
      <c r="B2812" s="2" t="s">
        <v>6991</v>
      </c>
      <c r="C2812" s="2" t="s">
        <v>31</v>
      </c>
      <c r="D2812" s="2" t="s">
        <v>32</v>
      </c>
      <c r="E2812" s="5">
        <v>-30786</v>
      </c>
      <c r="F2812" s="3" t="s">
        <v>558</v>
      </c>
      <c r="G2812" s="3" t="s">
        <v>38</v>
      </c>
      <c r="H2812" s="2" t="s">
        <v>72</v>
      </c>
      <c r="I2812" s="2" t="s">
        <v>7002</v>
      </c>
      <c r="J2812" s="3" t="str">
        <f>HYPERLINK("https://www.boe.es/gazeta/dias/1815/09/16/pdfs/GMD-1815-115.pdf#page=8","Abrir facsímil")</f>
        <v>Abrir facsímil</v>
      </c>
      <c r="K2812" s="3" t="s">
        <v>74</v>
      </c>
    </row>
    <row r="2813" spans="1:11" ht="42" customHeight="1">
      <c r="A2813" s="2" t="s">
        <v>6991</v>
      </c>
      <c r="B2813" s="2" t="s">
        <v>6991</v>
      </c>
      <c r="C2813" s="2" t="s">
        <v>31</v>
      </c>
      <c r="D2813" s="2" t="s">
        <v>32</v>
      </c>
      <c r="E2813" s="5">
        <v>-30727</v>
      </c>
      <c r="F2813" s="3" t="s">
        <v>262</v>
      </c>
      <c r="G2813" s="3" t="s">
        <v>5122</v>
      </c>
      <c r="H2813" s="2" t="s">
        <v>72</v>
      </c>
      <c r="I2813" s="2" t="s">
        <v>7003</v>
      </c>
      <c r="J2813" s="3" t="str">
        <f>HYPERLINK("https://www.boe.es/gazeta/dias/1815/11/14/pdfs/GMD-1815-142.pdf#page=5","Abrir facsímil")</f>
        <v>Abrir facsímil</v>
      </c>
      <c r="K2813" s="3" t="s">
        <v>74</v>
      </c>
    </row>
    <row r="2814" spans="1:11" ht="42" customHeight="1">
      <c r="A2814" s="2" t="s">
        <v>6991</v>
      </c>
      <c r="B2814" s="2" t="s">
        <v>6991</v>
      </c>
      <c r="C2814" s="2" t="s">
        <v>61</v>
      </c>
      <c r="D2814" s="2" t="s">
        <v>50</v>
      </c>
      <c r="E2814" s="5">
        <v>-30681</v>
      </c>
      <c r="F2814" s="3" t="s">
        <v>2093</v>
      </c>
      <c r="G2814" s="3" t="s">
        <v>38</v>
      </c>
      <c r="H2814" s="2" t="s">
        <v>72</v>
      </c>
      <c r="I2814" s="2" t="s">
        <v>7004</v>
      </c>
      <c r="J2814" s="3" t="str">
        <f>HYPERLINK("https://www.boe.es/gazeta/dias/1815/12/30/pdfs/GMD-1815-162.pdf#page=8","Abrir facsímil")</f>
        <v>Abrir facsímil</v>
      </c>
      <c r="K2814" s="3" t="s">
        <v>74</v>
      </c>
    </row>
    <row r="2815" spans="1:11" ht="42" customHeight="1">
      <c r="A2815" s="2" t="s">
        <v>7005</v>
      </c>
      <c r="B2815" s="2" t="s">
        <v>7006</v>
      </c>
      <c r="C2815" s="2" t="s">
        <v>31</v>
      </c>
      <c r="D2815" s="2" t="s">
        <v>32</v>
      </c>
      <c r="E2815" s="5">
        <v>-31038</v>
      </c>
      <c r="F2815" s="3" t="s">
        <v>395</v>
      </c>
      <c r="G2815" s="3" t="s">
        <v>396</v>
      </c>
      <c r="H2815" s="2" t="s">
        <v>21</v>
      </c>
      <c r="I2815" s="2" t="s">
        <v>7007</v>
      </c>
      <c r="J2815" s="3" t="str">
        <f>HYPERLINK("https://www.boe.es/gazeta/dias/1815/01/07/pdfs/GMD-1815-3.pdf#page=5","Abrir facsímil")</f>
        <v>Abrir facsímil</v>
      </c>
      <c r="K2815" s="3" t="s">
        <v>23</v>
      </c>
    </row>
    <row r="2816" spans="1:11" ht="42" customHeight="1">
      <c r="A2816" s="2" t="s">
        <v>7008</v>
      </c>
      <c r="B2816" s="2" t="s">
        <v>7009</v>
      </c>
      <c r="C2816" s="2" t="s">
        <v>17</v>
      </c>
      <c r="D2816" s="2" t="s">
        <v>18</v>
      </c>
      <c r="E2816" s="5">
        <v>-30907</v>
      </c>
      <c r="F2816" s="3" t="s">
        <v>301</v>
      </c>
      <c r="G2816" s="3" t="s">
        <v>3011</v>
      </c>
      <c r="H2816" s="2" t="s">
        <v>72</v>
      </c>
      <c r="I2816" s="2" t="s">
        <v>7010</v>
      </c>
      <c r="J2816" s="3" t="str">
        <f>HYPERLINK("https://www.boe.es/gazeta/dias/1815/05/18/pdfs/GMD-1815-60.pdf#page=8","Abrir facsímil")</f>
        <v>Abrir facsímil</v>
      </c>
      <c r="K2816" s="3" t="s">
        <v>74</v>
      </c>
    </row>
    <row r="2817" spans="1:11" ht="42" customHeight="1">
      <c r="A2817" s="2" t="s">
        <v>7011</v>
      </c>
      <c r="B2817" s="2" t="s">
        <v>7011</v>
      </c>
      <c r="C2817" s="2" t="s">
        <v>31</v>
      </c>
      <c r="D2817" s="2" t="s">
        <v>32</v>
      </c>
      <c r="E2817" s="5">
        <v>-30818</v>
      </c>
      <c r="F2817" s="3" t="s">
        <v>334</v>
      </c>
      <c r="G2817" s="3" t="s">
        <v>224</v>
      </c>
      <c r="H2817" s="2" t="s">
        <v>72</v>
      </c>
      <c r="I2817" s="2" t="s">
        <v>7012</v>
      </c>
      <c r="J2817" s="3" t="str">
        <f>HYPERLINK("https://www.boe.es/gazeta/dias/1815/08/15/pdfs/GMD-1815-100.pdf#page=9","Abrir facsímil")</f>
        <v>Abrir facsímil</v>
      </c>
      <c r="K2817" s="3" t="s">
        <v>74</v>
      </c>
    </row>
    <row r="2818" spans="1:11" ht="42" customHeight="1">
      <c r="A2818" s="2" t="s">
        <v>7013</v>
      </c>
      <c r="B2818" s="2" t="s">
        <v>7013</v>
      </c>
      <c r="C2818" s="2" t="s">
        <v>49</v>
      </c>
      <c r="D2818" s="2" t="s">
        <v>50</v>
      </c>
      <c r="E2818" s="5">
        <v>-30835</v>
      </c>
      <c r="F2818" s="3" t="s">
        <v>544</v>
      </c>
      <c r="G2818" s="3" t="s">
        <v>88</v>
      </c>
      <c r="H2818" s="2" t="s">
        <v>72</v>
      </c>
      <c r="I2818" s="2" t="s">
        <v>7014</v>
      </c>
      <c r="J2818" s="3" t="str">
        <f>HYPERLINK("https://www.boe.es/gazeta/dias/1815/07/29/pdfs/GMD-1815-93.pdf#page=10","Abrir facsímil")</f>
        <v>Abrir facsímil</v>
      </c>
      <c r="K2818" s="3" t="s">
        <v>74</v>
      </c>
    </row>
    <row r="2819" spans="1:11" ht="42" customHeight="1">
      <c r="A2819" s="2" t="s">
        <v>7015</v>
      </c>
      <c r="B2819" s="2" t="s">
        <v>7015</v>
      </c>
      <c r="C2819" s="2" t="s">
        <v>31</v>
      </c>
      <c r="D2819" s="2" t="s">
        <v>32</v>
      </c>
      <c r="E2819" s="5">
        <v>-30709</v>
      </c>
      <c r="F2819" s="3" t="s">
        <v>314</v>
      </c>
      <c r="G2819" s="3" t="s">
        <v>38</v>
      </c>
      <c r="H2819" s="2" t="s">
        <v>72</v>
      </c>
      <c r="I2819" s="2" t="s">
        <v>7016</v>
      </c>
      <c r="J2819" s="3" t="str">
        <f>HYPERLINK("https://www.boe.es/gazeta/dias/1815/12/02/pdfs/GMD-1815-150.pdf#page=8","Abrir facsímil")</f>
        <v>Abrir facsímil</v>
      </c>
      <c r="K2819" s="3" t="s">
        <v>74</v>
      </c>
    </row>
    <row r="2820" spans="1:11" ht="42" customHeight="1">
      <c r="A2820" s="2" t="s">
        <v>7017</v>
      </c>
      <c r="B2820" s="2" t="s">
        <v>7017</v>
      </c>
      <c r="C2820" s="2" t="s">
        <v>49</v>
      </c>
      <c r="D2820" s="2" t="s">
        <v>50</v>
      </c>
      <c r="E2820" s="5">
        <v>-30886</v>
      </c>
      <c r="F2820" s="3" t="s">
        <v>140</v>
      </c>
      <c r="G2820" s="3" t="s">
        <v>224</v>
      </c>
      <c r="H2820" s="2" t="s">
        <v>72</v>
      </c>
      <c r="I2820" s="2" t="s">
        <v>7018</v>
      </c>
      <c r="J2820" s="3" t="str">
        <f>HYPERLINK("https://www.boe.es/gazeta/dias/1815/06/08/pdfs/GMD-1815-69.pdf#page=9","Abrir facsímil")</f>
        <v>Abrir facsímil</v>
      </c>
      <c r="K2820" s="3" t="s">
        <v>74</v>
      </c>
    </row>
    <row r="2821" spans="1:11" ht="42" customHeight="1">
      <c r="A2821" s="2" t="s">
        <v>7019</v>
      </c>
      <c r="B2821" s="2" t="s">
        <v>7020</v>
      </c>
      <c r="C2821" s="2" t="s">
        <v>31</v>
      </c>
      <c r="D2821" s="2" t="s">
        <v>32</v>
      </c>
      <c r="E2821" s="5">
        <v>-30916</v>
      </c>
      <c r="F2821" s="3" t="s">
        <v>147</v>
      </c>
      <c r="G2821" s="3" t="s">
        <v>148</v>
      </c>
      <c r="H2821" s="2" t="s">
        <v>72</v>
      </c>
      <c r="I2821" s="2" t="s">
        <v>7021</v>
      </c>
      <c r="J2821" s="3" t="str">
        <f>HYPERLINK("https://www.boe.es/gazeta/dias/1815/05/09/pdfs/GMD-1815-56.pdf#page=7","Abrir facsímil")</f>
        <v>Abrir facsímil</v>
      </c>
      <c r="K2821" s="3" t="s">
        <v>74</v>
      </c>
    </row>
    <row r="2822" spans="1:11" ht="42" customHeight="1">
      <c r="A2822" s="2" t="s">
        <v>7022</v>
      </c>
      <c r="B2822" s="2" t="s">
        <v>7022</v>
      </c>
      <c r="C2822" s="2" t="s">
        <v>195</v>
      </c>
      <c r="D2822" s="2" t="s">
        <v>50</v>
      </c>
      <c r="E2822" s="5">
        <v>-31000</v>
      </c>
      <c r="F2822" s="3" t="s">
        <v>70</v>
      </c>
      <c r="G2822" s="3" t="s">
        <v>71</v>
      </c>
      <c r="H2822" s="2" t="s">
        <v>72</v>
      </c>
      <c r="I2822" s="2" t="s">
        <v>7023</v>
      </c>
      <c r="J2822" s="3" t="str">
        <f>HYPERLINK("https://www.boe.es/gazeta/dias/1815/02/14/pdfs/GMD-1815-19.pdf#page=7","Abrir facsímil")</f>
        <v>Abrir facsímil</v>
      </c>
      <c r="K2822" s="3" t="s">
        <v>74</v>
      </c>
    </row>
    <row r="2823" spans="1:11" ht="42" customHeight="1">
      <c r="A2823" s="2" t="s">
        <v>7022</v>
      </c>
      <c r="B2823" s="2" t="s">
        <v>7022</v>
      </c>
      <c r="C2823" s="2" t="s">
        <v>31</v>
      </c>
      <c r="D2823" s="2" t="s">
        <v>32</v>
      </c>
      <c r="E2823" s="5">
        <v>-30739</v>
      </c>
      <c r="F2823" s="3" t="s">
        <v>254</v>
      </c>
      <c r="G2823" s="3" t="s">
        <v>88</v>
      </c>
      <c r="H2823" s="2" t="s">
        <v>72</v>
      </c>
      <c r="I2823" s="2" t="s">
        <v>7024</v>
      </c>
      <c r="J2823" s="3" t="str">
        <f>HYPERLINK("https://www.boe.es/gazeta/dias/1815/11/02/pdfs/GMD-1815-137.pdf#page=10","Abrir facsímil")</f>
        <v>Abrir facsímil</v>
      </c>
      <c r="K2823" s="3" t="s">
        <v>74</v>
      </c>
    </row>
    <row r="2824" spans="1:11" ht="42" customHeight="1">
      <c r="A2824" s="2" t="s">
        <v>7022</v>
      </c>
      <c r="B2824" s="2" t="s">
        <v>7022</v>
      </c>
      <c r="C2824" s="2" t="s">
        <v>61</v>
      </c>
      <c r="D2824" s="2" t="s">
        <v>50</v>
      </c>
      <c r="E2824" s="5">
        <v>-30695</v>
      </c>
      <c r="F2824" s="3" t="s">
        <v>824</v>
      </c>
      <c r="G2824" s="3" t="s">
        <v>38</v>
      </c>
      <c r="H2824" s="2" t="s">
        <v>72</v>
      </c>
      <c r="I2824" s="2" t="s">
        <v>7025</v>
      </c>
      <c r="J2824" s="3" t="str">
        <f>HYPERLINK("https://www.boe.es/gazeta/dias/1815/12/16/pdfs/GMD-1815-156.pdf#page=8","Abrir facsímil")</f>
        <v>Abrir facsímil</v>
      </c>
      <c r="K2824" s="3" t="s">
        <v>74</v>
      </c>
    </row>
    <row r="2825" spans="1:11" ht="42" customHeight="1">
      <c r="A2825" s="2" t="s">
        <v>7026</v>
      </c>
      <c r="B2825" s="2" t="s">
        <v>7027</v>
      </c>
      <c r="C2825" s="2" t="s">
        <v>49</v>
      </c>
      <c r="D2825" s="2" t="s">
        <v>50</v>
      </c>
      <c r="E2825" s="5">
        <v>-30954</v>
      </c>
      <c r="F2825" s="3" t="s">
        <v>409</v>
      </c>
      <c r="G2825" s="3" t="s">
        <v>71</v>
      </c>
      <c r="H2825" s="2" t="s">
        <v>72</v>
      </c>
      <c r="I2825" s="2" t="s">
        <v>7028</v>
      </c>
      <c r="J2825" s="3" t="str">
        <f>HYPERLINK("https://www.boe.es/gazeta/dias/1815/04/01/pdfs/GMD-1815-39.pdf#page=7","Abrir facsímil")</f>
        <v>Abrir facsímil</v>
      </c>
      <c r="K2825" s="3" t="s">
        <v>74</v>
      </c>
    </row>
    <row r="2826" spans="1:11" ht="42" customHeight="1">
      <c r="A2826" s="2" t="s">
        <v>7029</v>
      </c>
      <c r="B2826" s="2" t="s">
        <v>7030</v>
      </c>
      <c r="C2826" s="2" t="s">
        <v>49</v>
      </c>
      <c r="D2826" s="2" t="s">
        <v>50</v>
      </c>
      <c r="E2826" s="5">
        <v>-30690</v>
      </c>
      <c r="F2826" s="3" t="s">
        <v>1449</v>
      </c>
      <c r="G2826" s="3" t="s">
        <v>71</v>
      </c>
      <c r="H2826" s="2" t="s">
        <v>72</v>
      </c>
      <c r="I2826" s="2" t="s">
        <v>7031</v>
      </c>
      <c r="J2826" s="3" t="str">
        <f>HYPERLINK("https://www.boe.es/gazeta/dias/1815/12/21/pdfs/GMD-1815-158.pdf#page=7","Abrir facsímil")</f>
        <v>Abrir facsímil</v>
      </c>
      <c r="K2826" s="3" t="s">
        <v>74</v>
      </c>
    </row>
    <row r="2827" spans="1:11" ht="42" customHeight="1">
      <c r="A2827" s="2" t="s">
        <v>7032</v>
      </c>
      <c r="B2827" s="2" t="s">
        <v>7033</v>
      </c>
      <c r="C2827" s="2" t="s">
        <v>17</v>
      </c>
      <c r="D2827" s="2" t="s">
        <v>18</v>
      </c>
      <c r="E2827" s="5">
        <v>-30970</v>
      </c>
      <c r="F2827" s="3" t="s">
        <v>436</v>
      </c>
      <c r="G2827" s="3" t="s">
        <v>57</v>
      </c>
      <c r="H2827" s="2" t="s">
        <v>72</v>
      </c>
      <c r="I2827" s="2" t="s">
        <v>7034</v>
      </c>
      <c r="J2827" s="3" t="str">
        <f>HYPERLINK("https://www.boe.es/gazeta/dias/1815/03/16/pdfs/GMD-1815-32.pdf#page=5","Abrir facsímil")</f>
        <v>Abrir facsímil</v>
      </c>
      <c r="K2827" s="3" t="s">
        <v>74</v>
      </c>
    </row>
    <row r="2828" spans="1:11" ht="42" customHeight="1">
      <c r="A2828" s="2" t="s">
        <v>7035</v>
      </c>
      <c r="B2828" s="2" t="s">
        <v>7036</v>
      </c>
      <c r="C2828" s="2" t="s">
        <v>17</v>
      </c>
      <c r="D2828" s="2" t="s">
        <v>18</v>
      </c>
      <c r="E2828" s="5">
        <v>-30762</v>
      </c>
      <c r="F2828" s="3" t="s">
        <v>19</v>
      </c>
      <c r="G2828" s="3" t="s">
        <v>71</v>
      </c>
      <c r="H2828" s="2" t="s">
        <v>72</v>
      </c>
      <c r="I2828" s="2" t="s">
        <v>7037</v>
      </c>
      <c r="J2828" s="3" t="str">
        <f>HYPERLINK("https://www.boe.es/gazeta/dias/1815/10/10/pdfs/GMD-1815-127.pdf#page=7","Abrir facsímil")</f>
        <v>Abrir facsímil</v>
      </c>
      <c r="K2828" s="3" t="s">
        <v>74</v>
      </c>
    </row>
    <row r="2829" spans="1:11" ht="42" customHeight="1">
      <c r="A2829" s="2" t="s">
        <v>7038</v>
      </c>
      <c r="B2829" s="2" t="s">
        <v>7039</v>
      </c>
      <c r="C2829" s="2" t="s">
        <v>17</v>
      </c>
      <c r="D2829" s="2" t="s">
        <v>18</v>
      </c>
      <c r="E2829" s="5">
        <v>-30963</v>
      </c>
      <c r="F2829" s="3" t="s">
        <v>879</v>
      </c>
      <c r="G2829" s="3" t="s">
        <v>27</v>
      </c>
      <c r="H2829" s="2" t="s">
        <v>21</v>
      </c>
      <c r="I2829" s="2" t="s">
        <v>7040</v>
      </c>
      <c r="J2829" s="3" t="str">
        <f>HYPERLINK("https://www.boe.es/gazeta/dias/1815/03/23/pdfs/GMD-1815-35.pdf#page=6","Abrir facsímil")</f>
        <v>Abrir facsímil</v>
      </c>
      <c r="K2829" s="3" t="s">
        <v>23</v>
      </c>
    </row>
    <row r="2830" spans="1:11" ht="42" customHeight="1">
      <c r="A2830" s="2" t="s">
        <v>7041</v>
      </c>
      <c r="B2830" s="2" t="s">
        <v>7041</v>
      </c>
      <c r="C2830" s="2" t="s">
        <v>31</v>
      </c>
      <c r="D2830" s="2" t="s">
        <v>32</v>
      </c>
      <c r="E2830" s="5">
        <v>-30832</v>
      </c>
      <c r="F2830" s="3" t="s">
        <v>266</v>
      </c>
      <c r="G2830" s="3" t="s">
        <v>57</v>
      </c>
      <c r="H2830" s="2" t="s">
        <v>72</v>
      </c>
      <c r="I2830" s="2" t="s">
        <v>7042</v>
      </c>
      <c r="J2830" s="3" t="str">
        <f>HYPERLINK("https://www.boe.es/gazeta/dias/1815/08/01/pdfs/GMD-1815-94.pdf#page=5","Abrir facsímil")</f>
        <v>Abrir facsímil</v>
      </c>
      <c r="K2830" s="3" t="s">
        <v>74</v>
      </c>
    </row>
    <row r="2831" spans="1:11" ht="42" customHeight="1">
      <c r="A2831" s="2" t="s">
        <v>7043</v>
      </c>
      <c r="B2831" s="2" t="s">
        <v>7043</v>
      </c>
      <c r="C2831" s="2" t="s">
        <v>31</v>
      </c>
      <c r="D2831" s="2" t="s">
        <v>32</v>
      </c>
      <c r="E2831" s="5">
        <v>-30849</v>
      </c>
      <c r="F2831" s="3" t="s">
        <v>501</v>
      </c>
      <c r="G2831" s="3" t="s">
        <v>88</v>
      </c>
      <c r="H2831" s="2" t="s">
        <v>72</v>
      </c>
      <c r="I2831" s="2" t="s">
        <v>7044</v>
      </c>
      <c r="J2831" s="3" t="str">
        <f>HYPERLINK("https://www.boe.es/gazeta/dias/1815/07/15/pdfs/GMD-1815-87.pdf#page=10","Abrir facsímil")</f>
        <v>Abrir facsímil</v>
      </c>
      <c r="K2831" s="3" t="s">
        <v>74</v>
      </c>
    </row>
    <row r="2832" spans="1:11" ht="42" customHeight="1">
      <c r="A2832" s="2" t="s">
        <v>7045</v>
      </c>
      <c r="B2832" s="2" t="s">
        <v>7045</v>
      </c>
      <c r="C2832" s="2" t="s">
        <v>31</v>
      </c>
      <c r="D2832" s="2" t="s">
        <v>32</v>
      </c>
      <c r="E2832" s="5">
        <v>-30720</v>
      </c>
      <c r="F2832" s="3" t="s">
        <v>373</v>
      </c>
      <c r="G2832" s="3" t="s">
        <v>97</v>
      </c>
      <c r="H2832" s="2" t="s">
        <v>72</v>
      </c>
      <c r="I2832" s="2" t="s">
        <v>7046</v>
      </c>
      <c r="J2832" s="3" t="str">
        <f>HYPERLINK("https://www.boe.es/gazeta/dias/1815/11/21/pdfs/GMD-1815-145.pdf#page=3","Abrir facsímil")</f>
        <v>Abrir facsímil</v>
      </c>
      <c r="K2832" s="3" t="s">
        <v>74</v>
      </c>
    </row>
    <row r="2833" spans="1:11" ht="42" customHeight="1">
      <c r="A2833" s="2" t="s">
        <v>7047</v>
      </c>
      <c r="B2833" s="2" t="s">
        <v>7047</v>
      </c>
      <c r="C2833" s="2" t="s">
        <v>31</v>
      </c>
      <c r="D2833" s="2" t="s">
        <v>179</v>
      </c>
      <c r="E2833" s="5">
        <v>-30860</v>
      </c>
      <c r="F2833" s="3" t="s">
        <v>180</v>
      </c>
      <c r="G2833" s="3" t="s">
        <v>377</v>
      </c>
      <c r="H2833" s="2" t="s">
        <v>72</v>
      </c>
      <c r="I2833" s="2" t="s">
        <v>7048</v>
      </c>
      <c r="J2833" s="3" t="str">
        <f>HYPERLINK("https://www.boe.es/gazeta/dias/1815/07/04/pdfs/GMD-1815-82E.pdf#page=2","Abrir facsímil")</f>
        <v>Abrir facsímil</v>
      </c>
      <c r="K2833" s="3" t="s">
        <v>74</v>
      </c>
    </row>
    <row r="2834" spans="1:11" ht="42" customHeight="1">
      <c r="A2834" s="2" t="s">
        <v>7049</v>
      </c>
      <c r="B2834" s="2" t="s">
        <v>7049</v>
      </c>
      <c r="C2834" s="2" t="s">
        <v>31</v>
      </c>
      <c r="D2834" s="2" t="s">
        <v>32</v>
      </c>
      <c r="E2834" s="5">
        <v>-30926</v>
      </c>
      <c r="F2834" s="3" t="s">
        <v>2018</v>
      </c>
      <c r="G2834" s="3" t="s">
        <v>410</v>
      </c>
      <c r="H2834" s="2" t="s">
        <v>72</v>
      </c>
      <c r="I2834" s="2" t="s">
        <v>7050</v>
      </c>
      <c r="J2834" s="3" t="str">
        <f>HYPERLINK("https://www.boe.es/gazeta/dias/1815/04/29/pdfs/GMD-1815-52.pdf#page=1","Abrir facsímil")</f>
        <v>Abrir facsímil</v>
      </c>
      <c r="K2834" s="3" t="s">
        <v>74</v>
      </c>
    </row>
    <row r="2835" spans="1:11" ht="42" customHeight="1">
      <c r="A2835" s="2" t="s">
        <v>7051</v>
      </c>
      <c r="B2835" s="2" t="s">
        <v>7052</v>
      </c>
      <c r="C2835" s="2" t="s">
        <v>31</v>
      </c>
      <c r="D2835" s="2" t="s">
        <v>32</v>
      </c>
      <c r="E2835" s="5">
        <v>-31042</v>
      </c>
      <c r="F2835" s="3" t="s">
        <v>512</v>
      </c>
      <c r="G2835" s="3" t="s">
        <v>1689</v>
      </c>
      <c r="H2835" s="2" t="s">
        <v>72</v>
      </c>
      <c r="I2835" s="2" t="s">
        <v>7053</v>
      </c>
      <c r="J2835" s="3" t="str">
        <f>HYPERLINK("https://www.boe.es/gazeta/dias/1815/01/03/pdfs/GMD-1815-1.pdf#page=6","Abrir facsímil")</f>
        <v>Abrir facsímil</v>
      </c>
      <c r="K2835" s="3" t="s">
        <v>74</v>
      </c>
    </row>
    <row r="2836" spans="1:11" ht="42" customHeight="1">
      <c r="A2836" s="2" t="s">
        <v>7054</v>
      </c>
      <c r="B2836" s="2" t="s">
        <v>7054</v>
      </c>
      <c r="C2836" s="2" t="s">
        <v>31</v>
      </c>
      <c r="D2836" s="2" t="s">
        <v>32</v>
      </c>
      <c r="E2836" s="5">
        <v>-30937</v>
      </c>
      <c r="F2836" s="3" t="s">
        <v>322</v>
      </c>
      <c r="G2836" s="3" t="s">
        <v>410</v>
      </c>
      <c r="H2836" s="2" t="s">
        <v>72</v>
      </c>
      <c r="I2836" s="2" t="s">
        <v>7055</v>
      </c>
      <c r="J2836" s="3" t="str">
        <f>HYPERLINK("https://www.boe.es/gazeta/dias/1815/04/18/pdfs/GMD-1815-47.pdf#page=1","Abrir facsímil")</f>
        <v>Abrir facsímil</v>
      </c>
      <c r="K2836" s="3" t="s">
        <v>74</v>
      </c>
    </row>
    <row r="2837" spans="1:11" ht="42" customHeight="1">
      <c r="A2837" s="2" t="s">
        <v>7054</v>
      </c>
      <c r="B2837" s="2" t="s">
        <v>7054</v>
      </c>
      <c r="C2837" s="2" t="s">
        <v>31</v>
      </c>
      <c r="D2837" s="2" t="s">
        <v>32</v>
      </c>
      <c r="E2837" s="5">
        <v>-30926</v>
      </c>
      <c r="F2837" s="3" t="s">
        <v>2018</v>
      </c>
      <c r="G2837" s="3" t="s">
        <v>410</v>
      </c>
      <c r="H2837" s="2" t="s">
        <v>72</v>
      </c>
      <c r="I2837" s="2" t="s">
        <v>7056</v>
      </c>
      <c r="J2837" s="3" t="str">
        <f>HYPERLINK("https://www.boe.es/gazeta/dias/1815/04/29/pdfs/GMD-1815-52.pdf#page=1","Abrir facsímil")</f>
        <v>Abrir facsímil</v>
      </c>
      <c r="K2837" s="3" t="s">
        <v>74</v>
      </c>
    </row>
    <row r="2838" spans="1:11" ht="42" customHeight="1">
      <c r="A2838" s="2" t="s">
        <v>7057</v>
      </c>
      <c r="B2838" s="2" t="s">
        <v>7057</v>
      </c>
      <c r="C2838" s="2" t="s">
        <v>49</v>
      </c>
      <c r="D2838" s="2" t="s">
        <v>50</v>
      </c>
      <c r="E2838" s="5">
        <v>-30772</v>
      </c>
      <c r="F2838" s="3" t="s">
        <v>216</v>
      </c>
      <c r="G2838" s="3" t="s">
        <v>410</v>
      </c>
      <c r="H2838" s="2" t="s">
        <v>72</v>
      </c>
      <c r="I2838" s="2" t="s">
        <v>7058</v>
      </c>
      <c r="J2838" s="3" t="str">
        <f>HYPERLINK("https://www.boe.es/gazeta/dias/1815/09/30/pdfs/GMD-1815-123.pdf#page=1","Abrir facsímil")</f>
        <v>Abrir facsímil</v>
      </c>
      <c r="K2838" s="3" t="s">
        <v>74</v>
      </c>
    </row>
    <row r="2839" spans="1:11" ht="42" customHeight="1">
      <c r="A2839" s="2" t="s">
        <v>7059</v>
      </c>
      <c r="B2839" s="2" t="s">
        <v>7060</v>
      </c>
      <c r="C2839" s="2" t="s">
        <v>17</v>
      </c>
      <c r="D2839" s="2" t="s">
        <v>18</v>
      </c>
      <c r="E2839" s="5">
        <v>-30944</v>
      </c>
      <c r="F2839" s="3" t="s">
        <v>412</v>
      </c>
      <c r="G2839" s="3" t="s">
        <v>410</v>
      </c>
      <c r="H2839" s="2" t="s">
        <v>72</v>
      </c>
      <c r="I2839" s="2" t="s">
        <v>7061</v>
      </c>
      <c r="J2839" s="3" t="str">
        <f>HYPERLINK("https://www.boe.es/gazeta/dias/1815/04/11/pdfs/GMD-1815-44.pdf#page=1","Abrir facsímil")</f>
        <v>Abrir facsímil</v>
      </c>
      <c r="K2839" s="3" t="s">
        <v>74</v>
      </c>
    </row>
    <row r="2840" spans="1:11" ht="42" customHeight="1">
      <c r="A2840" s="2" t="s">
        <v>7059</v>
      </c>
      <c r="B2840" s="2" t="s">
        <v>7060</v>
      </c>
      <c r="C2840" s="2" t="s">
        <v>31</v>
      </c>
      <c r="D2840" s="2" t="s">
        <v>32</v>
      </c>
      <c r="E2840" s="5">
        <v>-30891</v>
      </c>
      <c r="F2840" s="3" t="s">
        <v>498</v>
      </c>
      <c r="G2840" s="3" t="s">
        <v>20</v>
      </c>
      <c r="H2840" s="2" t="s">
        <v>72</v>
      </c>
      <c r="I2840" s="2" t="s">
        <v>7062</v>
      </c>
      <c r="J2840" s="3" t="str">
        <f>HYPERLINK("https://www.boe.es/gazeta/dias/1815/06/03/pdfs/GMD-1815-67.pdf#page=4","Abrir facsímil")</f>
        <v>Abrir facsímil</v>
      </c>
      <c r="K2840" s="3" t="s">
        <v>74</v>
      </c>
    </row>
    <row r="2841" spans="1:11" ht="42" customHeight="1">
      <c r="A2841" s="2" t="s">
        <v>7063</v>
      </c>
      <c r="B2841" s="2" t="s">
        <v>7063</v>
      </c>
      <c r="C2841" s="2" t="s">
        <v>31</v>
      </c>
      <c r="D2841" s="2" t="s">
        <v>179</v>
      </c>
      <c r="E2841" s="5">
        <v>-30860</v>
      </c>
      <c r="F2841" s="3" t="s">
        <v>180</v>
      </c>
      <c r="G2841" s="3" t="s">
        <v>2026</v>
      </c>
      <c r="H2841" s="2" t="s">
        <v>72</v>
      </c>
      <c r="I2841" s="2" t="s">
        <v>7064</v>
      </c>
      <c r="J2841" s="3" t="str">
        <f>HYPERLINK("https://www.boe.es/gazeta/dias/1815/07/04/pdfs/GMD-1815-82E.pdf#page=5","Abrir facsímil")</f>
        <v>Abrir facsímil</v>
      </c>
      <c r="K2841" s="3" t="s">
        <v>74</v>
      </c>
    </row>
    <row r="2842" spans="1:11" ht="42" customHeight="1">
      <c r="A2842" s="2" t="s">
        <v>7065</v>
      </c>
      <c r="B2842" s="2" t="s">
        <v>7065</v>
      </c>
      <c r="C2842" s="2" t="s">
        <v>31</v>
      </c>
      <c r="D2842" s="2" t="s">
        <v>32</v>
      </c>
      <c r="E2842" s="5">
        <v>-30772</v>
      </c>
      <c r="F2842" s="3" t="s">
        <v>216</v>
      </c>
      <c r="G2842" s="3" t="s">
        <v>410</v>
      </c>
      <c r="H2842" s="2" t="s">
        <v>72</v>
      </c>
      <c r="I2842" s="2" t="s">
        <v>7066</v>
      </c>
      <c r="J2842" s="3" t="str">
        <f>HYPERLINK("https://www.boe.es/gazeta/dias/1815/09/30/pdfs/GMD-1815-123.pdf#page=1","Abrir facsímil")</f>
        <v>Abrir facsímil</v>
      </c>
      <c r="K2842" s="3" t="s">
        <v>74</v>
      </c>
    </row>
    <row r="2843" spans="1:11" ht="42" customHeight="1">
      <c r="A2843" s="2" t="s">
        <v>7067</v>
      </c>
      <c r="B2843" s="2" t="s">
        <v>7068</v>
      </c>
      <c r="C2843" s="2" t="s">
        <v>31</v>
      </c>
      <c r="D2843" s="2" t="s">
        <v>32</v>
      </c>
      <c r="E2843" s="5">
        <v>-30923</v>
      </c>
      <c r="F2843" s="3" t="s">
        <v>524</v>
      </c>
      <c r="G2843" s="3" t="s">
        <v>1314</v>
      </c>
      <c r="H2843" s="2" t="s">
        <v>21</v>
      </c>
      <c r="I2843" s="2" t="s">
        <v>7069</v>
      </c>
      <c r="J2843" s="3" t="str">
        <f>HYPERLINK("https://www.boe.es/gazeta/dias/1815/05/02/pdfs/GMD-1815-53.pdf#page=12","Abrir facsímil")</f>
        <v>Abrir facsímil</v>
      </c>
      <c r="K2843" s="3" t="s">
        <v>23</v>
      </c>
    </row>
    <row r="2844" spans="1:11" ht="42" customHeight="1">
      <c r="A2844" s="2" t="s">
        <v>7070</v>
      </c>
      <c r="B2844" s="2" t="s">
        <v>7070</v>
      </c>
      <c r="C2844" s="2" t="s">
        <v>31</v>
      </c>
      <c r="D2844" s="2" t="s">
        <v>32</v>
      </c>
      <c r="E2844" s="5">
        <v>-31024</v>
      </c>
      <c r="F2844" s="3" t="s">
        <v>101</v>
      </c>
      <c r="G2844" s="3" t="s">
        <v>71</v>
      </c>
      <c r="H2844" s="2" t="s">
        <v>72</v>
      </c>
      <c r="I2844" s="2" t="s">
        <v>7071</v>
      </c>
      <c r="J2844" s="3" t="str">
        <f>HYPERLINK("https://www.boe.es/gazeta/dias/1815/01/21/pdfs/GMD-1815-9.pdf#page=7","Abrir facsímil")</f>
        <v>Abrir facsímil</v>
      </c>
      <c r="K2844" s="3" t="s">
        <v>74</v>
      </c>
    </row>
    <row r="2845" spans="1:11" ht="42" customHeight="1">
      <c r="A2845" s="2" t="s">
        <v>7072</v>
      </c>
      <c r="B2845" s="2" t="s">
        <v>7073</v>
      </c>
      <c r="C2845" s="2" t="s">
        <v>49</v>
      </c>
      <c r="D2845" s="2" t="s">
        <v>50</v>
      </c>
      <c r="E2845" s="5">
        <v>-30982</v>
      </c>
      <c r="F2845" s="3" t="s">
        <v>220</v>
      </c>
      <c r="G2845" s="3" t="s">
        <v>57</v>
      </c>
      <c r="H2845" s="2" t="s">
        <v>72</v>
      </c>
      <c r="I2845" s="2" t="s">
        <v>7074</v>
      </c>
      <c r="J2845" s="3" t="str">
        <f>HYPERLINK("https://www.boe.es/gazeta/dias/1815/03/04/pdfs/GMD-1815-27.pdf#page=5","Abrir facsímil")</f>
        <v>Abrir facsímil</v>
      </c>
      <c r="K2845" s="3" t="s">
        <v>74</v>
      </c>
    </row>
    <row r="2846" spans="1:11" ht="42" customHeight="1">
      <c r="A2846" s="2" t="s">
        <v>7075</v>
      </c>
      <c r="B2846" s="2" t="s">
        <v>7075</v>
      </c>
      <c r="C2846" s="2" t="s">
        <v>31</v>
      </c>
      <c r="D2846" s="2" t="s">
        <v>32</v>
      </c>
      <c r="E2846" s="5">
        <v>-30807</v>
      </c>
      <c r="F2846" s="3" t="s">
        <v>586</v>
      </c>
      <c r="G2846" s="3" t="s">
        <v>57</v>
      </c>
      <c r="H2846" s="2" t="s">
        <v>72</v>
      </c>
      <c r="I2846" s="2" t="s">
        <v>7076</v>
      </c>
      <c r="J2846" s="3" t="str">
        <f>HYPERLINK("https://www.boe.es/gazeta/dias/1815/08/26/pdfs/GMD-1815-105.pdf#page=5","Abrir facsímil")</f>
        <v>Abrir facsímil</v>
      </c>
      <c r="K2846" s="3" t="s">
        <v>74</v>
      </c>
    </row>
    <row r="2847" spans="1:11" ht="42" customHeight="1">
      <c r="A2847" s="2" t="s">
        <v>7077</v>
      </c>
      <c r="B2847" s="2" t="s">
        <v>7078</v>
      </c>
      <c r="C2847" s="2" t="s">
        <v>31</v>
      </c>
      <c r="D2847" s="2" t="s">
        <v>32</v>
      </c>
      <c r="E2847" s="5">
        <v>-30807</v>
      </c>
      <c r="F2847" s="3" t="s">
        <v>586</v>
      </c>
      <c r="G2847" s="3" t="s">
        <v>20</v>
      </c>
      <c r="H2847" s="2" t="s">
        <v>72</v>
      </c>
      <c r="I2847" s="2" t="s">
        <v>7079</v>
      </c>
      <c r="J2847" s="3" t="str">
        <f>HYPERLINK("https://www.boe.es/gazeta/dias/1815/08/26/pdfs/GMD-1815-105.pdf#page=4","Abrir facsímil")</f>
        <v>Abrir facsímil</v>
      </c>
      <c r="K2847" s="3" t="s">
        <v>74</v>
      </c>
    </row>
    <row r="2848" spans="1:11" ht="42" customHeight="1">
      <c r="A2848" s="2" t="s">
        <v>7077</v>
      </c>
      <c r="B2848" s="2" t="s">
        <v>7078</v>
      </c>
      <c r="C2848" s="2" t="s">
        <v>31</v>
      </c>
      <c r="D2848" s="2" t="s">
        <v>32</v>
      </c>
      <c r="E2848" s="5">
        <v>-30807</v>
      </c>
      <c r="F2848" s="3" t="s">
        <v>586</v>
      </c>
      <c r="G2848" s="3" t="s">
        <v>57</v>
      </c>
      <c r="H2848" s="2" t="s">
        <v>72</v>
      </c>
      <c r="I2848" s="2" t="s">
        <v>7080</v>
      </c>
      <c r="J2848" s="3" t="str">
        <f>HYPERLINK("https://www.boe.es/gazeta/dias/1815/08/26/pdfs/GMD-1815-105.pdf#page=5","Abrir facsímil")</f>
        <v>Abrir facsímil</v>
      </c>
      <c r="K2848" s="3" t="s">
        <v>74</v>
      </c>
    </row>
    <row r="2849" spans="1:11" ht="42" customHeight="1">
      <c r="A2849" s="2" t="s">
        <v>7077</v>
      </c>
      <c r="B2849" s="2" t="s">
        <v>7078</v>
      </c>
      <c r="C2849" s="2" t="s">
        <v>31</v>
      </c>
      <c r="D2849" s="2" t="s">
        <v>32</v>
      </c>
      <c r="E2849" s="5">
        <v>-30807</v>
      </c>
      <c r="F2849" s="3" t="s">
        <v>586</v>
      </c>
      <c r="G2849" s="3" t="s">
        <v>27</v>
      </c>
      <c r="H2849" s="2" t="s">
        <v>72</v>
      </c>
      <c r="I2849" s="2" t="s">
        <v>7081</v>
      </c>
      <c r="J2849" s="3" t="str">
        <f>HYPERLINK("https://www.boe.es/gazeta/dias/1815/08/26/pdfs/GMD-1815-105.pdf#page=6","Abrir facsímil")</f>
        <v>Abrir facsímil</v>
      </c>
      <c r="K2849" s="3" t="s">
        <v>74</v>
      </c>
    </row>
    <row r="2850" spans="1:11" ht="42" customHeight="1">
      <c r="A2850" s="2" t="s">
        <v>7082</v>
      </c>
      <c r="B2850" s="2" t="s">
        <v>7083</v>
      </c>
      <c r="C2850" s="2" t="s">
        <v>49</v>
      </c>
      <c r="D2850" s="2" t="s">
        <v>50</v>
      </c>
      <c r="E2850" s="5">
        <v>-30886</v>
      </c>
      <c r="F2850" s="3" t="s">
        <v>140</v>
      </c>
      <c r="G2850" s="3" t="s">
        <v>38</v>
      </c>
      <c r="H2850" s="2" t="s">
        <v>72</v>
      </c>
      <c r="I2850" s="2" t="s">
        <v>7084</v>
      </c>
      <c r="J2850" s="3" t="str">
        <f>HYPERLINK("https://www.boe.es/gazeta/dias/1815/06/08/pdfs/GMD-1815-69.pdf#page=8","Abrir facsímil")</f>
        <v>Abrir facsímil</v>
      </c>
      <c r="K2850" s="3" t="s">
        <v>74</v>
      </c>
    </row>
    <row r="2851" spans="1:11" ht="42" customHeight="1">
      <c r="A2851" s="2" t="s">
        <v>7085</v>
      </c>
      <c r="B2851" s="2" t="s">
        <v>7085</v>
      </c>
      <c r="C2851" s="2" t="s">
        <v>31</v>
      </c>
      <c r="D2851" s="2" t="s">
        <v>32</v>
      </c>
      <c r="E2851" s="5">
        <v>-30800</v>
      </c>
      <c r="F2851" s="3" t="s">
        <v>26</v>
      </c>
      <c r="G2851" s="3" t="s">
        <v>97</v>
      </c>
      <c r="H2851" s="2" t="s">
        <v>72</v>
      </c>
      <c r="I2851" s="2" t="s">
        <v>7086</v>
      </c>
      <c r="J2851" s="3" t="str">
        <f>HYPERLINK("https://www.boe.es/gazeta/dias/1815/09/02/pdfs/GMD-1815-109.pdf#page=3","Abrir facsímil")</f>
        <v>Abrir facsímil</v>
      </c>
      <c r="K2851" s="3" t="s">
        <v>74</v>
      </c>
    </row>
    <row r="2852" spans="1:11" ht="42" customHeight="1">
      <c r="A2852" s="2" t="s">
        <v>7087</v>
      </c>
      <c r="B2852" s="2" t="s">
        <v>7088</v>
      </c>
      <c r="C2852" s="2" t="s">
        <v>49</v>
      </c>
      <c r="D2852" s="2" t="s">
        <v>50</v>
      </c>
      <c r="E2852" s="5">
        <v>-30865</v>
      </c>
      <c r="F2852" s="3" t="s">
        <v>163</v>
      </c>
      <c r="G2852" s="3" t="s">
        <v>71</v>
      </c>
      <c r="H2852" s="2" t="s">
        <v>72</v>
      </c>
      <c r="I2852" s="2" t="s">
        <v>7089</v>
      </c>
      <c r="J2852" s="3" t="str">
        <f>HYPERLINK("https://www.boe.es/gazeta/dias/1815/06/29/pdfs/GMD-1815-78.pdf#page=7","Abrir facsímil")</f>
        <v>Abrir facsímil</v>
      </c>
      <c r="K2852" s="3" t="s">
        <v>74</v>
      </c>
    </row>
    <row r="2853" spans="1:11" ht="42" customHeight="1">
      <c r="A2853" s="2" t="s">
        <v>7090</v>
      </c>
      <c r="B2853" s="2" t="s">
        <v>7091</v>
      </c>
      <c r="C2853" s="2" t="s">
        <v>49</v>
      </c>
      <c r="D2853" s="2" t="s">
        <v>50</v>
      </c>
      <c r="E2853" s="5">
        <v>-30818</v>
      </c>
      <c r="F2853" s="3" t="s">
        <v>334</v>
      </c>
      <c r="G2853" s="3" t="s">
        <v>224</v>
      </c>
      <c r="H2853" s="2" t="s">
        <v>72</v>
      </c>
      <c r="I2853" s="2" t="s">
        <v>7092</v>
      </c>
      <c r="J2853" s="3" t="str">
        <f>HYPERLINK("https://www.boe.es/gazeta/dias/1815/08/15/pdfs/GMD-1815-100.pdf#page=9","Abrir facsímil")</f>
        <v>Abrir facsímil</v>
      </c>
      <c r="K2853" s="3" t="s">
        <v>74</v>
      </c>
    </row>
    <row r="2854" spans="1:11" ht="42" customHeight="1">
      <c r="A2854" s="2" t="s">
        <v>7093</v>
      </c>
      <c r="B2854" s="2" t="s">
        <v>7094</v>
      </c>
      <c r="C2854" s="2" t="s">
        <v>49</v>
      </c>
      <c r="D2854" s="2" t="s">
        <v>50</v>
      </c>
      <c r="E2854" s="5">
        <v>-30863</v>
      </c>
      <c r="F2854" s="3" t="s">
        <v>110</v>
      </c>
      <c r="G2854" s="3" t="s">
        <v>224</v>
      </c>
      <c r="H2854" s="2" t="s">
        <v>72</v>
      </c>
      <c r="I2854" s="2" t="s">
        <v>7095</v>
      </c>
      <c r="J2854" s="3" t="str">
        <f>HYPERLINK("https://www.boe.es/gazeta/dias/1815/07/01/pdfs/GMD-1815-79.pdf#page=9","Abrir facsímil")</f>
        <v>Abrir facsímil</v>
      </c>
      <c r="K2854" s="3" t="s">
        <v>74</v>
      </c>
    </row>
    <row r="2855" spans="1:11" ht="42" customHeight="1">
      <c r="A2855" s="2" t="s">
        <v>7096</v>
      </c>
      <c r="B2855" s="2" t="s">
        <v>7096</v>
      </c>
      <c r="C2855" s="2" t="s">
        <v>17</v>
      </c>
      <c r="D2855" s="2" t="s">
        <v>18</v>
      </c>
      <c r="E2855" s="5">
        <v>-30760</v>
      </c>
      <c r="F2855" s="3" t="s">
        <v>349</v>
      </c>
      <c r="G2855" s="3" t="s">
        <v>27</v>
      </c>
      <c r="H2855" s="2" t="s">
        <v>72</v>
      </c>
      <c r="I2855" s="2" t="s">
        <v>7097</v>
      </c>
      <c r="J2855" s="3" t="str">
        <f>HYPERLINK("https://www.boe.es/gazeta/dias/1815/10/12/pdfs/GMD-1815-128.pdf#page=6","Abrir facsímil")</f>
        <v>Abrir facsímil</v>
      </c>
      <c r="K2855" s="3" t="s">
        <v>74</v>
      </c>
    </row>
    <row r="2856" spans="1:11" ht="42" customHeight="1">
      <c r="A2856" s="2" t="s">
        <v>7098</v>
      </c>
      <c r="B2856" s="2" t="s">
        <v>7099</v>
      </c>
      <c r="C2856" s="2" t="s">
        <v>49</v>
      </c>
      <c r="D2856" s="2" t="s">
        <v>50</v>
      </c>
      <c r="E2856" s="5">
        <v>-30870</v>
      </c>
      <c r="F2856" s="3" t="s">
        <v>122</v>
      </c>
      <c r="G2856" s="3" t="s">
        <v>52</v>
      </c>
      <c r="H2856" s="2" t="s">
        <v>72</v>
      </c>
      <c r="I2856" s="2" t="s">
        <v>7100</v>
      </c>
      <c r="J2856" s="3" t="str">
        <f>HYPERLINK("https://www.boe.es/gazeta/dias/1815/06/24/pdfs/GMD-1815-76.pdf#page=11","Abrir facsímil")</f>
        <v>Abrir facsímil</v>
      </c>
      <c r="K2856" s="3" t="s">
        <v>74</v>
      </c>
    </row>
    <row r="2857" spans="1:11" ht="42" customHeight="1">
      <c r="A2857" s="2" t="s">
        <v>7101</v>
      </c>
      <c r="B2857" s="2" t="s">
        <v>7102</v>
      </c>
      <c r="C2857" s="2" t="s">
        <v>49</v>
      </c>
      <c r="D2857" s="2" t="s">
        <v>50</v>
      </c>
      <c r="E2857" s="5">
        <v>-30760</v>
      </c>
      <c r="F2857" s="3" t="s">
        <v>349</v>
      </c>
      <c r="G2857" s="3" t="s">
        <v>57</v>
      </c>
      <c r="H2857" s="2" t="s">
        <v>72</v>
      </c>
      <c r="I2857" s="2" t="s">
        <v>7103</v>
      </c>
      <c r="J2857" s="3" t="str">
        <f>HYPERLINK("https://www.boe.es/gazeta/dias/1815/10/12/pdfs/GMD-1815-128.pdf#page=5","Abrir facsímil")</f>
        <v>Abrir facsímil</v>
      </c>
      <c r="K2857" s="3" t="s">
        <v>74</v>
      </c>
    </row>
    <row r="2858" spans="1:11" ht="42" customHeight="1">
      <c r="A2858" s="2" t="s">
        <v>7104</v>
      </c>
      <c r="B2858" s="2" t="s">
        <v>7104</v>
      </c>
      <c r="C2858" s="2" t="s">
        <v>49</v>
      </c>
      <c r="D2858" s="2" t="s">
        <v>50</v>
      </c>
      <c r="E2858" s="5">
        <v>-30821</v>
      </c>
      <c r="F2858" s="3" t="s">
        <v>915</v>
      </c>
      <c r="G2858" s="3" t="s">
        <v>1304</v>
      </c>
      <c r="H2858" s="2" t="s">
        <v>72</v>
      </c>
      <c r="I2858" s="2" t="s">
        <v>7105</v>
      </c>
      <c r="J2858" s="3" t="str">
        <f>HYPERLINK("https://www.boe.es/gazeta/dias/1815/08/12/pdfs/GMD-1815-99.pdf#page=4","Abrir facsímil")</f>
        <v>Abrir facsímil</v>
      </c>
      <c r="K2858" s="3" t="s">
        <v>74</v>
      </c>
    </row>
    <row r="2859" spans="1:11" ht="42" customHeight="1">
      <c r="A2859" s="2" t="s">
        <v>7106</v>
      </c>
      <c r="B2859" s="2" t="s">
        <v>7106</v>
      </c>
      <c r="C2859" s="2" t="s">
        <v>31</v>
      </c>
      <c r="D2859" s="2" t="s">
        <v>32</v>
      </c>
      <c r="E2859" s="5">
        <v>-30849</v>
      </c>
      <c r="F2859" s="3" t="s">
        <v>501</v>
      </c>
      <c r="G2859" s="3" t="s">
        <v>88</v>
      </c>
      <c r="H2859" s="2" t="s">
        <v>72</v>
      </c>
      <c r="I2859" s="2" t="s">
        <v>7107</v>
      </c>
      <c r="J2859" s="3" t="str">
        <f>HYPERLINK("https://www.boe.es/gazeta/dias/1815/07/15/pdfs/GMD-1815-87.pdf#page=10","Abrir facsímil")</f>
        <v>Abrir facsímil</v>
      </c>
      <c r="K2859" s="3" t="s">
        <v>74</v>
      </c>
    </row>
    <row r="2860" spans="1:11" ht="42" customHeight="1">
      <c r="A2860" s="2" t="s">
        <v>7108</v>
      </c>
      <c r="B2860" s="2" t="s">
        <v>7109</v>
      </c>
      <c r="C2860" s="2" t="s">
        <v>31</v>
      </c>
      <c r="D2860" s="2" t="s">
        <v>32</v>
      </c>
      <c r="E2860" s="5">
        <v>-30891</v>
      </c>
      <c r="F2860" s="3" t="s">
        <v>498</v>
      </c>
      <c r="G2860" s="3" t="s">
        <v>27</v>
      </c>
      <c r="H2860" s="2" t="s">
        <v>21</v>
      </c>
      <c r="I2860" s="2" t="s">
        <v>7110</v>
      </c>
      <c r="J2860" s="3" t="str">
        <f>HYPERLINK("https://www.boe.es/gazeta/dias/1815/06/03/pdfs/GMD-1815-67.pdf#page=6","Abrir facsímil")</f>
        <v>Abrir facsímil</v>
      </c>
      <c r="K2860" s="3" t="s">
        <v>23</v>
      </c>
    </row>
    <row r="2861" spans="1:11" ht="42" customHeight="1">
      <c r="A2861" s="2" t="s">
        <v>7111</v>
      </c>
      <c r="B2861" s="2" t="s">
        <v>7112</v>
      </c>
      <c r="C2861" s="2" t="s">
        <v>49</v>
      </c>
      <c r="D2861" s="2" t="s">
        <v>50</v>
      </c>
      <c r="E2861" s="5">
        <v>-30916</v>
      </c>
      <c r="F2861" s="3" t="s">
        <v>147</v>
      </c>
      <c r="G2861" s="3" t="s">
        <v>38</v>
      </c>
      <c r="H2861" s="2" t="s">
        <v>72</v>
      </c>
      <c r="I2861" s="2" t="s">
        <v>7113</v>
      </c>
      <c r="J2861" s="3" t="str">
        <f>HYPERLINK("https://www.boe.es/gazeta/dias/1815/05/09/pdfs/GMD-1815-56.pdf#page=8","Abrir facsímil")</f>
        <v>Abrir facsímil</v>
      </c>
      <c r="K2861" s="3" t="s">
        <v>74</v>
      </c>
    </row>
    <row r="2862" spans="1:11" ht="42" customHeight="1">
      <c r="A2862" s="2" t="s">
        <v>7114</v>
      </c>
      <c r="B2862" s="2" t="s">
        <v>7115</v>
      </c>
      <c r="C2862" s="2" t="s">
        <v>31</v>
      </c>
      <c r="D2862" s="2" t="s">
        <v>32</v>
      </c>
      <c r="E2862" s="5">
        <v>-30998</v>
      </c>
      <c r="F2862" s="3" t="s">
        <v>539</v>
      </c>
      <c r="G2862" s="3" t="s">
        <v>6961</v>
      </c>
      <c r="H2862" s="2" t="s">
        <v>72</v>
      </c>
      <c r="I2862" s="2" t="s">
        <v>7116</v>
      </c>
      <c r="J2862" s="3" t="str">
        <f>HYPERLINK("https://www.boe.es/gazeta/dias/1815/02/16/pdfs/GMD-1815-20.pdf#page=7","Abrir facsímil")</f>
        <v>Abrir facsímil</v>
      </c>
      <c r="K2862" s="3" t="s">
        <v>74</v>
      </c>
    </row>
    <row r="2863" spans="1:11" ht="42" customHeight="1">
      <c r="A2863" s="2" t="s">
        <v>7117</v>
      </c>
      <c r="B2863" s="2" t="s">
        <v>7118</v>
      </c>
      <c r="C2863" s="2" t="s">
        <v>49</v>
      </c>
      <c r="D2863" s="2" t="s">
        <v>50</v>
      </c>
      <c r="E2863" s="5">
        <v>-30886</v>
      </c>
      <c r="F2863" s="3" t="s">
        <v>140</v>
      </c>
      <c r="G2863" s="3" t="s">
        <v>38</v>
      </c>
      <c r="H2863" s="2" t="s">
        <v>72</v>
      </c>
      <c r="I2863" s="2" t="s">
        <v>7119</v>
      </c>
      <c r="J2863" s="3" t="str">
        <f>HYPERLINK("https://www.boe.es/gazeta/dias/1815/06/08/pdfs/GMD-1815-69.pdf#page=8","Abrir facsímil")</f>
        <v>Abrir facsímil</v>
      </c>
      <c r="K2863" s="3" t="s">
        <v>74</v>
      </c>
    </row>
    <row r="2864" spans="1:11" ht="42" customHeight="1">
      <c r="A2864" s="2" t="s">
        <v>7120</v>
      </c>
      <c r="B2864" s="2" t="s">
        <v>7121</v>
      </c>
      <c r="C2864" s="2" t="s">
        <v>31</v>
      </c>
      <c r="D2864" s="2" t="s">
        <v>32</v>
      </c>
      <c r="E2864" s="5">
        <v>-30916</v>
      </c>
      <c r="F2864" s="3" t="s">
        <v>147</v>
      </c>
      <c r="G2864" s="3" t="s">
        <v>224</v>
      </c>
      <c r="H2864" s="2" t="s">
        <v>72</v>
      </c>
      <c r="I2864" s="2" t="s">
        <v>7122</v>
      </c>
      <c r="J2864" s="3" t="str">
        <f>HYPERLINK("https://www.boe.es/gazeta/dias/1815/05/09/pdfs/GMD-1815-56.pdf#page=9","Abrir facsímil")</f>
        <v>Abrir facsímil</v>
      </c>
      <c r="K2864" s="3" t="s">
        <v>74</v>
      </c>
    </row>
    <row r="2865" spans="1:11" ht="42" customHeight="1">
      <c r="A2865" s="2" t="s">
        <v>7123</v>
      </c>
      <c r="B2865" s="2" t="s">
        <v>7123</v>
      </c>
      <c r="C2865" s="2" t="s">
        <v>31</v>
      </c>
      <c r="D2865" s="2" t="s">
        <v>32</v>
      </c>
      <c r="E2865" s="5">
        <v>-30704</v>
      </c>
      <c r="F2865" s="3" t="s">
        <v>1276</v>
      </c>
      <c r="G2865" s="3" t="s">
        <v>20</v>
      </c>
      <c r="H2865" s="2" t="s">
        <v>72</v>
      </c>
      <c r="I2865" s="2" t="s">
        <v>7124</v>
      </c>
      <c r="J2865" s="3" t="str">
        <f>HYPERLINK("https://www.boe.es/gazeta/dias/1815/12/07/pdfs/GMD-1815-152.pdf#page=4","Abrir facsímil")</f>
        <v>Abrir facsímil</v>
      </c>
      <c r="K2865" s="3" t="s">
        <v>74</v>
      </c>
    </row>
    <row r="2866" spans="1:11" ht="42" customHeight="1">
      <c r="A2866" s="2" t="s">
        <v>7125</v>
      </c>
      <c r="B2866" s="2" t="s">
        <v>7126</v>
      </c>
      <c r="C2866" s="2" t="s">
        <v>17</v>
      </c>
      <c r="D2866" s="2" t="s">
        <v>18</v>
      </c>
      <c r="E2866" s="5">
        <v>-30713</v>
      </c>
      <c r="F2866" s="3" t="s">
        <v>895</v>
      </c>
      <c r="G2866" s="3" t="s">
        <v>57</v>
      </c>
      <c r="H2866" s="2" t="s">
        <v>72</v>
      </c>
      <c r="I2866" s="2" t="s">
        <v>7127</v>
      </c>
      <c r="J2866" s="3" t="str">
        <f>HYPERLINK("https://www.boe.es/gazeta/dias/1815/11/28/pdfs/GMD-1815-148.pdf#page=5","Abrir facsímil")</f>
        <v>Abrir facsímil</v>
      </c>
      <c r="K2866" s="3" t="s">
        <v>74</v>
      </c>
    </row>
    <row r="2867" spans="1:11" ht="42" customHeight="1">
      <c r="A2867" s="2" t="s">
        <v>7128</v>
      </c>
      <c r="B2867" s="2" t="s">
        <v>7129</v>
      </c>
      <c r="C2867" s="2" t="s">
        <v>17</v>
      </c>
      <c r="D2867" s="2" t="s">
        <v>18</v>
      </c>
      <c r="E2867" s="5">
        <v>-31042</v>
      </c>
      <c r="F2867" s="3" t="s">
        <v>512</v>
      </c>
      <c r="G2867" s="3" t="s">
        <v>71</v>
      </c>
      <c r="H2867" s="2" t="s">
        <v>21</v>
      </c>
      <c r="I2867" s="2" t="s">
        <v>7130</v>
      </c>
      <c r="J2867" s="3" t="str">
        <f>HYPERLINK("https://www.boe.es/gazeta/dias/1815/01/03/pdfs/GMD-1815-1.pdf#page=7","Abrir facsímil")</f>
        <v>Abrir facsímil</v>
      </c>
      <c r="K2867" s="3" t="s">
        <v>23</v>
      </c>
    </row>
    <row r="2868" spans="1:11" ht="42" customHeight="1">
      <c r="A2868" s="2" t="s">
        <v>7131</v>
      </c>
      <c r="B2868" s="2" t="s">
        <v>7132</v>
      </c>
      <c r="C2868" s="2" t="s">
        <v>17</v>
      </c>
      <c r="D2868" s="2" t="s">
        <v>18</v>
      </c>
      <c r="E2868" s="5">
        <v>-30965</v>
      </c>
      <c r="F2868" s="3" t="s">
        <v>1679</v>
      </c>
      <c r="G2868" s="3" t="s">
        <v>71</v>
      </c>
      <c r="H2868" s="2" t="s">
        <v>72</v>
      </c>
      <c r="I2868" s="2" t="s">
        <v>7133</v>
      </c>
      <c r="J2868" s="3" t="str">
        <f>HYPERLINK("https://www.boe.es/gazeta/dias/1815/03/21/pdfs/GMD-1815-34.pdf#page=7","Abrir facsímil")</f>
        <v>Abrir facsímil</v>
      </c>
      <c r="K2868" s="3" t="s">
        <v>74</v>
      </c>
    </row>
    <row r="2869" spans="1:11" ht="42" customHeight="1">
      <c r="A2869" s="2" t="s">
        <v>7134</v>
      </c>
      <c r="B2869" s="2" t="s">
        <v>7135</v>
      </c>
      <c r="C2869" s="2" t="s">
        <v>49</v>
      </c>
      <c r="D2869" s="2" t="s">
        <v>50</v>
      </c>
      <c r="E2869" s="5">
        <v>-30893</v>
      </c>
      <c r="F2869" s="3" t="s">
        <v>132</v>
      </c>
      <c r="G2869" s="3" t="s">
        <v>155</v>
      </c>
      <c r="H2869" s="2" t="s">
        <v>21</v>
      </c>
      <c r="I2869" s="2" t="s">
        <v>7136</v>
      </c>
      <c r="J2869" s="3" t="str">
        <f>HYPERLINK("https://www.boe.es/gazeta/dias/1815/06/01/pdfs/GMD-1815-66.pdf#page=6","Abrir facsímil")</f>
        <v>Abrir facsímil</v>
      </c>
      <c r="K2869" s="3" t="s">
        <v>23</v>
      </c>
    </row>
    <row r="2870" spans="1:11" ht="42" customHeight="1">
      <c r="A2870" s="2" t="s">
        <v>7137</v>
      </c>
      <c r="B2870" s="2" t="s">
        <v>7138</v>
      </c>
      <c r="C2870" s="2" t="s">
        <v>49</v>
      </c>
      <c r="D2870" s="2" t="s">
        <v>50</v>
      </c>
      <c r="E2870" s="5">
        <v>-31042</v>
      </c>
      <c r="F2870" s="3" t="s">
        <v>512</v>
      </c>
      <c r="G2870" s="3" t="s">
        <v>38</v>
      </c>
      <c r="H2870" s="2" t="s">
        <v>72</v>
      </c>
      <c r="I2870" s="2" t="s">
        <v>7139</v>
      </c>
      <c r="J2870" s="3" t="str">
        <f>HYPERLINK("https://www.boe.es/gazeta/dias/1815/01/03/pdfs/GMD-1815-1.pdf#page=8","Abrir facsímil")</f>
        <v>Abrir facsímil</v>
      </c>
      <c r="K2870" s="3" t="s">
        <v>74</v>
      </c>
    </row>
    <row r="2871" spans="1:11" ht="42" customHeight="1">
      <c r="A2871" s="2" t="s">
        <v>7140</v>
      </c>
      <c r="B2871" s="2" t="s">
        <v>7140</v>
      </c>
      <c r="C2871" s="2" t="s">
        <v>31</v>
      </c>
      <c r="D2871" s="2" t="s">
        <v>32</v>
      </c>
      <c r="E2871" s="5">
        <v>-30884</v>
      </c>
      <c r="F2871" s="3" t="s">
        <v>136</v>
      </c>
      <c r="G2871" s="3" t="s">
        <v>410</v>
      </c>
      <c r="H2871" s="2" t="s">
        <v>72</v>
      </c>
      <c r="I2871" s="2" t="s">
        <v>7141</v>
      </c>
      <c r="J2871" s="3" t="str">
        <f>HYPERLINK("https://www.boe.es/gazeta/dias/1815/06/10/pdfs/GMD-1815-70.pdf#page=1","Abrir facsímil")</f>
        <v>Abrir facsímil</v>
      </c>
      <c r="K2871" s="3" t="s">
        <v>74</v>
      </c>
    </row>
    <row r="2872" spans="1:11" ht="42" customHeight="1">
      <c r="A2872" s="2" t="s">
        <v>7142</v>
      </c>
      <c r="B2872" s="2" t="s">
        <v>7142</v>
      </c>
      <c r="C2872" s="2" t="s">
        <v>31</v>
      </c>
      <c r="D2872" s="2" t="s">
        <v>32</v>
      </c>
      <c r="E2872" s="5">
        <v>-30811</v>
      </c>
      <c r="F2872" s="3" t="s">
        <v>293</v>
      </c>
      <c r="G2872" s="3" t="s">
        <v>97</v>
      </c>
      <c r="H2872" s="2" t="s">
        <v>72</v>
      </c>
      <c r="I2872" s="2" t="s">
        <v>7143</v>
      </c>
      <c r="J2872" s="3" t="str">
        <f>HYPERLINK("https://www.boe.es/gazeta/dias/1815/08/22/pdfs/GMD-1815-103.pdf#page=3","Abrir facsímil")</f>
        <v>Abrir facsímil</v>
      </c>
      <c r="K2872" s="3" t="s">
        <v>74</v>
      </c>
    </row>
    <row r="2873" spans="1:11" ht="42" customHeight="1">
      <c r="A2873" s="2" t="s">
        <v>7144</v>
      </c>
      <c r="B2873" s="2" t="s">
        <v>7144</v>
      </c>
      <c r="C2873" s="2" t="s">
        <v>31</v>
      </c>
      <c r="D2873" s="2" t="s">
        <v>32</v>
      </c>
      <c r="E2873" s="5">
        <v>-30842</v>
      </c>
      <c r="F2873" s="3" t="s">
        <v>126</v>
      </c>
      <c r="G2873" s="3" t="s">
        <v>20</v>
      </c>
      <c r="H2873" s="2" t="s">
        <v>72</v>
      </c>
      <c r="I2873" s="2" t="s">
        <v>7145</v>
      </c>
      <c r="J2873" s="3" t="str">
        <f>HYPERLINK("https://www.boe.es/gazeta/dias/1815/07/22/pdfs/GMD-1815-90.pdf#page=4","Abrir facsímil")</f>
        <v>Abrir facsímil</v>
      </c>
      <c r="K2873" s="3" t="s">
        <v>74</v>
      </c>
    </row>
    <row r="2874" spans="1:11" ht="42" customHeight="1">
      <c r="A2874" s="2" t="s">
        <v>7146</v>
      </c>
      <c r="B2874" s="2" t="s">
        <v>7147</v>
      </c>
      <c r="C2874" s="2" t="s">
        <v>31</v>
      </c>
      <c r="D2874" s="2" t="s">
        <v>32</v>
      </c>
      <c r="E2874" s="5">
        <v>-31026</v>
      </c>
      <c r="F2874" s="3" t="s">
        <v>874</v>
      </c>
      <c r="G2874" s="3" t="s">
        <v>71</v>
      </c>
      <c r="H2874" s="2" t="s">
        <v>72</v>
      </c>
      <c r="I2874" s="2" t="s">
        <v>7148</v>
      </c>
      <c r="J2874" s="3" t="str">
        <f>HYPERLINK("https://www.boe.es/gazeta/dias/1815/01/19/pdfs/GMD-1815-8.pdf#page=7","Abrir facsímil")</f>
        <v>Abrir facsímil</v>
      </c>
      <c r="K2874" s="3" t="s">
        <v>74</v>
      </c>
    </row>
    <row r="2875" spans="1:11" ht="42" customHeight="1">
      <c r="A2875" s="2" t="s">
        <v>7149</v>
      </c>
      <c r="B2875" s="2" t="s">
        <v>7149</v>
      </c>
      <c r="C2875" s="2" t="s">
        <v>31</v>
      </c>
      <c r="D2875" s="2" t="s">
        <v>32</v>
      </c>
      <c r="E2875" s="5">
        <v>-30972</v>
      </c>
      <c r="F2875" s="3" t="s">
        <v>1382</v>
      </c>
      <c r="G2875" s="3" t="s">
        <v>97</v>
      </c>
      <c r="H2875" s="2" t="s">
        <v>72</v>
      </c>
      <c r="I2875" s="2" t="s">
        <v>7150</v>
      </c>
      <c r="J2875" s="3" t="str">
        <f>HYPERLINK("https://www.boe.es/gazeta/dias/1815/03/14/pdfs/GMD-1815-31.pdf#page=3","Abrir facsímil")</f>
        <v>Abrir facsímil</v>
      </c>
      <c r="K2875" s="3" t="s">
        <v>74</v>
      </c>
    </row>
    <row r="2876" spans="1:11" ht="42" customHeight="1">
      <c r="A2876" s="2" t="s">
        <v>7151</v>
      </c>
      <c r="B2876" s="2" t="s">
        <v>7152</v>
      </c>
      <c r="C2876" s="2" t="s">
        <v>49</v>
      </c>
      <c r="D2876" s="2" t="s">
        <v>50</v>
      </c>
      <c r="E2876" s="5">
        <v>-30886</v>
      </c>
      <c r="F2876" s="3" t="s">
        <v>140</v>
      </c>
      <c r="G2876" s="3" t="s">
        <v>38</v>
      </c>
      <c r="H2876" s="2" t="s">
        <v>72</v>
      </c>
      <c r="I2876" s="2" t="s">
        <v>7153</v>
      </c>
      <c r="J2876" s="3" t="str">
        <f>HYPERLINK("https://www.boe.es/gazeta/dias/1815/06/08/pdfs/GMD-1815-69.pdf#page=8","Abrir facsímil")</f>
        <v>Abrir facsímil</v>
      </c>
      <c r="K2876" s="3" t="s">
        <v>74</v>
      </c>
    </row>
    <row r="2877" spans="1:11" ht="42" customHeight="1">
      <c r="A2877" s="2" t="s">
        <v>7154</v>
      </c>
      <c r="B2877" s="2" t="s">
        <v>7155</v>
      </c>
      <c r="C2877" s="2" t="s">
        <v>31</v>
      </c>
      <c r="D2877" s="2" t="s">
        <v>32</v>
      </c>
      <c r="E2877" s="5">
        <v>-30982</v>
      </c>
      <c r="F2877" s="3" t="s">
        <v>220</v>
      </c>
      <c r="G2877" s="3" t="s">
        <v>57</v>
      </c>
      <c r="H2877" s="2" t="s">
        <v>72</v>
      </c>
      <c r="I2877" s="2" t="s">
        <v>7156</v>
      </c>
      <c r="J2877" s="3" t="str">
        <f>HYPERLINK("https://www.boe.es/gazeta/dias/1815/03/04/pdfs/GMD-1815-27.pdf#page=5","Abrir facsímil")</f>
        <v>Abrir facsímil</v>
      </c>
      <c r="K2877" s="3" t="s">
        <v>74</v>
      </c>
    </row>
    <row r="2878" spans="1:11" ht="42" customHeight="1">
      <c r="A2878" s="2" t="s">
        <v>7157</v>
      </c>
      <c r="B2878" s="2" t="s">
        <v>7158</v>
      </c>
      <c r="C2878" s="2" t="s">
        <v>31</v>
      </c>
      <c r="D2878" s="2" t="s">
        <v>32</v>
      </c>
      <c r="E2878" s="5">
        <v>-30944</v>
      </c>
      <c r="F2878" s="3" t="s">
        <v>412</v>
      </c>
      <c r="G2878" s="3" t="s">
        <v>27</v>
      </c>
      <c r="H2878" s="2" t="s">
        <v>72</v>
      </c>
      <c r="I2878" s="2" t="s">
        <v>7159</v>
      </c>
      <c r="J2878" s="3" t="str">
        <f>HYPERLINK("https://www.boe.es/gazeta/dias/1815/04/11/pdfs/GMD-1815-44.pdf#page=6","Abrir facsímil")</f>
        <v>Abrir facsímil</v>
      </c>
      <c r="K2878" s="3" t="s">
        <v>74</v>
      </c>
    </row>
    <row r="2879" spans="1:11" ht="42" customHeight="1">
      <c r="A2879" s="2" t="s">
        <v>7160</v>
      </c>
      <c r="B2879" s="2" t="s">
        <v>7161</v>
      </c>
      <c r="C2879" s="2" t="s">
        <v>31</v>
      </c>
      <c r="D2879" s="2" t="s">
        <v>32</v>
      </c>
      <c r="E2879" s="5">
        <v>-30982</v>
      </c>
      <c r="F2879" s="3" t="s">
        <v>220</v>
      </c>
      <c r="G2879" s="3" t="s">
        <v>57</v>
      </c>
      <c r="H2879" s="2" t="s">
        <v>72</v>
      </c>
      <c r="I2879" s="2" t="s">
        <v>7162</v>
      </c>
      <c r="J2879" s="3" t="str">
        <f>HYPERLINK("https://www.boe.es/gazeta/dias/1815/03/04/pdfs/GMD-1815-27.pdf#page=5","Abrir facsímil")</f>
        <v>Abrir facsímil</v>
      </c>
      <c r="K2879" s="3" t="s">
        <v>74</v>
      </c>
    </row>
    <row r="2880" spans="1:11" ht="42" customHeight="1">
      <c r="A2880" s="2" t="s">
        <v>7163</v>
      </c>
      <c r="B2880" s="2" t="s">
        <v>7164</v>
      </c>
      <c r="C2880" s="2" t="s">
        <v>49</v>
      </c>
      <c r="D2880" s="2" t="s">
        <v>50</v>
      </c>
      <c r="E2880" s="5">
        <v>-30865</v>
      </c>
      <c r="F2880" s="3" t="s">
        <v>163</v>
      </c>
      <c r="G2880" s="3" t="s">
        <v>71</v>
      </c>
      <c r="H2880" s="2" t="s">
        <v>72</v>
      </c>
      <c r="I2880" s="2" t="s">
        <v>7165</v>
      </c>
      <c r="J2880" s="3" t="str">
        <f>HYPERLINK("https://www.boe.es/gazeta/dias/1815/06/29/pdfs/GMD-1815-78.pdf#page=7","Abrir facsímil")</f>
        <v>Abrir facsímil</v>
      </c>
      <c r="K2880" s="3" t="s">
        <v>74</v>
      </c>
    </row>
    <row r="2881" spans="1:11" ht="42" customHeight="1">
      <c r="A2881" s="2" t="s">
        <v>7166</v>
      </c>
      <c r="B2881" s="2" t="s">
        <v>7167</v>
      </c>
      <c r="C2881" s="2" t="s">
        <v>49</v>
      </c>
      <c r="D2881" s="2" t="s">
        <v>50</v>
      </c>
      <c r="E2881" s="5">
        <v>-30937</v>
      </c>
      <c r="F2881" s="3" t="s">
        <v>322</v>
      </c>
      <c r="G2881" s="3" t="s">
        <v>3521</v>
      </c>
      <c r="H2881" s="2" t="s">
        <v>72</v>
      </c>
      <c r="I2881" s="2" t="s">
        <v>7168</v>
      </c>
      <c r="J2881" s="3" t="str">
        <f>HYPERLINK("https://www.boe.es/gazeta/dias/1815/04/18/pdfs/GMD-1815-47.pdf#page=8","Abrir facsímil")</f>
        <v>Abrir facsímil</v>
      </c>
      <c r="K2881" s="3" t="s">
        <v>74</v>
      </c>
    </row>
    <row r="2882" spans="1:11" ht="42" customHeight="1">
      <c r="A2882" s="2" t="s">
        <v>7169</v>
      </c>
      <c r="B2882" s="2" t="s">
        <v>7170</v>
      </c>
      <c r="C2882" s="2" t="s">
        <v>31</v>
      </c>
      <c r="D2882" s="2" t="s">
        <v>32</v>
      </c>
      <c r="E2882" s="5">
        <v>-30732</v>
      </c>
      <c r="F2882" s="3" t="s">
        <v>554</v>
      </c>
      <c r="G2882" s="3" t="s">
        <v>27</v>
      </c>
      <c r="H2882" s="2" t="s">
        <v>72</v>
      </c>
      <c r="I2882" s="2" t="s">
        <v>7171</v>
      </c>
      <c r="J2882" s="3" t="str">
        <f>HYPERLINK("https://www.boe.es/gazeta/dias/1815/11/09/pdfs/GMD-1815-140.pdf#page=6","Abrir facsímil")</f>
        <v>Abrir facsímil</v>
      </c>
      <c r="K2882" s="3" t="s">
        <v>74</v>
      </c>
    </row>
    <row r="2883" spans="1:11" ht="42" customHeight="1">
      <c r="A2883" s="2" t="s">
        <v>7172</v>
      </c>
      <c r="B2883" s="2" t="s">
        <v>7172</v>
      </c>
      <c r="C2883" s="2" t="s">
        <v>31</v>
      </c>
      <c r="D2883" s="2" t="s">
        <v>32</v>
      </c>
      <c r="E2883" s="5">
        <v>-30823</v>
      </c>
      <c r="F2883" s="3" t="s">
        <v>305</v>
      </c>
      <c r="G2883" s="3" t="s">
        <v>410</v>
      </c>
      <c r="H2883" s="2" t="s">
        <v>72</v>
      </c>
      <c r="I2883" s="2" t="s">
        <v>7173</v>
      </c>
      <c r="J2883" s="3" t="str">
        <f>HYPERLINK("https://www.boe.es/gazeta/dias/1815/08/10/pdfs/GMD-1815-98.pdf#page=1","Abrir facsímil")</f>
        <v>Abrir facsímil</v>
      </c>
      <c r="K2883" s="3" t="s">
        <v>74</v>
      </c>
    </row>
    <row r="2884" spans="1:11" ht="42" customHeight="1">
      <c r="A2884" s="2" t="s">
        <v>7174</v>
      </c>
      <c r="B2884" s="2" t="s">
        <v>7174</v>
      </c>
      <c r="C2884" s="2" t="s">
        <v>31</v>
      </c>
      <c r="D2884" s="2" t="s">
        <v>32</v>
      </c>
      <c r="E2884" s="5">
        <v>-30867</v>
      </c>
      <c r="F2884" s="3" t="s">
        <v>3179</v>
      </c>
      <c r="G2884" s="3" t="s">
        <v>20</v>
      </c>
      <c r="H2884" s="2" t="s">
        <v>72</v>
      </c>
      <c r="I2884" s="2" t="s">
        <v>7175</v>
      </c>
      <c r="J2884" s="3" t="str">
        <f>HYPERLINK("https://www.boe.es/gazeta/dias/1815/06/27/pdfs/GMD-1815-77.pdf#page=4","Abrir facsímil")</f>
        <v>Abrir facsímil</v>
      </c>
      <c r="K2884" s="3" t="s">
        <v>74</v>
      </c>
    </row>
    <row r="2885" spans="1:11" ht="42" customHeight="1">
      <c r="A2885" s="2" t="s">
        <v>7174</v>
      </c>
      <c r="B2885" s="2" t="s">
        <v>7174</v>
      </c>
      <c r="C2885" s="2" t="s">
        <v>31</v>
      </c>
      <c r="D2885" s="2" t="s">
        <v>32</v>
      </c>
      <c r="E2885" s="5">
        <v>-30818</v>
      </c>
      <c r="F2885" s="3" t="s">
        <v>334</v>
      </c>
      <c r="G2885" s="3" t="s">
        <v>4553</v>
      </c>
      <c r="H2885" s="2" t="s">
        <v>72</v>
      </c>
      <c r="I2885" s="2" t="s">
        <v>7176</v>
      </c>
      <c r="J2885" s="3" t="str">
        <f>HYPERLINK("https://www.boe.es/gazeta/dias/1815/08/15/pdfs/GMD-1815-100.pdf#page=2","Abrir facsímil")</f>
        <v>Abrir facsímil</v>
      </c>
      <c r="K2885" s="3" t="s">
        <v>74</v>
      </c>
    </row>
    <row r="2886" spans="1:11" ht="42" customHeight="1">
      <c r="A2886" s="2" t="s">
        <v>7174</v>
      </c>
      <c r="B2886" s="2" t="s">
        <v>7174</v>
      </c>
      <c r="C2886" s="2" t="s">
        <v>31</v>
      </c>
      <c r="D2886" s="2" t="s">
        <v>32</v>
      </c>
      <c r="E2886" s="5">
        <v>-30755</v>
      </c>
      <c r="F2886" s="3" t="s">
        <v>598</v>
      </c>
      <c r="G2886" s="3" t="s">
        <v>97</v>
      </c>
      <c r="H2886" s="2" t="s">
        <v>72</v>
      </c>
      <c r="I2886" s="2" t="s">
        <v>7177</v>
      </c>
      <c r="J2886" s="3" t="str">
        <f>HYPERLINK("https://www.boe.es/gazeta/dias/1815/10/17/pdfs/GMD-1815-130.pdf#page=3","Abrir facsímil")</f>
        <v>Abrir facsímil</v>
      </c>
      <c r="K2886" s="3" t="s">
        <v>74</v>
      </c>
    </row>
    <row r="2887" spans="1:11" ht="42" customHeight="1">
      <c r="A2887" s="2" t="s">
        <v>7178</v>
      </c>
      <c r="B2887" s="2" t="s">
        <v>7179</v>
      </c>
      <c r="C2887" s="2" t="s">
        <v>31</v>
      </c>
      <c r="D2887" s="2" t="s">
        <v>32</v>
      </c>
      <c r="E2887" s="5">
        <v>-31042</v>
      </c>
      <c r="F2887" s="3" t="s">
        <v>512</v>
      </c>
      <c r="G2887" s="3" t="s">
        <v>1689</v>
      </c>
      <c r="H2887" s="2" t="s">
        <v>72</v>
      </c>
      <c r="I2887" s="2" t="s">
        <v>7180</v>
      </c>
      <c r="J2887" s="3" t="str">
        <f>HYPERLINK("https://www.boe.es/gazeta/dias/1815/01/03/pdfs/GMD-1815-1.pdf#page=6","Abrir facsímil")</f>
        <v>Abrir facsímil</v>
      </c>
      <c r="K2887" s="3" t="s">
        <v>74</v>
      </c>
    </row>
    <row r="2888" spans="1:11" ht="42" customHeight="1">
      <c r="A2888" s="2" t="s">
        <v>7181</v>
      </c>
      <c r="B2888" s="2" t="s">
        <v>7181</v>
      </c>
      <c r="C2888" s="2" t="s">
        <v>31</v>
      </c>
      <c r="D2888" s="2" t="s">
        <v>32</v>
      </c>
      <c r="E2888" s="5">
        <v>-30725</v>
      </c>
      <c r="F2888" s="3" t="s">
        <v>1535</v>
      </c>
      <c r="G2888" s="3" t="s">
        <v>7182</v>
      </c>
      <c r="H2888" s="2" t="s">
        <v>72</v>
      </c>
      <c r="I2888" s="2" t="s">
        <v>7183</v>
      </c>
      <c r="J2888" s="3" t="str">
        <f>HYPERLINK("https://www.boe.es/gazeta/dias/1815/11/16/pdfs/GMD-1815-143.pdf#page=6","Abrir facsímil")</f>
        <v>Abrir facsímil</v>
      </c>
      <c r="K2888" s="3" t="s">
        <v>74</v>
      </c>
    </row>
    <row r="2889" spans="1:11" ht="42" customHeight="1">
      <c r="A2889" s="2" t="s">
        <v>7184</v>
      </c>
      <c r="B2889" s="2" t="s">
        <v>7185</v>
      </c>
      <c r="C2889" s="2" t="s">
        <v>81</v>
      </c>
      <c r="D2889" s="2" t="s">
        <v>50</v>
      </c>
      <c r="E2889" s="5">
        <v>-30884</v>
      </c>
      <c r="F2889" s="3" t="s">
        <v>136</v>
      </c>
      <c r="G2889" s="3" t="s">
        <v>57</v>
      </c>
      <c r="H2889" s="2" t="s">
        <v>72</v>
      </c>
      <c r="I2889" s="2" t="s">
        <v>7186</v>
      </c>
      <c r="J2889" s="3" t="str">
        <f>HYPERLINK("https://www.boe.es/gazeta/dias/1815/06/10/pdfs/GMD-1815-70.pdf#page=5","Abrir facsímil")</f>
        <v>Abrir facsímil</v>
      </c>
      <c r="K2889" s="3" t="s">
        <v>74</v>
      </c>
    </row>
    <row r="2890" spans="1:11" ht="42" customHeight="1">
      <c r="A2890" s="2" t="s">
        <v>7187</v>
      </c>
      <c r="B2890" s="2" t="s">
        <v>7188</v>
      </c>
      <c r="C2890" s="2" t="s">
        <v>61</v>
      </c>
      <c r="D2890" s="2" t="s">
        <v>50</v>
      </c>
      <c r="E2890" s="5">
        <v>-31033</v>
      </c>
      <c r="F2890" s="3" t="s">
        <v>493</v>
      </c>
      <c r="G2890" s="3" t="s">
        <v>38</v>
      </c>
      <c r="H2890" s="2" t="s">
        <v>72</v>
      </c>
      <c r="I2890" s="2" t="s">
        <v>7189</v>
      </c>
      <c r="J2890" s="3" t="str">
        <f>HYPERLINK("https://www.boe.es/gazeta/dias/1815/01/12/pdfs/GMD-1815-5.pdf#page=8","Abrir facsímil")</f>
        <v>Abrir facsímil</v>
      </c>
      <c r="K2890" s="3" t="s">
        <v>74</v>
      </c>
    </row>
    <row r="2891" spans="1:11" ht="42" customHeight="1">
      <c r="A2891" s="2" t="s">
        <v>7190</v>
      </c>
      <c r="B2891" s="2" t="s">
        <v>7190</v>
      </c>
      <c r="C2891" s="2" t="s">
        <v>31</v>
      </c>
      <c r="D2891" s="2" t="s">
        <v>32</v>
      </c>
      <c r="E2891" s="5">
        <v>-30905</v>
      </c>
      <c r="F2891" s="3" t="s">
        <v>901</v>
      </c>
      <c r="G2891" s="3" t="s">
        <v>97</v>
      </c>
      <c r="H2891" s="2" t="s">
        <v>72</v>
      </c>
      <c r="I2891" s="2" t="s">
        <v>7191</v>
      </c>
      <c r="J2891" s="3" t="str">
        <f>HYPERLINK("https://www.boe.es/gazeta/dias/1815/05/20/pdfs/GMD-1815-61.pdf#page=3","Abrir facsímil")</f>
        <v>Abrir facsímil</v>
      </c>
      <c r="K2891" s="3" t="s">
        <v>74</v>
      </c>
    </row>
    <row r="2892" spans="1:11" ht="42" customHeight="1">
      <c r="A2892" s="2" t="s">
        <v>7192</v>
      </c>
      <c r="B2892" s="2" t="s">
        <v>7193</v>
      </c>
      <c r="C2892" s="2" t="s">
        <v>195</v>
      </c>
      <c r="D2892" s="2" t="s">
        <v>50</v>
      </c>
      <c r="E2892" s="5">
        <v>-30977</v>
      </c>
      <c r="F2892" s="3" t="s">
        <v>37</v>
      </c>
      <c r="G2892" s="3" t="s">
        <v>38</v>
      </c>
      <c r="H2892" s="2" t="s">
        <v>72</v>
      </c>
      <c r="I2892" s="2" t="s">
        <v>7194</v>
      </c>
      <c r="J2892" s="3" t="str">
        <f>HYPERLINK("https://www.boe.es/gazeta/dias/1815/03/09/pdfs/GMD-1815-29.pdf#page=8","Abrir facsímil")</f>
        <v>Abrir facsímil</v>
      </c>
      <c r="K2892" s="3" t="s">
        <v>74</v>
      </c>
    </row>
    <row r="2893" spans="1:11" ht="42" customHeight="1">
      <c r="A2893" s="2" t="s">
        <v>7195</v>
      </c>
      <c r="B2893" s="2" t="s">
        <v>7196</v>
      </c>
      <c r="C2893" s="2" t="s">
        <v>195</v>
      </c>
      <c r="D2893" s="2" t="s">
        <v>50</v>
      </c>
      <c r="E2893" s="5">
        <v>-30940</v>
      </c>
      <c r="F2893" s="3" t="s">
        <v>610</v>
      </c>
      <c r="G2893" s="3" t="s">
        <v>71</v>
      </c>
      <c r="H2893" s="2" t="s">
        <v>72</v>
      </c>
      <c r="I2893" s="2" t="s">
        <v>7197</v>
      </c>
      <c r="J2893" s="3" t="str">
        <f>HYPERLINK("https://www.boe.es/gazeta/dias/1815/04/15/pdfs/GMD-1815-46.pdf#page=7","Abrir facsímil")</f>
        <v>Abrir facsímil</v>
      </c>
      <c r="K2893" s="3" t="s">
        <v>74</v>
      </c>
    </row>
    <row r="2894" spans="1:11" ht="42" customHeight="1">
      <c r="A2894" s="2" t="s">
        <v>7198</v>
      </c>
      <c r="B2894" s="2" t="s">
        <v>7199</v>
      </c>
      <c r="C2894" s="2" t="s">
        <v>31</v>
      </c>
      <c r="D2894" s="2" t="s">
        <v>32</v>
      </c>
      <c r="E2894" s="5">
        <v>-30842</v>
      </c>
      <c r="F2894" s="3" t="s">
        <v>126</v>
      </c>
      <c r="G2894" s="3" t="s">
        <v>38</v>
      </c>
      <c r="H2894" s="2" t="s">
        <v>72</v>
      </c>
      <c r="I2894" s="2" t="s">
        <v>7200</v>
      </c>
      <c r="J2894" s="3" t="str">
        <f>HYPERLINK("https://www.boe.es/gazeta/dias/1815/07/22/pdfs/GMD-1815-90.pdf#page=8","Abrir facsímil")</f>
        <v>Abrir facsímil</v>
      </c>
      <c r="K2894" s="3" t="s">
        <v>74</v>
      </c>
    </row>
    <row r="2895" spans="1:11" ht="42" customHeight="1">
      <c r="A2895" s="2" t="s">
        <v>7201</v>
      </c>
      <c r="B2895" s="2" t="s">
        <v>7202</v>
      </c>
      <c r="C2895" s="2" t="s">
        <v>61</v>
      </c>
      <c r="D2895" s="2" t="s">
        <v>50</v>
      </c>
      <c r="E2895" s="5">
        <v>-30905</v>
      </c>
      <c r="F2895" s="3" t="s">
        <v>901</v>
      </c>
      <c r="G2895" s="3" t="s">
        <v>902</v>
      </c>
      <c r="H2895" s="2" t="s">
        <v>72</v>
      </c>
      <c r="I2895" s="2" t="s">
        <v>7203</v>
      </c>
      <c r="J2895" s="3" t="str">
        <f>HYPERLINK("https://www.boe.es/gazeta/dias/1815/05/20/pdfs/GMD-1815-61.pdf#page=8","Abrir facsímil")</f>
        <v>Abrir facsímil</v>
      </c>
      <c r="K2895" s="3" t="s">
        <v>74</v>
      </c>
    </row>
    <row r="2896" spans="1:11" ht="42" customHeight="1">
      <c r="A2896" s="2" t="s">
        <v>7204</v>
      </c>
      <c r="B2896" s="2" t="s">
        <v>7204</v>
      </c>
      <c r="C2896" s="2" t="s">
        <v>17</v>
      </c>
      <c r="D2896" s="2" t="s">
        <v>18</v>
      </c>
      <c r="E2896" s="5">
        <v>-31000</v>
      </c>
      <c r="F2896" s="3" t="s">
        <v>70</v>
      </c>
      <c r="G2896" s="3" t="s">
        <v>38</v>
      </c>
      <c r="H2896" s="2" t="s">
        <v>72</v>
      </c>
      <c r="I2896" s="2" t="s">
        <v>7205</v>
      </c>
      <c r="J2896" s="3" t="str">
        <f>HYPERLINK("https://www.boe.es/gazeta/dias/1815/02/14/pdfs/GMD-1815-19.pdf#page=8","Abrir facsímil")</f>
        <v>Abrir facsímil</v>
      </c>
      <c r="K2896" s="3" t="s">
        <v>74</v>
      </c>
    </row>
    <row r="2897" spans="1:11" ht="42" customHeight="1">
      <c r="A2897" s="2" t="s">
        <v>7204</v>
      </c>
      <c r="B2897" s="2" t="s">
        <v>7204</v>
      </c>
      <c r="C2897" s="2" t="s">
        <v>131</v>
      </c>
      <c r="D2897" s="2" t="s">
        <v>50</v>
      </c>
      <c r="E2897" s="5">
        <v>-30893</v>
      </c>
      <c r="F2897" s="3" t="s">
        <v>132</v>
      </c>
      <c r="G2897" s="3" t="s">
        <v>71</v>
      </c>
      <c r="H2897" s="2" t="s">
        <v>72</v>
      </c>
      <c r="I2897" s="2" t="s">
        <v>7206</v>
      </c>
      <c r="J2897" s="3" t="str">
        <f>HYPERLINK("https://www.boe.es/gazeta/dias/1815/06/01/pdfs/GMD-1815-66.pdf#page=7","Abrir facsímil")</f>
        <v>Abrir facsímil</v>
      </c>
      <c r="K2897" s="3" t="s">
        <v>74</v>
      </c>
    </row>
    <row r="2898" spans="1:11" ht="42" customHeight="1">
      <c r="A2898" s="2" t="s">
        <v>7207</v>
      </c>
      <c r="B2898" s="2" t="s">
        <v>7208</v>
      </c>
      <c r="C2898" s="2" t="s">
        <v>17</v>
      </c>
      <c r="D2898" s="2" t="s">
        <v>18</v>
      </c>
      <c r="E2898" s="5">
        <v>-30991</v>
      </c>
      <c r="F2898" s="3" t="s">
        <v>318</v>
      </c>
      <c r="G2898" s="3" t="s">
        <v>4115</v>
      </c>
      <c r="H2898" s="2" t="s">
        <v>72</v>
      </c>
      <c r="I2898" s="2" t="s">
        <v>7209</v>
      </c>
      <c r="J2898" s="3" t="str">
        <f>HYPERLINK("https://www.boe.es/gazeta/dias/1815/02/23/pdfs/GMD-1815-23.pdf#page=7","Abrir facsímil")</f>
        <v>Abrir facsímil</v>
      </c>
      <c r="K2898" s="3" t="s">
        <v>74</v>
      </c>
    </row>
    <row r="2899" spans="1:11" ht="42" customHeight="1">
      <c r="A2899" s="2" t="s">
        <v>7207</v>
      </c>
      <c r="B2899" s="2" t="s">
        <v>7208</v>
      </c>
      <c r="C2899" s="2" t="s">
        <v>49</v>
      </c>
      <c r="D2899" s="2" t="s">
        <v>50</v>
      </c>
      <c r="E2899" s="5">
        <v>-30893</v>
      </c>
      <c r="F2899" s="3" t="s">
        <v>132</v>
      </c>
      <c r="G2899" s="3" t="s">
        <v>71</v>
      </c>
      <c r="H2899" s="2" t="s">
        <v>72</v>
      </c>
      <c r="I2899" s="2" t="s">
        <v>7210</v>
      </c>
      <c r="J2899" s="3" t="str">
        <f>HYPERLINK("https://www.boe.es/gazeta/dias/1815/06/01/pdfs/GMD-1815-66.pdf#page=7","Abrir facsímil")</f>
        <v>Abrir facsímil</v>
      </c>
      <c r="K2899" s="3" t="s">
        <v>74</v>
      </c>
    </row>
    <row r="2900" spans="1:11" ht="42" customHeight="1">
      <c r="A2900" s="2" t="s">
        <v>7207</v>
      </c>
      <c r="B2900" s="2" t="s">
        <v>7208</v>
      </c>
      <c r="C2900" s="2" t="s">
        <v>17</v>
      </c>
      <c r="D2900" s="2" t="s">
        <v>179</v>
      </c>
      <c r="E2900" s="5">
        <v>-30801</v>
      </c>
      <c r="F2900" s="3" t="s">
        <v>4575</v>
      </c>
      <c r="G2900" s="3" t="s">
        <v>410</v>
      </c>
      <c r="H2900" s="2" t="s">
        <v>72</v>
      </c>
      <c r="I2900" s="2" t="s">
        <v>7211</v>
      </c>
      <c r="J2900" s="3" t="str">
        <f>HYPERLINK("https://www.boe.es/gazeta/dias/1815/09/01/pdfs/GMD-1815-108E.pdf#page=1","Abrir facsímil")</f>
        <v>Abrir facsímil</v>
      </c>
      <c r="K2900" s="3" t="s">
        <v>74</v>
      </c>
    </row>
    <row r="2901" spans="1:11" ht="42" customHeight="1">
      <c r="A2901" s="2" t="s">
        <v>7207</v>
      </c>
      <c r="B2901" s="2" t="s">
        <v>7208</v>
      </c>
      <c r="C2901" s="2" t="s">
        <v>17</v>
      </c>
      <c r="D2901" s="2" t="s">
        <v>18</v>
      </c>
      <c r="E2901" s="5">
        <v>-30781</v>
      </c>
      <c r="F2901" s="3" t="s">
        <v>685</v>
      </c>
      <c r="G2901" s="3" t="s">
        <v>3332</v>
      </c>
      <c r="H2901" s="2" t="s">
        <v>72</v>
      </c>
      <c r="I2901" s="2" t="s">
        <v>7212</v>
      </c>
      <c r="J2901" s="3" t="str">
        <f>HYPERLINK("https://www.boe.es/gazeta/dias/1815/09/21/pdfs/GMD-1815-117.pdf#page=4","Abrir facsímil")</f>
        <v>Abrir facsímil</v>
      </c>
      <c r="K2901" s="3" t="s">
        <v>74</v>
      </c>
    </row>
    <row r="2902" spans="1:11" ht="42" customHeight="1">
      <c r="A2902" s="2" t="s">
        <v>7213</v>
      </c>
      <c r="B2902" s="2" t="s">
        <v>7214</v>
      </c>
      <c r="C2902" s="2" t="s">
        <v>31</v>
      </c>
      <c r="D2902" s="2" t="s">
        <v>32</v>
      </c>
      <c r="E2902" s="5">
        <v>-30982</v>
      </c>
      <c r="F2902" s="3" t="s">
        <v>220</v>
      </c>
      <c r="G2902" s="3" t="s">
        <v>20</v>
      </c>
      <c r="H2902" s="2" t="s">
        <v>72</v>
      </c>
      <c r="I2902" s="2" t="s">
        <v>7215</v>
      </c>
      <c r="J2902" s="3" t="str">
        <f>HYPERLINK("https://www.boe.es/gazeta/dias/1815/03/04/pdfs/GMD-1815-27.pdf#page=4","Abrir facsímil")</f>
        <v>Abrir facsímil</v>
      </c>
      <c r="K2902" s="3" t="s">
        <v>74</v>
      </c>
    </row>
    <row r="2903" spans="1:11" ht="42" customHeight="1">
      <c r="A2903" s="2" t="s">
        <v>7216</v>
      </c>
      <c r="B2903" s="2" t="s">
        <v>7217</v>
      </c>
      <c r="C2903" s="2" t="s">
        <v>31</v>
      </c>
      <c r="D2903" s="2" t="s">
        <v>32</v>
      </c>
      <c r="E2903" s="5">
        <v>-30786</v>
      </c>
      <c r="F2903" s="3" t="s">
        <v>558</v>
      </c>
      <c r="G2903" s="3" t="s">
        <v>38</v>
      </c>
      <c r="H2903" s="2" t="s">
        <v>72</v>
      </c>
      <c r="I2903" s="2" t="s">
        <v>7218</v>
      </c>
      <c r="J2903" s="3" t="str">
        <f>HYPERLINK("https://www.boe.es/gazeta/dias/1815/09/16/pdfs/GMD-1815-115.pdf#page=8","Abrir facsímil")</f>
        <v>Abrir facsímil</v>
      </c>
      <c r="K2903" s="3" t="s">
        <v>74</v>
      </c>
    </row>
    <row r="2904" spans="1:11" ht="42" customHeight="1">
      <c r="A2904" s="2" t="s">
        <v>7219</v>
      </c>
      <c r="B2904" s="2" t="s">
        <v>7220</v>
      </c>
      <c r="C2904" s="2" t="s">
        <v>31</v>
      </c>
      <c r="D2904" s="2" t="s">
        <v>32</v>
      </c>
      <c r="E2904" s="5">
        <v>-30786</v>
      </c>
      <c r="F2904" s="3" t="s">
        <v>558</v>
      </c>
      <c r="G2904" s="3" t="s">
        <v>38</v>
      </c>
      <c r="H2904" s="2" t="s">
        <v>72</v>
      </c>
      <c r="I2904" s="2" t="s">
        <v>7221</v>
      </c>
      <c r="J2904" s="3" t="str">
        <f>HYPERLINK("https://www.boe.es/gazeta/dias/1815/09/16/pdfs/GMD-1815-115.pdf#page=8","Abrir facsímil")</f>
        <v>Abrir facsímil</v>
      </c>
      <c r="K2904" s="3" t="s">
        <v>74</v>
      </c>
    </row>
    <row r="2905" spans="1:11" ht="42" customHeight="1">
      <c r="A2905" s="2" t="s">
        <v>7222</v>
      </c>
      <c r="B2905" s="2" t="s">
        <v>7223</v>
      </c>
      <c r="C2905" s="2" t="s">
        <v>195</v>
      </c>
      <c r="D2905" s="2" t="s">
        <v>50</v>
      </c>
      <c r="E2905" s="5">
        <v>-31000</v>
      </c>
      <c r="F2905" s="3" t="s">
        <v>70</v>
      </c>
      <c r="G2905" s="3" t="s">
        <v>71</v>
      </c>
      <c r="H2905" s="2" t="s">
        <v>72</v>
      </c>
      <c r="I2905" s="2" t="s">
        <v>7224</v>
      </c>
      <c r="J2905" s="3" t="str">
        <f>HYPERLINK("https://www.boe.es/gazeta/dias/1815/02/14/pdfs/GMD-1815-19.pdf#page=7","Abrir facsímil")</f>
        <v>Abrir facsímil</v>
      </c>
      <c r="K2905" s="3" t="s">
        <v>74</v>
      </c>
    </row>
    <row r="2906" spans="1:11" ht="42" customHeight="1">
      <c r="A2906" s="2" t="s">
        <v>7225</v>
      </c>
      <c r="B2906" s="2" t="s">
        <v>7226</v>
      </c>
      <c r="C2906" s="2" t="s">
        <v>49</v>
      </c>
      <c r="D2906" s="2" t="s">
        <v>50</v>
      </c>
      <c r="E2906" s="5">
        <v>-30865</v>
      </c>
      <c r="F2906" s="3" t="s">
        <v>163</v>
      </c>
      <c r="G2906" s="3" t="s">
        <v>71</v>
      </c>
      <c r="H2906" s="2" t="s">
        <v>72</v>
      </c>
      <c r="I2906" s="2" t="s">
        <v>7227</v>
      </c>
      <c r="J2906" s="3" t="str">
        <f>HYPERLINK("https://www.boe.es/gazeta/dias/1815/06/29/pdfs/GMD-1815-78.pdf#page=7","Abrir facsímil")</f>
        <v>Abrir facsímil</v>
      </c>
      <c r="K2906" s="3" t="s">
        <v>74</v>
      </c>
    </row>
    <row r="2907" spans="1:11" ht="42" customHeight="1">
      <c r="A2907" s="2" t="s">
        <v>7228</v>
      </c>
      <c r="B2907" s="2" t="s">
        <v>7229</v>
      </c>
      <c r="C2907" s="2" t="s">
        <v>31</v>
      </c>
      <c r="D2907" s="2" t="s">
        <v>32</v>
      </c>
      <c r="E2907" s="5">
        <v>-30979</v>
      </c>
      <c r="F2907" s="3" t="s">
        <v>56</v>
      </c>
      <c r="G2907" s="3" t="s">
        <v>27</v>
      </c>
      <c r="H2907" s="2" t="s">
        <v>72</v>
      </c>
      <c r="I2907" s="2" t="s">
        <v>7230</v>
      </c>
      <c r="J2907" s="3" t="str">
        <f>HYPERLINK("https://www.boe.es/gazeta/dias/1815/03/07/pdfs/GMD-1815-28.pdf#page=6","Abrir facsímil")</f>
        <v>Abrir facsímil</v>
      </c>
      <c r="K2907" s="3" t="s">
        <v>74</v>
      </c>
    </row>
    <row r="2908" spans="1:11" ht="42" customHeight="1">
      <c r="A2908" s="2" t="s">
        <v>7231</v>
      </c>
      <c r="B2908" s="2" t="s">
        <v>7232</v>
      </c>
      <c r="C2908" s="2" t="s">
        <v>17</v>
      </c>
      <c r="D2908" s="2" t="s">
        <v>18</v>
      </c>
      <c r="E2908" s="5">
        <v>-30874</v>
      </c>
      <c r="F2908" s="3" t="s">
        <v>208</v>
      </c>
      <c r="G2908" s="3" t="s">
        <v>52</v>
      </c>
      <c r="H2908" s="2" t="s">
        <v>72</v>
      </c>
      <c r="I2908" s="2" t="s">
        <v>7233</v>
      </c>
      <c r="J2908" s="3" t="str">
        <f>HYPERLINK("https://www.boe.es/gazeta/dias/1815/06/20/pdfs/GMD-1815-74.pdf#page=11","Abrir facsímil")</f>
        <v>Abrir facsímil</v>
      </c>
      <c r="K2908" s="3" t="s">
        <v>74</v>
      </c>
    </row>
    <row r="2909" spans="1:11" ht="42" customHeight="1">
      <c r="A2909" s="2" t="s">
        <v>7234</v>
      </c>
      <c r="B2909" s="2" t="s">
        <v>7235</v>
      </c>
      <c r="C2909" s="2" t="s">
        <v>31</v>
      </c>
      <c r="D2909" s="2" t="s">
        <v>32</v>
      </c>
      <c r="E2909" s="5">
        <v>-31007</v>
      </c>
      <c r="F2909" s="3" t="s">
        <v>200</v>
      </c>
      <c r="G2909" s="3" t="s">
        <v>52</v>
      </c>
      <c r="H2909" s="2" t="s">
        <v>72</v>
      </c>
      <c r="I2909" s="2" t="s">
        <v>7236</v>
      </c>
      <c r="J2909" s="3" t="str">
        <f>HYPERLINK("https://www.boe.es/gazeta/dias/1815/02/07/pdfs/GMD-1815-16.pdf#page=11","Abrir facsímil")</f>
        <v>Abrir facsímil</v>
      </c>
      <c r="K2909" s="3" t="s">
        <v>74</v>
      </c>
    </row>
    <row r="2910" spans="1:11" ht="42" customHeight="1">
      <c r="A2910" s="2" t="s">
        <v>7237</v>
      </c>
      <c r="B2910" s="2" t="s">
        <v>7238</v>
      </c>
      <c r="C2910" s="2" t="s">
        <v>49</v>
      </c>
      <c r="D2910" s="2" t="s">
        <v>50</v>
      </c>
      <c r="E2910" s="5">
        <v>-30870</v>
      </c>
      <c r="F2910" s="3" t="s">
        <v>122</v>
      </c>
      <c r="G2910" s="3" t="s">
        <v>52</v>
      </c>
      <c r="H2910" s="2" t="s">
        <v>72</v>
      </c>
      <c r="I2910" s="2" t="s">
        <v>7239</v>
      </c>
      <c r="J2910" s="3" t="str">
        <f>HYPERLINK("https://www.boe.es/gazeta/dias/1815/06/24/pdfs/GMD-1815-76.pdf#page=11","Abrir facsímil")</f>
        <v>Abrir facsímil</v>
      </c>
      <c r="K2910" s="3" t="s">
        <v>74</v>
      </c>
    </row>
    <row r="2911" spans="1:11" ht="42" customHeight="1">
      <c r="A2911" s="2" t="s">
        <v>7240</v>
      </c>
      <c r="B2911" s="2" t="s">
        <v>7240</v>
      </c>
      <c r="C2911" s="2" t="s">
        <v>31</v>
      </c>
      <c r="D2911" s="2" t="s">
        <v>32</v>
      </c>
      <c r="E2911" s="5">
        <v>-30849</v>
      </c>
      <c r="F2911" s="3" t="s">
        <v>501</v>
      </c>
      <c r="G2911" s="3" t="s">
        <v>88</v>
      </c>
      <c r="H2911" s="2" t="s">
        <v>72</v>
      </c>
      <c r="I2911" s="2" t="s">
        <v>7241</v>
      </c>
      <c r="J2911" s="3" t="str">
        <f>HYPERLINK("https://www.boe.es/gazeta/dias/1815/07/15/pdfs/GMD-1815-87.pdf#page=10","Abrir facsímil")</f>
        <v>Abrir facsímil</v>
      </c>
      <c r="K2911" s="3" t="s">
        <v>74</v>
      </c>
    </row>
    <row r="2912" spans="1:11" ht="42" customHeight="1">
      <c r="A2912" s="2" t="s">
        <v>7242</v>
      </c>
      <c r="B2912" s="2" t="s">
        <v>7243</v>
      </c>
      <c r="C2912" s="2" t="s">
        <v>49</v>
      </c>
      <c r="D2912" s="2" t="s">
        <v>50</v>
      </c>
      <c r="E2912" s="5">
        <v>-30916</v>
      </c>
      <c r="F2912" s="3" t="s">
        <v>147</v>
      </c>
      <c r="G2912" s="3" t="s">
        <v>38</v>
      </c>
      <c r="H2912" s="2" t="s">
        <v>72</v>
      </c>
      <c r="I2912" s="2" t="s">
        <v>7244</v>
      </c>
      <c r="J2912" s="3" t="str">
        <f>HYPERLINK("https://www.boe.es/gazeta/dias/1815/05/09/pdfs/GMD-1815-56.pdf#page=8","Abrir facsímil")</f>
        <v>Abrir facsímil</v>
      </c>
      <c r="K2912" s="3" t="s">
        <v>74</v>
      </c>
    </row>
    <row r="2913" spans="1:11" ht="42" customHeight="1">
      <c r="A2913" s="2" t="s">
        <v>7245</v>
      </c>
      <c r="B2913" s="2" t="s">
        <v>7246</v>
      </c>
      <c r="C2913" s="2" t="s">
        <v>49</v>
      </c>
      <c r="D2913" s="2" t="s">
        <v>50</v>
      </c>
      <c r="E2913" s="5">
        <v>-30865</v>
      </c>
      <c r="F2913" s="3" t="s">
        <v>163</v>
      </c>
      <c r="G2913" s="3" t="s">
        <v>71</v>
      </c>
      <c r="H2913" s="2" t="s">
        <v>72</v>
      </c>
      <c r="I2913" s="2" t="s">
        <v>7247</v>
      </c>
      <c r="J2913" s="3" t="str">
        <f>HYPERLINK("https://www.boe.es/gazeta/dias/1815/06/29/pdfs/GMD-1815-78.pdf#page=7","Abrir facsímil")</f>
        <v>Abrir facsímil</v>
      </c>
      <c r="K2913" s="3" t="s">
        <v>74</v>
      </c>
    </row>
    <row r="2914" spans="1:11" ht="42" customHeight="1">
      <c r="A2914" s="2" t="s">
        <v>7248</v>
      </c>
      <c r="B2914" s="2" t="s">
        <v>7249</v>
      </c>
      <c r="C2914" s="2" t="s">
        <v>49</v>
      </c>
      <c r="D2914" s="2" t="s">
        <v>50</v>
      </c>
      <c r="E2914" s="5">
        <v>-30886</v>
      </c>
      <c r="F2914" s="3" t="s">
        <v>140</v>
      </c>
      <c r="G2914" s="3" t="s">
        <v>224</v>
      </c>
      <c r="H2914" s="2" t="s">
        <v>72</v>
      </c>
      <c r="I2914" s="2" t="s">
        <v>7250</v>
      </c>
      <c r="J2914" s="3" t="str">
        <f>HYPERLINK("https://www.boe.es/gazeta/dias/1815/06/08/pdfs/GMD-1815-69.pdf#page=9","Abrir facsímil")</f>
        <v>Abrir facsímil</v>
      </c>
      <c r="K2914" s="3" t="s">
        <v>74</v>
      </c>
    </row>
    <row r="2915" spans="1:11" ht="42" customHeight="1">
      <c r="A2915" s="2" t="s">
        <v>7251</v>
      </c>
      <c r="B2915" s="2" t="s">
        <v>7251</v>
      </c>
      <c r="C2915" s="2" t="s">
        <v>17</v>
      </c>
      <c r="D2915" s="2" t="s">
        <v>18</v>
      </c>
      <c r="E2915" s="5">
        <v>-30744</v>
      </c>
      <c r="F2915" s="3" t="s">
        <v>391</v>
      </c>
      <c r="G2915" s="3" t="s">
        <v>97</v>
      </c>
      <c r="H2915" s="2" t="s">
        <v>72</v>
      </c>
      <c r="I2915" s="2" t="s">
        <v>7252</v>
      </c>
      <c r="J2915" s="3" t="str">
        <f>HYPERLINK("https://www.boe.es/gazeta/dias/1815/10/28/pdfs/GMD-1815-135.pdf#page=3","Abrir facsímil")</f>
        <v>Abrir facsímil</v>
      </c>
      <c r="K2915" s="3" t="s">
        <v>74</v>
      </c>
    </row>
    <row r="2916" spans="1:11" ht="42" customHeight="1">
      <c r="A2916" s="2" t="s">
        <v>7253</v>
      </c>
      <c r="B2916" s="2" t="s">
        <v>7254</v>
      </c>
      <c r="C2916" s="2" t="s">
        <v>31</v>
      </c>
      <c r="D2916" s="2" t="s">
        <v>32</v>
      </c>
      <c r="E2916" s="5">
        <v>-31028</v>
      </c>
      <c r="F2916" s="3" t="s">
        <v>517</v>
      </c>
      <c r="G2916" s="3" t="s">
        <v>27</v>
      </c>
      <c r="H2916" s="2" t="s">
        <v>72</v>
      </c>
      <c r="I2916" s="2" t="s">
        <v>7255</v>
      </c>
      <c r="J2916" s="3" t="str">
        <f>HYPERLINK("https://www.boe.es/gazeta/dias/1815/01/17/pdfs/GMD-1815-7.pdf#page=6","Abrir facsímil")</f>
        <v>Abrir facsímil</v>
      </c>
      <c r="K2916" s="3" t="s">
        <v>74</v>
      </c>
    </row>
    <row r="2917" spans="1:11" ht="42" customHeight="1">
      <c r="A2917" s="2" t="s">
        <v>7256</v>
      </c>
      <c r="B2917" s="2" t="s">
        <v>7257</v>
      </c>
      <c r="C2917" s="2" t="s">
        <v>131</v>
      </c>
      <c r="D2917" s="2" t="s">
        <v>50</v>
      </c>
      <c r="E2917" s="5">
        <v>-30716</v>
      </c>
      <c r="F2917" s="3" t="s">
        <v>589</v>
      </c>
      <c r="G2917" s="3" t="s">
        <v>20</v>
      </c>
      <c r="H2917" s="2" t="s">
        <v>72</v>
      </c>
      <c r="I2917" s="2" t="s">
        <v>7258</v>
      </c>
      <c r="J2917" s="3" t="str">
        <f>HYPERLINK("https://www.boe.es/gazeta/dias/1815/11/25/pdfs/GMD-1815-147.pdf#page=4","Abrir facsímil")</f>
        <v>Abrir facsímil</v>
      </c>
      <c r="K2917" s="3" t="s">
        <v>74</v>
      </c>
    </row>
    <row r="2918" spans="1:11" ht="42" customHeight="1">
      <c r="A2918" s="2" t="s">
        <v>7259</v>
      </c>
      <c r="B2918" s="2" t="s">
        <v>7260</v>
      </c>
      <c r="C2918" s="2" t="s">
        <v>31</v>
      </c>
      <c r="D2918" s="2" t="s">
        <v>32</v>
      </c>
      <c r="E2918" s="5">
        <v>-31038</v>
      </c>
      <c r="F2918" s="3" t="s">
        <v>395</v>
      </c>
      <c r="G2918" s="3" t="s">
        <v>396</v>
      </c>
      <c r="H2918" s="2" t="s">
        <v>72</v>
      </c>
      <c r="I2918" s="2" t="s">
        <v>7261</v>
      </c>
      <c r="J2918" s="3" t="str">
        <f>HYPERLINK("https://www.boe.es/gazeta/dias/1815/01/07/pdfs/GMD-1815-3.pdf#page=5","Abrir facsímil")</f>
        <v>Abrir facsímil</v>
      </c>
      <c r="K2918" s="3" t="s">
        <v>74</v>
      </c>
    </row>
    <row r="2919" spans="1:11" ht="42" customHeight="1">
      <c r="A2919" s="2" t="s">
        <v>7262</v>
      </c>
      <c r="B2919" s="2" t="s">
        <v>7262</v>
      </c>
      <c r="C2919" s="2" t="s">
        <v>31</v>
      </c>
      <c r="D2919" s="2" t="s">
        <v>32</v>
      </c>
      <c r="E2919" s="5">
        <v>-30944</v>
      </c>
      <c r="F2919" s="3" t="s">
        <v>412</v>
      </c>
      <c r="G2919" s="3" t="s">
        <v>413</v>
      </c>
      <c r="H2919" s="2" t="s">
        <v>72</v>
      </c>
      <c r="I2919" s="2" t="s">
        <v>7263</v>
      </c>
      <c r="J2919" s="3" t="str">
        <f>HYPERLINK("https://www.boe.es/gazeta/dias/1815/04/11/pdfs/GMD-1815-44.pdf#page=2","Abrir facsímil")</f>
        <v>Abrir facsímil</v>
      </c>
      <c r="K2919" s="3" t="s">
        <v>74</v>
      </c>
    </row>
    <row r="2920" spans="1:11" ht="42" customHeight="1">
      <c r="A2920" s="2" t="s">
        <v>7264</v>
      </c>
      <c r="B2920" s="2" t="s">
        <v>7265</v>
      </c>
      <c r="C2920" s="2" t="s">
        <v>195</v>
      </c>
      <c r="D2920" s="2" t="s">
        <v>50</v>
      </c>
      <c r="E2920" s="5">
        <v>-31026</v>
      </c>
      <c r="F2920" s="3" t="s">
        <v>874</v>
      </c>
      <c r="G2920" s="3" t="s">
        <v>71</v>
      </c>
      <c r="H2920" s="2" t="s">
        <v>72</v>
      </c>
      <c r="I2920" s="2" t="s">
        <v>7266</v>
      </c>
      <c r="J2920" s="3" t="str">
        <f>HYPERLINK("https://www.boe.es/gazeta/dias/1815/01/19/pdfs/GMD-1815-8.pdf#page=7","Abrir facsímil")</f>
        <v>Abrir facsímil</v>
      </c>
      <c r="K2920" s="3" t="s">
        <v>74</v>
      </c>
    </row>
    <row r="2921" spans="1:11" ht="42" customHeight="1">
      <c r="A2921" s="2" t="s">
        <v>7267</v>
      </c>
      <c r="B2921" s="2" t="s">
        <v>7268</v>
      </c>
      <c r="C2921" s="2" t="s">
        <v>195</v>
      </c>
      <c r="D2921" s="2" t="s">
        <v>50</v>
      </c>
      <c r="E2921" s="5">
        <v>-30888</v>
      </c>
      <c r="F2921" s="3" t="s">
        <v>368</v>
      </c>
      <c r="G2921" s="3" t="s">
        <v>224</v>
      </c>
      <c r="H2921" s="2" t="s">
        <v>72</v>
      </c>
      <c r="I2921" s="2" t="s">
        <v>7269</v>
      </c>
      <c r="J2921" s="3" t="str">
        <f>HYPERLINK("https://www.boe.es/gazeta/dias/1815/06/06/pdfs/GMD-1815-68.pdf#page=9","Abrir facsímil")</f>
        <v>Abrir facsímil</v>
      </c>
      <c r="K2921" s="3" t="s">
        <v>74</v>
      </c>
    </row>
    <row r="2922" spans="1:11" ht="42" customHeight="1">
      <c r="A2922" s="2" t="s">
        <v>7270</v>
      </c>
      <c r="B2922" s="2" t="s">
        <v>7271</v>
      </c>
      <c r="C2922" s="2" t="s">
        <v>31</v>
      </c>
      <c r="D2922" s="2" t="s">
        <v>32</v>
      </c>
      <c r="E2922" s="5">
        <v>-30919</v>
      </c>
      <c r="F2922" s="3" t="s">
        <v>792</v>
      </c>
      <c r="G2922" s="3" t="s">
        <v>6476</v>
      </c>
      <c r="H2922" s="2" t="s">
        <v>72</v>
      </c>
      <c r="I2922" s="2" t="s">
        <v>7272</v>
      </c>
      <c r="J2922" s="3" t="str">
        <f>HYPERLINK("https://www.boe.es/gazeta/dias/1815/05/06/pdfs/GMD-1815-55.pdf#page=7","Abrir facsímil")</f>
        <v>Abrir facsímil</v>
      </c>
      <c r="K2922" s="3" t="s">
        <v>74</v>
      </c>
    </row>
    <row r="2923" spans="1:11" ht="42" customHeight="1">
      <c r="A2923" s="2" t="s">
        <v>7273</v>
      </c>
      <c r="B2923" s="2" t="s">
        <v>7274</v>
      </c>
      <c r="C2923" s="2" t="s">
        <v>31</v>
      </c>
      <c r="D2923" s="2" t="s">
        <v>32</v>
      </c>
      <c r="E2923" s="5">
        <v>-30865</v>
      </c>
      <c r="F2923" s="3" t="s">
        <v>163</v>
      </c>
      <c r="G2923" s="3" t="s">
        <v>38</v>
      </c>
      <c r="H2923" s="2" t="s">
        <v>72</v>
      </c>
      <c r="I2923" s="2" t="s">
        <v>7275</v>
      </c>
      <c r="J2923" s="3" t="str">
        <f>HYPERLINK("https://www.boe.es/gazeta/dias/1815/06/29/pdfs/GMD-1815-78.pdf#page=8","Abrir facsímil")</f>
        <v>Abrir facsímil</v>
      </c>
      <c r="K2923" s="3" t="s">
        <v>74</v>
      </c>
    </row>
    <row r="2924" spans="1:11" ht="42" customHeight="1">
      <c r="A2924" s="2" t="s">
        <v>7276</v>
      </c>
      <c r="B2924" s="2" t="s">
        <v>7276</v>
      </c>
      <c r="C2924" s="2" t="s">
        <v>49</v>
      </c>
      <c r="D2924" s="2" t="s">
        <v>50</v>
      </c>
      <c r="E2924" s="5">
        <v>-30821</v>
      </c>
      <c r="F2924" s="3" t="s">
        <v>915</v>
      </c>
      <c r="G2924" s="3" t="s">
        <v>1304</v>
      </c>
      <c r="H2924" s="2" t="s">
        <v>72</v>
      </c>
      <c r="I2924" s="2" t="s">
        <v>7277</v>
      </c>
      <c r="J2924" s="3" t="str">
        <f>HYPERLINK("https://www.boe.es/gazeta/dias/1815/08/12/pdfs/GMD-1815-99.pdf#page=4","Abrir facsímil")</f>
        <v>Abrir facsímil</v>
      </c>
      <c r="K2924" s="3" t="s">
        <v>74</v>
      </c>
    </row>
    <row r="2925" spans="1:11" ht="42" customHeight="1">
      <c r="A2925" s="2" t="s">
        <v>7278</v>
      </c>
      <c r="B2925" s="2" t="s">
        <v>7278</v>
      </c>
      <c r="C2925" s="2" t="s">
        <v>31</v>
      </c>
      <c r="D2925" s="2" t="s">
        <v>32</v>
      </c>
      <c r="E2925" s="5">
        <v>-30811</v>
      </c>
      <c r="F2925" s="3" t="s">
        <v>293</v>
      </c>
      <c r="G2925" s="3" t="s">
        <v>410</v>
      </c>
      <c r="H2925" s="2" t="s">
        <v>72</v>
      </c>
      <c r="I2925" s="2" t="s">
        <v>7279</v>
      </c>
      <c r="J2925" s="3" t="str">
        <f>HYPERLINK("https://www.boe.es/gazeta/dias/1815/08/22/pdfs/GMD-1815-103.pdf#page=1","Abrir facsímil")</f>
        <v>Abrir facsímil</v>
      </c>
      <c r="K2925" s="3" t="s">
        <v>74</v>
      </c>
    </row>
    <row r="2926" spans="1:11" ht="42" customHeight="1">
      <c r="A2926" s="2" t="s">
        <v>7280</v>
      </c>
      <c r="B2926" s="2" t="s">
        <v>7281</v>
      </c>
      <c r="C2926" s="2" t="s">
        <v>81</v>
      </c>
      <c r="D2926" s="2" t="s">
        <v>50</v>
      </c>
      <c r="E2926" s="5">
        <v>-31031</v>
      </c>
      <c r="F2926" s="3" t="s">
        <v>105</v>
      </c>
      <c r="G2926" s="3" t="s">
        <v>106</v>
      </c>
      <c r="H2926" s="2" t="s">
        <v>72</v>
      </c>
      <c r="I2926" s="2" t="s">
        <v>7282</v>
      </c>
      <c r="J2926" s="3" t="str">
        <f>HYPERLINK("https://www.boe.es/gazeta/dias/1815/01/14/pdfs/GMD-1815-6.pdf#page=7","Abrir facsímil")</f>
        <v>Abrir facsímil</v>
      </c>
      <c r="K2926" s="3" t="s">
        <v>74</v>
      </c>
    </row>
    <row r="2927" spans="1:11" ht="42" customHeight="1">
      <c r="A2927" s="2" t="s">
        <v>7283</v>
      </c>
      <c r="B2927" s="2" t="s">
        <v>7283</v>
      </c>
      <c r="C2927" s="2" t="s">
        <v>31</v>
      </c>
      <c r="D2927" s="2" t="s">
        <v>32</v>
      </c>
      <c r="E2927" s="5">
        <v>-30842</v>
      </c>
      <c r="F2927" s="3" t="s">
        <v>126</v>
      </c>
      <c r="G2927" s="3" t="s">
        <v>1715</v>
      </c>
      <c r="H2927" s="2" t="s">
        <v>72</v>
      </c>
      <c r="I2927" s="2" t="s">
        <v>7284</v>
      </c>
      <c r="J2927" s="3" t="str">
        <f>HYPERLINK("https://www.boe.es/gazeta/dias/1815/07/22/pdfs/GMD-1815-90.pdf#page=2","Abrir facsímil")</f>
        <v>Abrir facsímil</v>
      </c>
      <c r="K2927" s="3" t="s">
        <v>74</v>
      </c>
    </row>
    <row r="2928" spans="1:11" ht="42" customHeight="1">
      <c r="A2928" s="2" t="s">
        <v>7285</v>
      </c>
      <c r="B2928" s="2" t="s">
        <v>7285</v>
      </c>
      <c r="C2928" s="2" t="s">
        <v>31</v>
      </c>
      <c r="D2928" s="2" t="s">
        <v>32</v>
      </c>
      <c r="E2928" s="5">
        <v>-30825</v>
      </c>
      <c r="F2928" s="3" t="s">
        <v>669</v>
      </c>
      <c r="G2928" s="3" t="s">
        <v>97</v>
      </c>
      <c r="H2928" s="2" t="s">
        <v>72</v>
      </c>
      <c r="I2928" s="2" t="s">
        <v>7286</v>
      </c>
      <c r="J2928" s="3" t="str">
        <f>HYPERLINK("https://www.boe.es/gazeta/dias/1815/08/08/pdfs/GMD-1815-97.pdf#page=3","Abrir facsímil")</f>
        <v>Abrir facsímil</v>
      </c>
      <c r="K2928" s="3" t="s">
        <v>74</v>
      </c>
    </row>
    <row r="2929" spans="1:11" ht="42" customHeight="1">
      <c r="A2929" s="2" t="s">
        <v>7287</v>
      </c>
      <c r="B2929" s="2" t="s">
        <v>7288</v>
      </c>
      <c r="C2929" s="2" t="s">
        <v>61</v>
      </c>
      <c r="D2929" s="2" t="s">
        <v>50</v>
      </c>
      <c r="E2929" s="5">
        <v>-30928</v>
      </c>
      <c r="F2929" s="3" t="s">
        <v>330</v>
      </c>
      <c r="G2929" s="3" t="s">
        <v>71</v>
      </c>
      <c r="H2929" s="2" t="s">
        <v>72</v>
      </c>
      <c r="I2929" s="2" t="s">
        <v>7289</v>
      </c>
      <c r="J2929" s="3" t="str">
        <f>HYPERLINK("https://www.boe.es/gazeta/dias/1815/04/27/pdfs/GMD-1815-51.pdf#page=7","Abrir facsímil")</f>
        <v>Abrir facsímil</v>
      </c>
      <c r="K2929" s="3" t="s">
        <v>74</v>
      </c>
    </row>
    <row r="2930" spans="1:11" ht="42" customHeight="1">
      <c r="A2930" s="2" t="s">
        <v>7290</v>
      </c>
      <c r="B2930" s="2" t="s">
        <v>7290</v>
      </c>
      <c r="C2930" s="2" t="s">
        <v>31</v>
      </c>
      <c r="D2930" s="2" t="s">
        <v>32</v>
      </c>
      <c r="E2930" s="5">
        <v>-30877</v>
      </c>
      <c r="F2930" s="3" t="s">
        <v>548</v>
      </c>
      <c r="G2930" s="3" t="s">
        <v>377</v>
      </c>
      <c r="H2930" s="2" t="s">
        <v>72</v>
      </c>
      <c r="I2930" s="2" t="s">
        <v>7291</v>
      </c>
      <c r="J2930" s="3" t="str">
        <f>HYPERLINK("https://www.boe.es/gazeta/dias/1815/06/17/pdfs/GMD-1815-73.pdf#page=2","Abrir facsímil")</f>
        <v>Abrir facsímil</v>
      </c>
      <c r="K2930" s="3" t="s">
        <v>74</v>
      </c>
    </row>
    <row r="2931" spans="1:11" ht="42" customHeight="1">
      <c r="A2931" s="2" t="s">
        <v>7292</v>
      </c>
      <c r="B2931" s="2" t="s">
        <v>7293</v>
      </c>
      <c r="C2931" s="2" t="s">
        <v>49</v>
      </c>
      <c r="D2931" s="2" t="s">
        <v>50</v>
      </c>
      <c r="E2931" s="5">
        <v>-30977</v>
      </c>
      <c r="F2931" s="3" t="s">
        <v>37</v>
      </c>
      <c r="G2931" s="3" t="s">
        <v>5408</v>
      </c>
      <c r="H2931" s="2" t="s">
        <v>72</v>
      </c>
      <c r="I2931" s="2" t="s">
        <v>7294</v>
      </c>
      <c r="J2931" s="3" t="str">
        <f>HYPERLINK("https://www.boe.es/gazeta/dias/1815/03/09/pdfs/GMD-1815-29.pdf#page=6","Abrir facsímil")</f>
        <v>Abrir facsímil</v>
      </c>
      <c r="K2931" s="3" t="s">
        <v>74</v>
      </c>
    </row>
    <row r="2932" spans="1:11" ht="42" customHeight="1">
      <c r="A2932" s="2" t="s">
        <v>7295</v>
      </c>
      <c r="B2932" s="2" t="s">
        <v>7296</v>
      </c>
      <c r="C2932" s="2" t="s">
        <v>49</v>
      </c>
      <c r="D2932" s="2" t="s">
        <v>50</v>
      </c>
      <c r="E2932" s="5">
        <v>-30790</v>
      </c>
      <c r="F2932" s="3" t="s">
        <v>285</v>
      </c>
      <c r="G2932" s="3" t="s">
        <v>20</v>
      </c>
      <c r="H2932" s="2" t="s">
        <v>72</v>
      </c>
      <c r="I2932" s="2" t="s">
        <v>7297</v>
      </c>
      <c r="J2932" s="3" t="str">
        <f>HYPERLINK("https://www.boe.es/gazeta/dias/1815/09/12/pdfs/GMD-1815-113.pdf#page=4","Abrir facsímil")</f>
        <v>Abrir facsímil</v>
      </c>
      <c r="K2932" s="3" t="s">
        <v>74</v>
      </c>
    </row>
    <row r="2933" spans="1:11" ht="42" customHeight="1">
      <c r="A2933" s="2" t="s">
        <v>7298</v>
      </c>
      <c r="B2933" s="2" t="s">
        <v>7298</v>
      </c>
      <c r="C2933" s="2" t="s">
        <v>31</v>
      </c>
      <c r="D2933" s="2" t="s">
        <v>32</v>
      </c>
      <c r="E2933" s="5">
        <v>-30972</v>
      </c>
      <c r="F2933" s="3" t="s">
        <v>1382</v>
      </c>
      <c r="G2933" s="3" t="s">
        <v>377</v>
      </c>
      <c r="H2933" s="2" t="s">
        <v>72</v>
      </c>
      <c r="I2933" s="2" t="s">
        <v>7299</v>
      </c>
      <c r="J2933" s="3" t="str">
        <f>HYPERLINK("https://www.boe.es/gazeta/dias/1815/03/14/pdfs/GMD-1815-31.pdf#page=2","Abrir facsímil")</f>
        <v>Abrir facsímil</v>
      </c>
      <c r="K2933" s="3" t="s">
        <v>74</v>
      </c>
    </row>
    <row r="2934" spans="1:11" ht="42" customHeight="1">
      <c r="A2934" s="2" t="s">
        <v>7300</v>
      </c>
      <c r="B2934" s="2" t="s">
        <v>7301</v>
      </c>
      <c r="C2934" s="2" t="s">
        <v>31</v>
      </c>
      <c r="D2934" s="2" t="s">
        <v>32</v>
      </c>
      <c r="E2934" s="5">
        <v>-30949</v>
      </c>
      <c r="F2934" s="3" t="s">
        <v>420</v>
      </c>
      <c r="G2934" s="3" t="s">
        <v>410</v>
      </c>
      <c r="H2934" s="2" t="s">
        <v>72</v>
      </c>
      <c r="I2934" s="2" t="s">
        <v>7302</v>
      </c>
      <c r="J2934" s="3" t="str">
        <f>HYPERLINK("https://www.boe.es/gazeta/dias/1815/04/06/pdfs/GMD-1815-42.pdf#page=1","Abrir facsímil")</f>
        <v>Abrir facsímil</v>
      </c>
      <c r="K2934" s="3" t="s">
        <v>74</v>
      </c>
    </row>
    <row r="2935" spans="1:11" ht="42" customHeight="1">
      <c r="A2935" s="2" t="s">
        <v>7303</v>
      </c>
      <c r="B2935" s="2" t="s">
        <v>7304</v>
      </c>
      <c r="C2935" s="2" t="s">
        <v>61</v>
      </c>
      <c r="D2935" s="2" t="s">
        <v>50</v>
      </c>
      <c r="E2935" s="5">
        <v>-30825</v>
      </c>
      <c r="F2935" s="3" t="s">
        <v>669</v>
      </c>
      <c r="G2935" s="3" t="s">
        <v>276</v>
      </c>
      <c r="H2935" s="2" t="s">
        <v>72</v>
      </c>
      <c r="I2935" s="2" t="s">
        <v>7305</v>
      </c>
      <c r="J2935" s="3" t="str">
        <f>HYPERLINK("https://www.boe.es/gazeta/dias/1815/08/08/pdfs/GMD-1815-97.pdf#page=12","Abrir facsímil")</f>
        <v>Abrir facsímil</v>
      </c>
      <c r="K2935" s="3" t="s">
        <v>74</v>
      </c>
    </row>
    <row r="2936" spans="1:11" ht="42" customHeight="1">
      <c r="A2936" s="2" t="s">
        <v>7306</v>
      </c>
      <c r="B2936" s="2" t="s">
        <v>7307</v>
      </c>
      <c r="C2936" s="2" t="s">
        <v>61</v>
      </c>
      <c r="D2936" s="2" t="s">
        <v>50</v>
      </c>
      <c r="E2936" s="5">
        <v>-30716</v>
      </c>
      <c r="F2936" s="3" t="s">
        <v>589</v>
      </c>
      <c r="G2936" s="3" t="s">
        <v>71</v>
      </c>
      <c r="H2936" s="2" t="s">
        <v>72</v>
      </c>
      <c r="I2936" s="2" t="s">
        <v>7308</v>
      </c>
      <c r="J2936" s="3" t="str">
        <f>HYPERLINK("https://www.boe.es/gazeta/dias/1815/11/25/pdfs/GMD-1815-147.pdf#page=7","Abrir facsímil")</f>
        <v>Abrir facsímil</v>
      </c>
      <c r="K2936" s="3" t="s">
        <v>74</v>
      </c>
    </row>
    <row r="2937" spans="1:11" ht="42" customHeight="1">
      <c r="A2937" s="2" t="s">
        <v>7309</v>
      </c>
      <c r="B2937" s="2" t="s">
        <v>7310</v>
      </c>
      <c r="C2937" s="2" t="s">
        <v>31</v>
      </c>
      <c r="D2937" s="2" t="s">
        <v>32</v>
      </c>
      <c r="E2937" s="5">
        <v>-30767</v>
      </c>
      <c r="F2937" s="3" t="s">
        <v>228</v>
      </c>
      <c r="G2937" s="3" t="s">
        <v>990</v>
      </c>
      <c r="H2937" s="2" t="s">
        <v>72</v>
      </c>
      <c r="I2937" s="2" t="s">
        <v>7311</v>
      </c>
      <c r="J2937" s="3" t="str">
        <f>HYPERLINK("https://www.boe.es/gazeta/dias/1815/10/05/pdfs/GMD-1815-125.pdf#page=12","Abrir facsímil")</f>
        <v>Abrir facsímil</v>
      </c>
      <c r="K2937" s="3" t="s">
        <v>74</v>
      </c>
    </row>
    <row r="2938" spans="1:11" ht="42" customHeight="1">
      <c r="A2938" s="2" t="s">
        <v>7312</v>
      </c>
      <c r="B2938" s="2" t="s">
        <v>7313</v>
      </c>
      <c r="C2938" s="2" t="s">
        <v>61</v>
      </c>
      <c r="D2938" s="2" t="s">
        <v>50</v>
      </c>
      <c r="E2938" s="5">
        <v>-30692</v>
      </c>
      <c r="F2938" s="3" t="s">
        <v>508</v>
      </c>
      <c r="G2938" s="3" t="s">
        <v>38</v>
      </c>
      <c r="H2938" s="2" t="s">
        <v>72</v>
      </c>
      <c r="I2938" s="2" t="s">
        <v>7314</v>
      </c>
      <c r="J2938" s="3" t="str">
        <f>HYPERLINK("https://www.boe.es/gazeta/dias/1815/12/19/pdfs/GMD-1815-157.pdf#page=8","Abrir facsímil")</f>
        <v>Abrir facsímil</v>
      </c>
      <c r="K2938" s="3" t="s">
        <v>74</v>
      </c>
    </row>
    <row r="2939" spans="1:11" ht="42" customHeight="1">
      <c r="A2939" s="2" t="s">
        <v>7315</v>
      </c>
      <c r="B2939" s="2" t="s">
        <v>7316</v>
      </c>
      <c r="C2939" s="2" t="s">
        <v>31</v>
      </c>
      <c r="D2939" s="2" t="s">
        <v>32</v>
      </c>
      <c r="E2939" s="5">
        <v>-30788</v>
      </c>
      <c r="F2939" s="3" t="s">
        <v>96</v>
      </c>
      <c r="G2939" s="3" t="s">
        <v>97</v>
      </c>
      <c r="H2939" s="2" t="s">
        <v>72</v>
      </c>
      <c r="I2939" s="2" t="s">
        <v>7317</v>
      </c>
      <c r="J2939" s="3" t="str">
        <f>HYPERLINK("https://www.boe.es/gazeta/dias/1815/09/14/pdfs/GMD-1815-114.pdf#page=3","Abrir facsímil")</f>
        <v>Abrir facsímil</v>
      </c>
      <c r="K2939" s="3" t="s">
        <v>74</v>
      </c>
    </row>
    <row r="2940" spans="1:11" ht="42" customHeight="1">
      <c r="A2940" s="2" t="s">
        <v>7318</v>
      </c>
      <c r="B2940" s="2" t="s">
        <v>7318</v>
      </c>
      <c r="C2940" s="2" t="s">
        <v>31</v>
      </c>
      <c r="D2940" s="2" t="s">
        <v>32</v>
      </c>
      <c r="E2940" s="5">
        <v>-30727</v>
      </c>
      <c r="F2940" s="3" t="s">
        <v>262</v>
      </c>
      <c r="G2940" s="3" t="s">
        <v>7319</v>
      </c>
      <c r="H2940" s="2" t="s">
        <v>72</v>
      </c>
      <c r="I2940" s="2" t="s">
        <v>7320</v>
      </c>
      <c r="J2940" s="3" t="str">
        <f>HYPERLINK("https://www.boe.es/gazeta/dias/1815/11/14/pdfs/GMD-1815-142.pdf#page=3","Abrir facsímil")</f>
        <v>Abrir facsímil</v>
      </c>
      <c r="K2940" s="3" t="s">
        <v>74</v>
      </c>
    </row>
    <row r="2941" spans="1:11" ht="42" customHeight="1">
      <c r="A2941" s="2" t="s">
        <v>7321</v>
      </c>
      <c r="B2941" s="2" t="s">
        <v>7321</v>
      </c>
      <c r="C2941" s="2" t="s">
        <v>31</v>
      </c>
      <c r="D2941" s="2" t="s">
        <v>32</v>
      </c>
      <c r="E2941" s="5">
        <v>-30818</v>
      </c>
      <c r="F2941" s="3" t="s">
        <v>334</v>
      </c>
      <c r="G2941" s="3" t="s">
        <v>27</v>
      </c>
      <c r="H2941" s="2" t="s">
        <v>72</v>
      </c>
      <c r="I2941" s="2" t="s">
        <v>7322</v>
      </c>
      <c r="J2941" s="3" t="str">
        <f>HYPERLINK("https://www.boe.es/gazeta/dias/1815/08/15/pdfs/GMD-1815-100.pdf#page=6","Abrir facsímil")</f>
        <v>Abrir facsímil</v>
      </c>
      <c r="K2941" s="3" t="s">
        <v>74</v>
      </c>
    </row>
    <row r="2942" spans="1:11" ht="42" customHeight="1">
      <c r="A2942" s="2" t="s">
        <v>7323</v>
      </c>
      <c r="B2942" s="2" t="s">
        <v>7324</v>
      </c>
      <c r="C2942" s="2" t="s">
        <v>31</v>
      </c>
      <c r="D2942" s="2" t="s">
        <v>32</v>
      </c>
      <c r="E2942" s="5">
        <v>-30748</v>
      </c>
      <c r="F2942" s="3" t="s">
        <v>2077</v>
      </c>
      <c r="G2942" s="3" t="s">
        <v>7325</v>
      </c>
      <c r="H2942" s="2" t="s">
        <v>72</v>
      </c>
      <c r="I2942" s="2" t="s">
        <v>7326</v>
      </c>
      <c r="J2942" s="3" t="str">
        <f>HYPERLINK("https://www.boe.es/gazeta/dias/1815/10/24/pdfs/GMD-1815-133.pdf#page=6","Abrir facsímil")</f>
        <v>Abrir facsímil</v>
      </c>
      <c r="K2942" s="3" t="s">
        <v>74</v>
      </c>
    </row>
    <row r="2943" spans="1:11" ht="42" customHeight="1">
      <c r="A2943" s="2" t="s">
        <v>7327</v>
      </c>
      <c r="B2943" s="2" t="s">
        <v>7328</v>
      </c>
      <c r="C2943" s="2" t="s">
        <v>49</v>
      </c>
      <c r="D2943" s="2" t="s">
        <v>50</v>
      </c>
      <c r="E2943" s="5">
        <v>-30865</v>
      </c>
      <c r="F2943" s="3" t="s">
        <v>163</v>
      </c>
      <c r="G2943" s="3" t="s">
        <v>71</v>
      </c>
      <c r="H2943" s="2" t="s">
        <v>72</v>
      </c>
      <c r="I2943" s="2" t="s">
        <v>7329</v>
      </c>
      <c r="J2943" s="3" t="str">
        <f>HYPERLINK("https://www.boe.es/gazeta/dias/1815/06/29/pdfs/GMD-1815-78.pdf#page=7","Abrir facsímil")</f>
        <v>Abrir facsímil</v>
      </c>
      <c r="K2943" s="3" t="s">
        <v>74</v>
      </c>
    </row>
    <row r="2944" spans="1:11" ht="42" customHeight="1">
      <c r="A2944" s="2" t="s">
        <v>7330</v>
      </c>
      <c r="B2944" s="2" t="s">
        <v>7330</v>
      </c>
      <c r="C2944" s="2" t="s">
        <v>49</v>
      </c>
      <c r="D2944" s="2" t="s">
        <v>50</v>
      </c>
      <c r="E2944" s="5">
        <v>-30870</v>
      </c>
      <c r="F2944" s="3" t="s">
        <v>122</v>
      </c>
      <c r="G2944" s="3" t="s">
        <v>88</v>
      </c>
      <c r="H2944" s="2" t="s">
        <v>72</v>
      </c>
      <c r="I2944" s="2" t="s">
        <v>7331</v>
      </c>
      <c r="J2944" s="3" t="str">
        <f>HYPERLINK("https://www.boe.es/gazeta/dias/1815/06/24/pdfs/GMD-1815-76.pdf#page=10","Abrir facsímil")</f>
        <v>Abrir facsímil</v>
      </c>
      <c r="K2944" s="3" t="s">
        <v>74</v>
      </c>
    </row>
    <row r="2945" spans="1:11" ht="42" customHeight="1">
      <c r="A2945" s="2" t="s">
        <v>7332</v>
      </c>
      <c r="B2945" s="2" t="s">
        <v>7332</v>
      </c>
      <c r="C2945" s="2" t="s">
        <v>31</v>
      </c>
      <c r="D2945" s="2" t="s">
        <v>32</v>
      </c>
      <c r="E2945" s="5">
        <v>-30937</v>
      </c>
      <c r="F2945" s="3" t="s">
        <v>322</v>
      </c>
      <c r="G2945" s="3" t="s">
        <v>377</v>
      </c>
      <c r="H2945" s="2" t="s">
        <v>72</v>
      </c>
      <c r="I2945" s="2" t="s">
        <v>7333</v>
      </c>
      <c r="J2945" s="3" t="str">
        <f>HYPERLINK("https://www.boe.es/gazeta/dias/1815/04/18/pdfs/GMD-1815-47.pdf#page=2","Abrir facsímil")</f>
        <v>Abrir facsímil</v>
      </c>
      <c r="K2945" s="3" t="s">
        <v>74</v>
      </c>
    </row>
    <row r="2946" spans="1:11" ht="42" customHeight="1">
      <c r="A2946" s="2" t="s">
        <v>7334</v>
      </c>
      <c r="B2946" s="2" t="s">
        <v>7335</v>
      </c>
      <c r="C2946" s="2" t="s">
        <v>49</v>
      </c>
      <c r="D2946" s="2" t="s">
        <v>50</v>
      </c>
      <c r="E2946" s="5">
        <v>-30767</v>
      </c>
      <c r="F2946" s="3" t="s">
        <v>228</v>
      </c>
      <c r="G2946" s="3" t="s">
        <v>88</v>
      </c>
      <c r="H2946" s="2" t="s">
        <v>21</v>
      </c>
      <c r="I2946" s="2" t="s">
        <v>7336</v>
      </c>
      <c r="J2946" s="3" t="str">
        <f>HYPERLINK("https://www.boe.es/gazeta/dias/1815/10/05/pdfs/GMD-1815-125.pdf#page=10","Abrir facsímil")</f>
        <v>Abrir facsímil</v>
      </c>
      <c r="K2946" s="3" t="s">
        <v>23</v>
      </c>
    </row>
    <row r="2947" spans="1:11" ht="42" customHeight="1">
      <c r="A2947" s="2" t="s">
        <v>7337</v>
      </c>
      <c r="B2947" s="2" t="s">
        <v>7338</v>
      </c>
      <c r="C2947" s="2" t="s">
        <v>49</v>
      </c>
      <c r="D2947" s="2" t="s">
        <v>50</v>
      </c>
      <c r="E2947" s="5">
        <v>-30865</v>
      </c>
      <c r="F2947" s="3" t="s">
        <v>163</v>
      </c>
      <c r="G2947" s="3" t="s">
        <v>71</v>
      </c>
      <c r="H2947" s="2" t="s">
        <v>72</v>
      </c>
      <c r="I2947" s="2" t="s">
        <v>7339</v>
      </c>
      <c r="J2947" s="3" t="str">
        <f>HYPERLINK("https://www.boe.es/gazeta/dias/1815/06/29/pdfs/GMD-1815-78.pdf#page=7","Abrir facsímil")</f>
        <v>Abrir facsímil</v>
      </c>
      <c r="K2947" s="3" t="s">
        <v>74</v>
      </c>
    </row>
    <row r="2948" spans="1:11" ht="42" customHeight="1">
      <c r="A2948" s="2" t="s">
        <v>7340</v>
      </c>
      <c r="B2948" s="2" t="s">
        <v>7340</v>
      </c>
      <c r="C2948" s="2" t="s">
        <v>31</v>
      </c>
      <c r="D2948" s="2" t="s">
        <v>32</v>
      </c>
      <c r="E2948" s="5">
        <v>-30830</v>
      </c>
      <c r="F2948" s="3" t="s">
        <v>33</v>
      </c>
      <c r="G2948" s="3" t="s">
        <v>57</v>
      </c>
      <c r="H2948" s="2" t="s">
        <v>72</v>
      </c>
      <c r="I2948" s="2" t="s">
        <v>7341</v>
      </c>
      <c r="J2948" s="3" t="str">
        <f>HYPERLINK("https://www.boe.es/gazeta/dias/1815/08/03/pdfs/GMD-1815-95.pdf#page=5","Abrir facsímil")</f>
        <v>Abrir facsímil</v>
      </c>
      <c r="K2948" s="3" t="s">
        <v>74</v>
      </c>
    </row>
    <row r="2949" spans="1:11" ht="42" customHeight="1">
      <c r="A2949" s="2" t="s">
        <v>7342</v>
      </c>
      <c r="B2949" s="2" t="s">
        <v>7342</v>
      </c>
      <c r="C2949" s="2" t="s">
        <v>31</v>
      </c>
      <c r="D2949" s="2" t="s">
        <v>32</v>
      </c>
      <c r="E2949" s="5">
        <v>-30914</v>
      </c>
      <c r="F2949" s="3" t="s">
        <v>338</v>
      </c>
      <c r="G2949" s="3" t="s">
        <v>410</v>
      </c>
      <c r="H2949" s="2" t="s">
        <v>72</v>
      </c>
      <c r="I2949" s="2" t="s">
        <v>7343</v>
      </c>
      <c r="J2949" s="3" t="str">
        <f>HYPERLINK("https://www.boe.es/gazeta/dias/1815/05/11/pdfs/GMD-1815-57.pdf#page=1","Abrir facsímil")</f>
        <v>Abrir facsímil</v>
      </c>
      <c r="K2949" s="3" t="s">
        <v>74</v>
      </c>
    </row>
    <row r="2950" spans="1:11" ht="42" customHeight="1">
      <c r="A2950" s="2" t="s">
        <v>7344</v>
      </c>
      <c r="B2950" s="2" t="s">
        <v>7344</v>
      </c>
      <c r="C2950" s="2" t="s">
        <v>31</v>
      </c>
      <c r="D2950" s="2" t="s">
        <v>32</v>
      </c>
      <c r="E2950" s="5">
        <v>-30832</v>
      </c>
      <c r="F2950" s="3" t="s">
        <v>266</v>
      </c>
      <c r="G2950" s="3" t="s">
        <v>57</v>
      </c>
      <c r="H2950" s="2" t="s">
        <v>72</v>
      </c>
      <c r="I2950" s="2" t="s">
        <v>7345</v>
      </c>
      <c r="J2950" s="3" t="str">
        <f>HYPERLINK("https://www.boe.es/gazeta/dias/1815/08/01/pdfs/GMD-1815-94.pdf#page=5","Abrir facsímil")</f>
        <v>Abrir facsímil</v>
      </c>
      <c r="K2950" s="3" t="s">
        <v>74</v>
      </c>
    </row>
    <row r="2951" spans="1:11" ht="42" customHeight="1">
      <c r="A2951" s="2" t="s">
        <v>7346</v>
      </c>
      <c r="B2951" s="2" t="s">
        <v>7346</v>
      </c>
      <c r="C2951" s="2" t="s">
        <v>31</v>
      </c>
      <c r="D2951" s="2" t="s">
        <v>32</v>
      </c>
      <c r="E2951" s="5">
        <v>-30842</v>
      </c>
      <c r="F2951" s="3" t="s">
        <v>126</v>
      </c>
      <c r="G2951" s="3" t="s">
        <v>20</v>
      </c>
      <c r="H2951" s="2" t="s">
        <v>72</v>
      </c>
      <c r="I2951" s="2" t="s">
        <v>7347</v>
      </c>
      <c r="J2951" s="3" t="str">
        <f>HYPERLINK("https://www.boe.es/gazeta/dias/1815/07/22/pdfs/GMD-1815-90.pdf#page=4","Abrir facsímil")</f>
        <v>Abrir facsímil</v>
      </c>
      <c r="K2951" s="3" t="s">
        <v>74</v>
      </c>
    </row>
    <row r="2952" spans="1:11" ht="42" customHeight="1">
      <c r="A2952" s="2" t="s">
        <v>7346</v>
      </c>
      <c r="B2952" s="2" t="s">
        <v>7346</v>
      </c>
      <c r="C2952" s="2" t="s">
        <v>31</v>
      </c>
      <c r="D2952" s="2" t="s">
        <v>32</v>
      </c>
      <c r="E2952" s="5">
        <v>-30839</v>
      </c>
      <c r="F2952" s="3" t="s">
        <v>616</v>
      </c>
      <c r="G2952" s="3" t="s">
        <v>377</v>
      </c>
      <c r="H2952" s="2" t="s">
        <v>72</v>
      </c>
      <c r="I2952" s="2" t="s">
        <v>7348</v>
      </c>
      <c r="J2952" s="3" t="str">
        <f>HYPERLINK("https://www.boe.es/gazeta/dias/1815/07/25/pdfs/GMD-1815-91.pdf#page=2","Abrir facsímil")</f>
        <v>Abrir facsímil</v>
      </c>
      <c r="K2952" s="3" t="s">
        <v>74</v>
      </c>
    </row>
    <row r="2953" spans="1:11" ht="42" customHeight="1">
      <c r="A2953" s="2" t="s">
        <v>7346</v>
      </c>
      <c r="B2953" s="2" t="s">
        <v>7346</v>
      </c>
      <c r="C2953" s="2" t="s">
        <v>31</v>
      </c>
      <c r="D2953" s="2" t="s">
        <v>32</v>
      </c>
      <c r="E2953" s="5">
        <v>-30839</v>
      </c>
      <c r="F2953" s="3" t="s">
        <v>616</v>
      </c>
      <c r="G2953" s="3" t="s">
        <v>20</v>
      </c>
      <c r="H2953" s="2" t="s">
        <v>72</v>
      </c>
      <c r="I2953" s="2" t="s">
        <v>7349</v>
      </c>
      <c r="J2953" s="3" t="str">
        <f>HYPERLINK("https://www.boe.es/gazeta/dias/1815/07/25/pdfs/GMD-1815-91.pdf#page=4","Abrir facsímil")</f>
        <v>Abrir facsímil</v>
      </c>
      <c r="K2953" s="3" t="s">
        <v>74</v>
      </c>
    </row>
    <row r="2954" spans="1:11" ht="42" customHeight="1">
      <c r="A2954" s="2" t="s">
        <v>7350</v>
      </c>
      <c r="B2954" s="2" t="s">
        <v>7350</v>
      </c>
      <c r="C2954" s="2" t="s">
        <v>31</v>
      </c>
      <c r="D2954" s="2" t="s">
        <v>32</v>
      </c>
      <c r="E2954" s="5">
        <v>-30828</v>
      </c>
      <c r="F2954" s="3" t="s">
        <v>1402</v>
      </c>
      <c r="G2954" s="3" t="s">
        <v>97</v>
      </c>
      <c r="H2954" s="2" t="s">
        <v>72</v>
      </c>
      <c r="I2954" s="2" t="s">
        <v>7351</v>
      </c>
      <c r="J2954" s="3" t="str">
        <f>HYPERLINK("https://www.boe.es/gazeta/dias/1815/08/05/pdfs/GMD-1815-96.pdf#page=3","Abrir facsímil")</f>
        <v>Abrir facsímil</v>
      </c>
      <c r="K2954" s="3" t="s">
        <v>74</v>
      </c>
    </row>
    <row r="2955" spans="1:11" ht="42" customHeight="1">
      <c r="A2955" s="2" t="s">
        <v>7350</v>
      </c>
      <c r="B2955" s="2" t="s">
        <v>7350</v>
      </c>
      <c r="C2955" s="2" t="s">
        <v>31</v>
      </c>
      <c r="D2955" s="2" t="s">
        <v>32</v>
      </c>
      <c r="E2955" s="5">
        <v>-30825</v>
      </c>
      <c r="F2955" s="3" t="s">
        <v>669</v>
      </c>
      <c r="G2955" s="3" t="s">
        <v>410</v>
      </c>
      <c r="H2955" s="2" t="s">
        <v>72</v>
      </c>
      <c r="I2955" s="2" t="s">
        <v>7352</v>
      </c>
      <c r="J2955" s="3" t="str">
        <f>HYPERLINK("https://www.boe.es/gazeta/dias/1815/08/08/pdfs/GMD-1815-97.pdf#page=1","Abrir facsímil")</f>
        <v>Abrir facsímil</v>
      </c>
      <c r="K2955" s="3" t="s">
        <v>74</v>
      </c>
    </row>
    <row r="2956" spans="1:11" ht="42" customHeight="1">
      <c r="A2956" s="2" t="s">
        <v>7350</v>
      </c>
      <c r="B2956" s="2" t="s">
        <v>7350</v>
      </c>
      <c r="C2956" s="2" t="s">
        <v>31</v>
      </c>
      <c r="D2956" s="2" t="s">
        <v>32</v>
      </c>
      <c r="E2956" s="5">
        <v>-30821</v>
      </c>
      <c r="F2956" s="3" t="s">
        <v>915</v>
      </c>
      <c r="G2956" s="3" t="s">
        <v>410</v>
      </c>
      <c r="H2956" s="2" t="s">
        <v>72</v>
      </c>
      <c r="I2956" s="2" t="s">
        <v>7353</v>
      </c>
      <c r="J2956" s="3" t="str">
        <f>HYPERLINK("https://www.boe.es/gazeta/dias/1815/08/12/pdfs/GMD-1815-99.pdf#page=1","Abrir facsímil")</f>
        <v>Abrir facsímil</v>
      </c>
      <c r="K2956" s="3" t="s">
        <v>74</v>
      </c>
    </row>
    <row r="2957" spans="1:11" ht="42" customHeight="1">
      <c r="A2957" s="2" t="s">
        <v>7354</v>
      </c>
      <c r="B2957" s="2" t="s">
        <v>7354</v>
      </c>
      <c r="C2957" s="2" t="s">
        <v>31</v>
      </c>
      <c r="D2957" s="2" t="s">
        <v>32</v>
      </c>
      <c r="E2957" s="5">
        <v>-30823</v>
      </c>
      <c r="F2957" s="3" t="s">
        <v>305</v>
      </c>
      <c r="G2957" s="3" t="s">
        <v>20</v>
      </c>
      <c r="H2957" s="2" t="s">
        <v>72</v>
      </c>
      <c r="I2957" s="2" t="s">
        <v>7355</v>
      </c>
      <c r="J2957" s="3" t="str">
        <f>HYPERLINK("https://www.boe.es/gazeta/dias/1815/08/10/pdfs/GMD-1815-98.pdf#page=4","Abrir facsímil")</f>
        <v>Abrir facsímil</v>
      </c>
      <c r="K2957" s="3" t="s">
        <v>74</v>
      </c>
    </row>
    <row r="2958" spans="1:11" ht="42" customHeight="1">
      <c r="A2958" s="2" t="s">
        <v>7356</v>
      </c>
      <c r="B2958" s="2" t="s">
        <v>7356</v>
      </c>
      <c r="C2958" s="2" t="s">
        <v>31</v>
      </c>
      <c r="D2958" s="2" t="s">
        <v>32</v>
      </c>
      <c r="E2958" s="5">
        <v>-30816</v>
      </c>
      <c r="F2958" s="3" t="s">
        <v>1253</v>
      </c>
      <c r="G2958" s="3" t="s">
        <v>97</v>
      </c>
      <c r="H2958" s="2" t="s">
        <v>72</v>
      </c>
      <c r="I2958" s="2" t="s">
        <v>7357</v>
      </c>
      <c r="J2958" s="3" t="str">
        <f>HYPERLINK("https://www.boe.es/gazeta/dias/1815/08/17/pdfs/GMD-1815-101.pdf#page=3","Abrir facsímil")</f>
        <v>Abrir facsímil</v>
      </c>
      <c r="K2958" s="3" t="s">
        <v>74</v>
      </c>
    </row>
    <row r="2959" spans="1:11" ht="42" customHeight="1">
      <c r="A2959" s="2" t="s">
        <v>7358</v>
      </c>
      <c r="B2959" s="2" t="s">
        <v>7358</v>
      </c>
      <c r="C2959" s="2" t="s">
        <v>31</v>
      </c>
      <c r="D2959" s="2" t="s">
        <v>32</v>
      </c>
      <c r="E2959" s="5">
        <v>-30811</v>
      </c>
      <c r="F2959" s="3" t="s">
        <v>293</v>
      </c>
      <c r="G2959" s="3" t="s">
        <v>97</v>
      </c>
      <c r="H2959" s="2" t="s">
        <v>72</v>
      </c>
      <c r="I2959" s="2" t="s">
        <v>7359</v>
      </c>
      <c r="J2959" s="3" t="str">
        <f>HYPERLINK("https://www.boe.es/gazeta/dias/1815/08/22/pdfs/GMD-1815-103.pdf#page=3","Abrir facsímil")</f>
        <v>Abrir facsímil</v>
      </c>
      <c r="K2959" s="3" t="s">
        <v>74</v>
      </c>
    </row>
    <row r="2960" spans="1:11" ht="42" customHeight="1">
      <c r="A2960" s="2" t="s">
        <v>7360</v>
      </c>
      <c r="B2960" s="2" t="s">
        <v>7360</v>
      </c>
      <c r="C2960" s="2" t="s">
        <v>31</v>
      </c>
      <c r="D2960" s="2" t="s">
        <v>32</v>
      </c>
      <c r="E2960" s="5">
        <v>-30739</v>
      </c>
      <c r="F2960" s="3" t="s">
        <v>254</v>
      </c>
      <c r="G2960" s="3" t="s">
        <v>377</v>
      </c>
      <c r="H2960" s="2" t="s">
        <v>72</v>
      </c>
      <c r="I2960" s="2" t="s">
        <v>7361</v>
      </c>
      <c r="J2960" s="3" t="str">
        <f>HYPERLINK("https://www.boe.es/gazeta/dias/1815/11/02/pdfs/GMD-1815-137.pdf#page=2","Abrir facsímil")</f>
        <v>Abrir facsímil</v>
      </c>
      <c r="K2960" s="3" t="s">
        <v>74</v>
      </c>
    </row>
    <row r="2961" spans="1:11" ht="42" customHeight="1">
      <c r="A2961" s="2" t="s">
        <v>7362</v>
      </c>
      <c r="B2961" s="2" t="s">
        <v>7362</v>
      </c>
      <c r="C2961" s="2" t="s">
        <v>31</v>
      </c>
      <c r="D2961" s="2" t="s">
        <v>32</v>
      </c>
      <c r="E2961" s="5">
        <v>-30961</v>
      </c>
      <c r="F2961" s="3" t="s">
        <v>1176</v>
      </c>
      <c r="G2961" s="3" t="s">
        <v>97</v>
      </c>
      <c r="H2961" s="2" t="s">
        <v>72</v>
      </c>
      <c r="I2961" s="2" t="s">
        <v>7363</v>
      </c>
      <c r="J2961" s="3" t="str">
        <f>HYPERLINK("https://www.boe.es/gazeta/dias/1815/03/25/pdfs/GMD-1815-36.pdf#page=3","Abrir facsímil")</f>
        <v>Abrir facsímil</v>
      </c>
      <c r="K2961" s="3" t="s">
        <v>74</v>
      </c>
    </row>
    <row r="2962" spans="1:11" ht="42" customHeight="1">
      <c r="A2962" s="2" t="s">
        <v>7362</v>
      </c>
      <c r="B2962" s="2" t="s">
        <v>7362</v>
      </c>
      <c r="C2962" s="2" t="s">
        <v>31</v>
      </c>
      <c r="D2962" s="2" t="s">
        <v>32</v>
      </c>
      <c r="E2962" s="5">
        <v>-30816</v>
      </c>
      <c r="F2962" s="3" t="s">
        <v>1253</v>
      </c>
      <c r="G2962" s="3" t="s">
        <v>71</v>
      </c>
      <c r="H2962" s="2" t="s">
        <v>72</v>
      </c>
      <c r="I2962" s="2" t="s">
        <v>7364</v>
      </c>
      <c r="J2962" s="3" t="str">
        <f>HYPERLINK("https://www.boe.es/gazeta/dias/1815/08/17/pdfs/GMD-1815-101.pdf#page=7","Abrir facsímil")</f>
        <v>Abrir facsímil</v>
      </c>
      <c r="K2962" s="3" t="s">
        <v>74</v>
      </c>
    </row>
    <row r="2963" spans="1:11" ht="42" customHeight="1">
      <c r="A2963" s="2" t="s">
        <v>7365</v>
      </c>
      <c r="B2963" s="2" t="s">
        <v>7366</v>
      </c>
      <c r="C2963" s="2" t="s">
        <v>31</v>
      </c>
      <c r="D2963" s="2" t="s">
        <v>32</v>
      </c>
      <c r="E2963" s="5">
        <v>-30886</v>
      </c>
      <c r="F2963" s="3" t="s">
        <v>140</v>
      </c>
      <c r="G2963" s="3" t="s">
        <v>224</v>
      </c>
      <c r="H2963" s="2" t="s">
        <v>72</v>
      </c>
      <c r="I2963" s="2" t="s">
        <v>7367</v>
      </c>
      <c r="J2963" s="3" t="str">
        <f>HYPERLINK("https://www.boe.es/gazeta/dias/1815/06/08/pdfs/GMD-1815-69.pdf#page=9","Abrir facsímil")</f>
        <v>Abrir facsímil</v>
      </c>
      <c r="K2963" s="3" t="s">
        <v>74</v>
      </c>
    </row>
    <row r="2964" spans="1:11" ht="42" customHeight="1">
      <c r="A2964" s="2" t="s">
        <v>7368</v>
      </c>
      <c r="B2964" s="2" t="s">
        <v>7369</v>
      </c>
      <c r="C2964" s="2" t="s">
        <v>31</v>
      </c>
      <c r="D2964" s="2" t="s">
        <v>32</v>
      </c>
      <c r="E2964" s="5">
        <v>-30872</v>
      </c>
      <c r="F2964" s="3" t="s">
        <v>167</v>
      </c>
      <c r="G2964" s="3" t="s">
        <v>342</v>
      </c>
      <c r="H2964" s="2" t="s">
        <v>72</v>
      </c>
      <c r="I2964" s="2" t="s">
        <v>7370</v>
      </c>
      <c r="J2964" s="3" t="str">
        <f>HYPERLINK("https://www.boe.es/gazeta/dias/1815/06/22/pdfs/GMD-1815-75.pdf#page=8","Abrir facsímil")</f>
        <v>Abrir facsímil</v>
      </c>
      <c r="K2964" s="3" t="s">
        <v>74</v>
      </c>
    </row>
    <row r="2965" spans="1:11" ht="42" customHeight="1">
      <c r="A2965" s="2" t="s">
        <v>7371</v>
      </c>
      <c r="B2965" s="2" t="s">
        <v>7372</v>
      </c>
      <c r="C2965" s="2" t="s">
        <v>31</v>
      </c>
      <c r="D2965" s="2" t="s">
        <v>32</v>
      </c>
      <c r="E2965" s="5">
        <v>-30765</v>
      </c>
      <c r="F2965" s="3" t="s">
        <v>2150</v>
      </c>
      <c r="G2965" s="3" t="s">
        <v>377</v>
      </c>
      <c r="H2965" s="2" t="s">
        <v>72</v>
      </c>
      <c r="I2965" s="2" t="s">
        <v>7373</v>
      </c>
      <c r="J2965" s="3" t="str">
        <f>HYPERLINK("https://www.boe.es/gazeta/dias/1815/10/07/pdfs/GMD-1815-126.pdf#page=2","Abrir facsímil")</f>
        <v>Abrir facsímil</v>
      </c>
      <c r="K2965" s="3" t="s">
        <v>74</v>
      </c>
    </row>
    <row r="2966" spans="1:11" ht="42" customHeight="1">
      <c r="A2966" s="2" t="s">
        <v>7374</v>
      </c>
      <c r="B2966" s="2" t="s">
        <v>7375</v>
      </c>
      <c r="C2966" s="2" t="s">
        <v>31</v>
      </c>
      <c r="D2966" s="2" t="s">
        <v>32</v>
      </c>
      <c r="E2966" s="5">
        <v>-30863</v>
      </c>
      <c r="F2966" s="3" t="s">
        <v>110</v>
      </c>
      <c r="G2966" s="3" t="s">
        <v>88</v>
      </c>
      <c r="H2966" s="2" t="s">
        <v>72</v>
      </c>
      <c r="I2966" s="2" t="s">
        <v>7376</v>
      </c>
      <c r="J2966" s="3" t="str">
        <f>HYPERLINK("https://www.boe.es/gazeta/dias/1815/07/01/pdfs/GMD-1815-79.pdf#page=10","Abrir facsímil")</f>
        <v>Abrir facsímil</v>
      </c>
      <c r="K2966" s="3" t="s">
        <v>74</v>
      </c>
    </row>
    <row r="2967" spans="1:11" ht="42" customHeight="1">
      <c r="A2967" s="2" t="s">
        <v>7377</v>
      </c>
      <c r="B2967" s="2" t="s">
        <v>7377</v>
      </c>
      <c r="C2967" s="2" t="s">
        <v>31</v>
      </c>
      <c r="D2967" s="2" t="s">
        <v>32</v>
      </c>
      <c r="E2967" s="5">
        <v>-30830</v>
      </c>
      <c r="F2967" s="3" t="s">
        <v>33</v>
      </c>
      <c r="G2967" s="3" t="s">
        <v>57</v>
      </c>
      <c r="H2967" s="2" t="s">
        <v>72</v>
      </c>
      <c r="I2967" s="2" t="s">
        <v>7378</v>
      </c>
      <c r="J2967" s="3" t="str">
        <f>HYPERLINK("https://www.boe.es/gazeta/dias/1815/08/03/pdfs/GMD-1815-95.pdf#page=5","Abrir facsímil")</f>
        <v>Abrir facsímil</v>
      </c>
      <c r="K2967" s="3" t="s">
        <v>74</v>
      </c>
    </row>
    <row r="2968" spans="1:11" ht="42" customHeight="1">
      <c r="A2968" s="2" t="s">
        <v>7379</v>
      </c>
      <c r="B2968" s="2" t="s">
        <v>7380</v>
      </c>
      <c r="C2968" s="2" t="s">
        <v>31</v>
      </c>
      <c r="D2968" s="2" t="s">
        <v>32</v>
      </c>
      <c r="E2968" s="5">
        <v>-30914</v>
      </c>
      <c r="F2968" s="3" t="s">
        <v>338</v>
      </c>
      <c r="G2968" s="3" t="s">
        <v>52</v>
      </c>
      <c r="H2968" s="2" t="s">
        <v>72</v>
      </c>
      <c r="I2968" s="2" t="s">
        <v>7381</v>
      </c>
      <c r="J2968" s="3" t="str">
        <f>HYPERLINK("https://www.boe.es/gazeta/dias/1815/05/11/pdfs/GMD-1815-57.pdf#page=11","Abrir facsímil")</f>
        <v>Abrir facsímil</v>
      </c>
      <c r="K2968" s="3" t="s">
        <v>74</v>
      </c>
    </row>
    <row r="2969" spans="1:11" ht="42" customHeight="1">
      <c r="A2969" s="2" t="s">
        <v>7382</v>
      </c>
      <c r="B2969" s="2" t="s">
        <v>7383</v>
      </c>
      <c r="C2969" s="2" t="s">
        <v>49</v>
      </c>
      <c r="D2969" s="2" t="s">
        <v>50</v>
      </c>
      <c r="E2969" s="5">
        <v>-31031</v>
      </c>
      <c r="F2969" s="3" t="s">
        <v>105</v>
      </c>
      <c r="G2969" s="3" t="s">
        <v>106</v>
      </c>
      <c r="H2969" s="2" t="s">
        <v>72</v>
      </c>
      <c r="I2969" s="2" t="s">
        <v>7384</v>
      </c>
      <c r="J2969" s="3" t="str">
        <f>HYPERLINK("https://www.boe.es/gazeta/dias/1815/01/14/pdfs/GMD-1815-6.pdf#page=7","Abrir facsímil")</f>
        <v>Abrir facsímil</v>
      </c>
      <c r="K2969" s="3" t="s">
        <v>74</v>
      </c>
    </row>
    <row r="2970" spans="1:11" ht="42" customHeight="1">
      <c r="A2970" s="2" t="s">
        <v>7385</v>
      </c>
      <c r="B2970" s="2" t="s">
        <v>7386</v>
      </c>
      <c r="C2970" s="2" t="s">
        <v>195</v>
      </c>
      <c r="D2970" s="2" t="s">
        <v>50</v>
      </c>
      <c r="E2970" s="5">
        <v>-30900</v>
      </c>
      <c r="F2970" s="3" t="s">
        <v>921</v>
      </c>
      <c r="G2970" s="3" t="s">
        <v>88</v>
      </c>
      <c r="H2970" s="2" t="s">
        <v>72</v>
      </c>
      <c r="I2970" s="2" t="s">
        <v>7387</v>
      </c>
      <c r="J2970" s="3" t="str">
        <f>HYPERLINK("https://www.boe.es/gazeta/dias/1815/05/25/pdfs/GMD-1815-63.pdf#page=10","Abrir facsímil")</f>
        <v>Abrir facsímil</v>
      </c>
      <c r="K2970" s="3" t="s">
        <v>74</v>
      </c>
    </row>
    <row r="2971" spans="1:11" ht="42" customHeight="1">
      <c r="A2971" s="2" t="s">
        <v>7388</v>
      </c>
      <c r="B2971" s="2" t="s">
        <v>7388</v>
      </c>
      <c r="C2971" s="2" t="s">
        <v>31</v>
      </c>
      <c r="D2971" s="2" t="s">
        <v>32</v>
      </c>
      <c r="E2971" s="5">
        <v>-30977</v>
      </c>
      <c r="F2971" s="3" t="s">
        <v>37</v>
      </c>
      <c r="G2971" s="3" t="s">
        <v>71</v>
      </c>
      <c r="H2971" s="2" t="s">
        <v>72</v>
      </c>
      <c r="I2971" s="2" t="s">
        <v>7389</v>
      </c>
      <c r="J2971" s="3" t="str">
        <f>HYPERLINK("https://www.boe.es/gazeta/dias/1815/03/09/pdfs/GMD-1815-29.pdf#page=7","Abrir facsímil")</f>
        <v>Abrir facsímil</v>
      </c>
      <c r="K2971" s="3" t="s">
        <v>74</v>
      </c>
    </row>
    <row r="2972" spans="1:11" ht="42" customHeight="1">
      <c r="A2972" s="2" t="s">
        <v>7390</v>
      </c>
      <c r="B2972" s="2" t="s">
        <v>7390</v>
      </c>
      <c r="C2972" s="2" t="s">
        <v>81</v>
      </c>
      <c r="D2972" s="2" t="s">
        <v>50</v>
      </c>
      <c r="E2972" s="5">
        <v>-31028</v>
      </c>
      <c r="F2972" s="3" t="s">
        <v>517</v>
      </c>
      <c r="G2972" s="3" t="s">
        <v>224</v>
      </c>
      <c r="H2972" s="2" t="s">
        <v>72</v>
      </c>
      <c r="I2972" s="2" t="s">
        <v>7391</v>
      </c>
      <c r="J2972" s="3" t="str">
        <f>HYPERLINK("https://www.boe.es/gazeta/dias/1815/01/17/pdfs/GMD-1815-7.pdf#page=9","Abrir facsímil")</f>
        <v>Abrir facsímil</v>
      </c>
      <c r="K2972" s="3" t="s">
        <v>74</v>
      </c>
    </row>
    <row r="2973" spans="1:11" ht="42" customHeight="1">
      <c r="A2973" s="2" t="s">
        <v>7390</v>
      </c>
      <c r="B2973" s="2" t="s">
        <v>7390</v>
      </c>
      <c r="C2973" s="2" t="s">
        <v>17</v>
      </c>
      <c r="D2973" s="2" t="s">
        <v>18</v>
      </c>
      <c r="E2973" s="5">
        <v>-31003</v>
      </c>
      <c r="F2973" s="3" t="s">
        <v>405</v>
      </c>
      <c r="G2973" s="3" t="s">
        <v>38</v>
      </c>
      <c r="H2973" s="2" t="s">
        <v>72</v>
      </c>
      <c r="I2973" s="2" t="s">
        <v>7392</v>
      </c>
      <c r="J2973" s="3" t="str">
        <f>HYPERLINK("https://www.boe.es/gazeta/dias/1815/02/11/pdfs/GMD-1815-18.pdf#page=8","Abrir facsímil")</f>
        <v>Abrir facsímil</v>
      </c>
      <c r="K2973" s="3" t="s">
        <v>74</v>
      </c>
    </row>
    <row r="2974" spans="1:11" ht="42" customHeight="1">
      <c r="A2974" s="2" t="s">
        <v>7390</v>
      </c>
      <c r="B2974" s="2" t="s">
        <v>7390</v>
      </c>
      <c r="C2974" s="2" t="s">
        <v>17</v>
      </c>
      <c r="D2974" s="2" t="s">
        <v>18</v>
      </c>
      <c r="E2974" s="5">
        <v>-30993</v>
      </c>
      <c r="F2974" s="3" t="s">
        <v>66</v>
      </c>
      <c r="G2974" s="3" t="s">
        <v>38</v>
      </c>
      <c r="H2974" s="2" t="s">
        <v>72</v>
      </c>
      <c r="I2974" s="2" t="s">
        <v>7393</v>
      </c>
      <c r="J2974" s="3" t="str">
        <f>HYPERLINK("https://www.boe.es/gazeta/dias/1815/02/21/pdfs/GMD-1815-22.pdf#page=8","Abrir facsímil")</f>
        <v>Abrir facsímil</v>
      </c>
      <c r="K2974" s="3" t="s">
        <v>74</v>
      </c>
    </row>
    <row r="2975" spans="1:11" ht="42" customHeight="1">
      <c r="A2975" s="2" t="s">
        <v>7390</v>
      </c>
      <c r="B2975" s="2" t="s">
        <v>7390</v>
      </c>
      <c r="C2975" s="2" t="s">
        <v>49</v>
      </c>
      <c r="D2975" s="2" t="s">
        <v>50</v>
      </c>
      <c r="E2975" s="5">
        <v>-30982</v>
      </c>
      <c r="F2975" s="3" t="s">
        <v>220</v>
      </c>
      <c r="G2975" s="3" t="s">
        <v>38</v>
      </c>
      <c r="H2975" s="2" t="s">
        <v>72</v>
      </c>
      <c r="I2975" s="2" t="s">
        <v>7394</v>
      </c>
      <c r="J2975" s="3" t="str">
        <f>HYPERLINK("https://www.boe.es/gazeta/dias/1815/03/04/pdfs/GMD-1815-27.pdf#page=8","Abrir facsímil")</f>
        <v>Abrir facsímil</v>
      </c>
      <c r="K2975" s="3" t="s">
        <v>74</v>
      </c>
    </row>
    <row r="2976" spans="1:11" ht="42" customHeight="1">
      <c r="A2976" s="2" t="s">
        <v>7390</v>
      </c>
      <c r="B2976" s="2" t="s">
        <v>7390</v>
      </c>
      <c r="C2976" s="2" t="s">
        <v>17</v>
      </c>
      <c r="D2976" s="2" t="s">
        <v>18</v>
      </c>
      <c r="E2976" s="5">
        <v>-30979</v>
      </c>
      <c r="F2976" s="3" t="s">
        <v>56</v>
      </c>
      <c r="G2976" s="3" t="s">
        <v>38</v>
      </c>
      <c r="H2976" s="2" t="s">
        <v>72</v>
      </c>
      <c r="I2976" s="2" t="s">
        <v>7395</v>
      </c>
      <c r="J2976" s="3" t="str">
        <f>HYPERLINK("https://www.boe.es/gazeta/dias/1815/03/07/pdfs/GMD-1815-28.pdf#page=8","Abrir facsímil")</f>
        <v>Abrir facsímil</v>
      </c>
      <c r="K2976" s="3" t="s">
        <v>74</v>
      </c>
    </row>
    <row r="2977" spans="1:11" ht="42" customHeight="1">
      <c r="A2977" s="2" t="s">
        <v>7390</v>
      </c>
      <c r="B2977" s="2" t="s">
        <v>7390</v>
      </c>
      <c r="C2977" s="2" t="s">
        <v>31</v>
      </c>
      <c r="D2977" s="2" t="s">
        <v>32</v>
      </c>
      <c r="E2977" s="5">
        <v>-30977</v>
      </c>
      <c r="F2977" s="3" t="s">
        <v>37</v>
      </c>
      <c r="G2977" s="3" t="s">
        <v>38</v>
      </c>
      <c r="H2977" s="2" t="s">
        <v>72</v>
      </c>
      <c r="I2977" s="2" t="s">
        <v>7396</v>
      </c>
      <c r="J2977" s="3" t="str">
        <f>HYPERLINK("https://www.boe.es/gazeta/dias/1815/03/09/pdfs/GMD-1815-29.pdf#page=8","Abrir facsímil")</f>
        <v>Abrir facsímil</v>
      </c>
      <c r="K2977" s="3" t="s">
        <v>74</v>
      </c>
    </row>
    <row r="2978" spans="1:11" ht="42" customHeight="1">
      <c r="A2978" s="2" t="s">
        <v>7390</v>
      </c>
      <c r="B2978" s="2" t="s">
        <v>7390</v>
      </c>
      <c r="C2978" s="2" t="s">
        <v>17</v>
      </c>
      <c r="D2978" s="2" t="s">
        <v>18</v>
      </c>
      <c r="E2978" s="5">
        <v>-30972</v>
      </c>
      <c r="F2978" s="3" t="s">
        <v>1382</v>
      </c>
      <c r="G2978" s="3" t="s">
        <v>38</v>
      </c>
      <c r="H2978" s="2" t="s">
        <v>72</v>
      </c>
      <c r="I2978" s="2" t="s">
        <v>7397</v>
      </c>
      <c r="J2978" s="3" t="str">
        <f>HYPERLINK("https://www.boe.es/gazeta/dias/1815/03/14/pdfs/GMD-1815-31.pdf#page=8","Abrir facsímil")</f>
        <v>Abrir facsímil</v>
      </c>
      <c r="K2978" s="3" t="s">
        <v>74</v>
      </c>
    </row>
    <row r="2979" spans="1:11" ht="42" customHeight="1">
      <c r="A2979" s="2" t="s">
        <v>7390</v>
      </c>
      <c r="B2979" s="2" t="s">
        <v>7390</v>
      </c>
      <c r="C2979" s="2" t="s">
        <v>31</v>
      </c>
      <c r="D2979" s="2" t="s">
        <v>32</v>
      </c>
      <c r="E2979" s="5">
        <v>-30968</v>
      </c>
      <c r="F2979" s="3" t="s">
        <v>2695</v>
      </c>
      <c r="G2979" s="3" t="s">
        <v>52</v>
      </c>
      <c r="H2979" s="2" t="s">
        <v>72</v>
      </c>
      <c r="I2979" s="2" t="s">
        <v>7398</v>
      </c>
      <c r="J2979" s="3" t="str">
        <f>HYPERLINK("https://www.boe.es/gazeta/dias/1815/03/18/pdfs/GMD-1815-33.pdf#page=11","Abrir facsímil")</f>
        <v>Abrir facsímil</v>
      </c>
      <c r="K2979" s="3" t="s">
        <v>74</v>
      </c>
    </row>
    <row r="2980" spans="1:11" ht="42" customHeight="1">
      <c r="A2980" s="2" t="s">
        <v>7390</v>
      </c>
      <c r="B2980" s="2" t="s">
        <v>7390</v>
      </c>
      <c r="C2980" s="2" t="s">
        <v>131</v>
      </c>
      <c r="D2980" s="2" t="s">
        <v>50</v>
      </c>
      <c r="E2980" s="5">
        <v>-30965</v>
      </c>
      <c r="F2980" s="3" t="s">
        <v>1679</v>
      </c>
      <c r="G2980" s="3" t="s">
        <v>38</v>
      </c>
      <c r="H2980" s="2" t="s">
        <v>72</v>
      </c>
      <c r="I2980" s="2" t="s">
        <v>7399</v>
      </c>
      <c r="J2980" s="3" t="str">
        <f>HYPERLINK("https://www.boe.es/gazeta/dias/1815/03/21/pdfs/GMD-1815-34.pdf#page=8","Abrir facsímil")</f>
        <v>Abrir facsímil</v>
      </c>
      <c r="K2980" s="3" t="s">
        <v>74</v>
      </c>
    </row>
    <row r="2981" spans="1:11" ht="42" customHeight="1">
      <c r="A2981" s="2" t="s">
        <v>7390</v>
      </c>
      <c r="B2981" s="2" t="s">
        <v>7390</v>
      </c>
      <c r="C2981" s="2" t="s">
        <v>17</v>
      </c>
      <c r="D2981" s="2" t="s">
        <v>18</v>
      </c>
      <c r="E2981" s="5">
        <v>-30961</v>
      </c>
      <c r="F2981" s="3" t="s">
        <v>1176</v>
      </c>
      <c r="G2981" s="3" t="s">
        <v>1177</v>
      </c>
      <c r="H2981" s="2" t="s">
        <v>72</v>
      </c>
      <c r="I2981" s="2" t="s">
        <v>7400</v>
      </c>
      <c r="J2981" s="3" t="str">
        <f>HYPERLINK("https://www.boe.es/gazeta/dias/1815/03/25/pdfs/GMD-1815-36.pdf#page=7","Abrir facsímil")</f>
        <v>Abrir facsímil</v>
      </c>
      <c r="K2981" s="3" t="s">
        <v>74</v>
      </c>
    </row>
    <row r="2982" spans="1:11" ht="42" customHeight="1">
      <c r="A2982" s="2" t="s">
        <v>7390</v>
      </c>
      <c r="B2982" s="2" t="s">
        <v>7390</v>
      </c>
      <c r="C2982" s="2" t="s">
        <v>17</v>
      </c>
      <c r="D2982" s="2" t="s">
        <v>18</v>
      </c>
      <c r="E2982" s="5">
        <v>-30961</v>
      </c>
      <c r="F2982" s="3" t="s">
        <v>1176</v>
      </c>
      <c r="G2982" s="3" t="s">
        <v>38</v>
      </c>
      <c r="H2982" s="2" t="s">
        <v>72</v>
      </c>
      <c r="I2982" s="2" t="s">
        <v>7401</v>
      </c>
      <c r="J2982" s="3" t="str">
        <f>HYPERLINK("https://www.boe.es/gazeta/dias/1815/03/25/pdfs/GMD-1815-36.pdf#page=8","Abrir facsímil")</f>
        <v>Abrir facsímil</v>
      </c>
      <c r="K2982" s="3" t="s">
        <v>74</v>
      </c>
    </row>
    <row r="2983" spans="1:11" ht="42" customHeight="1">
      <c r="A2983" s="2" t="s">
        <v>7390</v>
      </c>
      <c r="B2983" s="2" t="s">
        <v>7390</v>
      </c>
      <c r="C2983" s="2" t="s">
        <v>17</v>
      </c>
      <c r="D2983" s="2" t="s">
        <v>18</v>
      </c>
      <c r="E2983" s="5">
        <v>-30944</v>
      </c>
      <c r="F2983" s="3" t="s">
        <v>412</v>
      </c>
      <c r="G2983" s="3" t="s">
        <v>38</v>
      </c>
      <c r="H2983" s="2" t="s">
        <v>72</v>
      </c>
      <c r="I2983" s="2" t="s">
        <v>7402</v>
      </c>
      <c r="J2983" s="3" t="str">
        <f>HYPERLINK("https://www.boe.es/gazeta/dias/1815/04/11/pdfs/GMD-1815-44.pdf#page=8","Abrir facsímil")</f>
        <v>Abrir facsímil</v>
      </c>
      <c r="K2983" s="3" t="s">
        <v>74</v>
      </c>
    </row>
    <row r="2984" spans="1:11" ht="42" customHeight="1">
      <c r="A2984" s="2" t="s">
        <v>7390</v>
      </c>
      <c r="B2984" s="2" t="s">
        <v>7390</v>
      </c>
      <c r="C2984" s="2" t="s">
        <v>17</v>
      </c>
      <c r="D2984" s="2" t="s">
        <v>18</v>
      </c>
      <c r="E2984" s="5">
        <v>-30940</v>
      </c>
      <c r="F2984" s="3" t="s">
        <v>610</v>
      </c>
      <c r="G2984" s="3" t="s">
        <v>38</v>
      </c>
      <c r="H2984" s="2" t="s">
        <v>72</v>
      </c>
      <c r="I2984" s="2" t="s">
        <v>7403</v>
      </c>
      <c r="J2984" s="3" t="str">
        <f>HYPERLINK("https://www.boe.es/gazeta/dias/1815/04/15/pdfs/GMD-1815-46.pdf#page=8","Abrir facsímil")</f>
        <v>Abrir facsímil</v>
      </c>
      <c r="K2984" s="3" t="s">
        <v>74</v>
      </c>
    </row>
    <row r="2985" spans="1:11" ht="42" customHeight="1">
      <c r="A2985" s="2" t="s">
        <v>7390</v>
      </c>
      <c r="B2985" s="2" t="s">
        <v>7390</v>
      </c>
      <c r="C2985" s="2" t="s">
        <v>17</v>
      </c>
      <c r="D2985" s="2" t="s">
        <v>18</v>
      </c>
      <c r="E2985" s="5">
        <v>-30937</v>
      </c>
      <c r="F2985" s="3" t="s">
        <v>322</v>
      </c>
      <c r="G2985" s="3" t="s">
        <v>3521</v>
      </c>
      <c r="H2985" s="2" t="s">
        <v>72</v>
      </c>
      <c r="I2985" s="2" t="s">
        <v>7404</v>
      </c>
      <c r="J2985" s="3" t="str">
        <f>HYPERLINK("https://www.boe.es/gazeta/dias/1815/04/18/pdfs/GMD-1815-47.pdf#page=8","Abrir facsímil")</f>
        <v>Abrir facsímil</v>
      </c>
      <c r="K2985" s="3" t="s">
        <v>74</v>
      </c>
    </row>
    <row r="2986" spans="1:11" ht="42" customHeight="1">
      <c r="A2986" s="2" t="s">
        <v>7390</v>
      </c>
      <c r="B2986" s="2" t="s">
        <v>7390</v>
      </c>
      <c r="C2986" s="2" t="s">
        <v>17</v>
      </c>
      <c r="D2986" s="2" t="s">
        <v>18</v>
      </c>
      <c r="E2986" s="5">
        <v>-30933</v>
      </c>
      <c r="F2986" s="3" t="s">
        <v>725</v>
      </c>
      <c r="G2986" s="3" t="s">
        <v>3007</v>
      </c>
      <c r="H2986" s="2" t="s">
        <v>72</v>
      </c>
      <c r="I2986" s="2" t="s">
        <v>7405</v>
      </c>
      <c r="J2986" s="3" t="str">
        <f>HYPERLINK("https://www.boe.es/gazeta/dias/1815/04/22/pdfs/GMD-1815-49.pdf#page=8","Abrir facsímil")</f>
        <v>Abrir facsímil</v>
      </c>
      <c r="K2986" s="3" t="s">
        <v>74</v>
      </c>
    </row>
    <row r="2987" spans="1:11" ht="42" customHeight="1">
      <c r="A2987" s="2" t="s">
        <v>7390</v>
      </c>
      <c r="B2987" s="2" t="s">
        <v>7390</v>
      </c>
      <c r="C2987" s="2" t="s">
        <v>49</v>
      </c>
      <c r="D2987" s="2" t="s">
        <v>50</v>
      </c>
      <c r="E2987" s="5">
        <v>-30930</v>
      </c>
      <c r="F2987" s="3" t="s">
        <v>51</v>
      </c>
      <c r="G2987" s="3" t="s">
        <v>52</v>
      </c>
      <c r="H2987" s="2" t="s">
        <v>72</v>
      </c>
      <c r="I2987" s="2" t="s">
        <v>7406</v>
      </c>
      <c r="J2987" s="3" t="str">
        <f>HYPERLINK("https://www.boe.es/gazeta/dias/1815/04/25/pdfs/GMD-1815-50.pdf#page=11","Abrir facsímil")</f>
        <v>Abrir facsímil</v>
      </c>
      <c r="K2987" s="3" t="s">
        <v>74</v>
      </c>
    </row>
    <row r="2988" spans="1:11" ht="42" customHeight="1">
      <c r="A2988" s="2" t="s">
        <v>7390</v>
      </c>
      <c r="B2988" s="2" t="s">
        <v>7390</v>
      </c>
      <c r="C2988" s="2" t="s">
        <v>131</v>
      </c>
      <c r="D2988" s="2" t="s">
        <v>50</v>
      </c>
      <c r="E2988" s="5">
        <v>-30923</v>
      </c>
      <c r="F2988" s="3" t="s">
        <v>524</v>
      </c>
      <c r="G2988" s="3" t="s">
        <v>1289</v>
      </c>
      <c r="H2988" s="2" t="s">
        <v>72</v>
      </c>
      <c r="I2988" s="2" t="s">
        <v>7407</v>
      </c>
      <c r="J2988" s="3" t="str">
        <f>HYPERLINK("https://www.boe.es/gazeta/dias/1815/05/02/pdfs/GMD-1815-53.pdf#page=11","Abrir facsímil")</f>
        <v>Abrir facsímil</v>
      </c>
      <c r="K2988" s="3" t="s">
        <v>74</v>
      </c>
    </row>
    <row r="2989" spans="1:11" ht="42" customHeight="1">
      <c r="A2989" s="2" t="s">
        <v>7390</v>
      </c>
      <c r="B2989" s="2" t="s">
        <v>7390</v>
      </c>
      <c r="C2989" s="2" t="s">
        <v>17</v>
      </c>
      <c r="D2989" s="2" t="s">
        <v>18</v>
      </c>
      <c r="E2989" s="5">
        <v>-30914</v>
      </c>
      <c r="F2989" s="3" t="s">
        <v>338</v>
      </c>
      <c r="G2989" s="3" t="s">
        <v>276</v>
      </c>
      <c r="H2989" s="2" t="s">
        <v>72</v>
      </c>
      <c r="I2989" s="2" t="s">
        <v>7408</v>
      </c>
      <c r="J2989" s="3" t="str">
        <f>HYPERLINK("https://www.boe.es/gazeta/dias/1815/05/11/pdfs/GMD-1815-57.pdf#page=12","Abrir facsímil")</f>
        <v>Abrir facsímil</v>
      </c>
      <c r="K2989" s="3" t="s">
        <v>74</v>
      </c>
    </row>
    <row r="2990" spans="1:11" ht="42" customHeight="1">
      <c r="A2990" s="2" t="s">
        <v>7390</v>
      </c>
      <c r="B2990" s="2" t="s">
        <v>7390</v>
      </c>
      <c r="C2990" s="2" t="s">
        <v>17</v>
      </c>
      <c r="D2990" s="2" t="s">
        <v>18</v>
      </c>
      <c r="E2990" s="5">
        <v>-30902</v>
      </c>
      <c r="F2990" s="3" t="s">
        <v>648</v>
      </c>
      <c r="G2990" s="3" t="s">
        <v>38</v>
      </c>
      <c r="H2990" s="2" t="s">
        <v>72</v>
      </c>
      <c r="I2990" s="2" t="s">
        <v>7409</v>
      </c>
      <c r="J2990" s="3" t="str">
        <f>HYPERLINK("https://www.boe.es/gazeta/dias/1815/05/23/pdfs/GMD-1815-62.pdf#page=8","Abrir facsímil")</f>
        <v>Abrir facsímil</v>
      </c>
      <c r="K2990" s="3" t="s">
        <v>74</v>
      </c>
    </row>
    <row r="2991" spans="1:11" ht="42" customHeight="1">
      <c r="A2991" s="2" t="s">
        <v>7390</v>
      </c>
      <c r="B2991" s="2" t="s">
        <v>7390</v>
      </c>
      <c r="C2991" s="2" t="s">
        <v>61</v>
      </c>
      <c r="D2991" s="2" t="s">
        <v>50</v>
      </c>
      <c r="E2991" s="5">
        <v>-30900</v>
      </c>
      <c r="F2991" s="3" t="s">
        <v>921</v>
      </c>
      <c r="G2991" s="3" t="s">
        <v>52</v>
      </c>
      <c r="H2991" s="2" t="s">
        <v>72</v>
      </c>
      <c r="I2991" s="2" t="s">
        <v>7410</v>
      </c>
      <c r="J2991" s="3" t="str">
        <f>HYPERLINK("https://www.boe.es/gazeta/dias/1815/05/25/pdfs/GMD-1815-63.pdf#page=11","Abrir facsímil")</f>
        <v>Abrir facsímil</v>
      </c>
      <c r="K2991" s="3" t="s">
        <v>74</v>
      </c>
    </row>
    <row r="2992" spans="1:11" ht="42" customHeight="1">
      <c r="A2992" s="2" t="s">
        <v>7390</v>
      </c>
      <c r="B2992" s="2" t="s">
        <v>7390</v>
      </c>
      <c r="C2992" s="2" t="s">
        <v>49</v>
      </c>
      <c r="D2992" s="2" t="s">
        <v>50</v>
      </c>
      <c r="E2992" s="5">
        <v>-30891</v>
      </c>
      <c r="F2992" s="3" t="s">
        <v>498</v>
      </c>
      <c r="G2992" s="3" t="s">
        <v>38</v>
      </c>
      <c r="H2992" s="2" t="s">
        <v>72</v>
      </c>
      <c r="I2992" s="2" t="s">
        <v>7411</v>
      </c>
      <c r="J2992" s="3" t="str">
        <f>HYPERLINK("https://www.boe.es/gazeta/dias/1815/06/03/pdfs/GMD-1815-67.pdf#page=8","Abrir facsímil")</f>
        <v>Abrir facsímil</v>
      </c>
      <c r="K2992" s="3" t="s">
        <v>74</v>
      </c>
    </row>
    <row r="2993" spans="1:11" ht="42" customHeight="1">
      <c r="A2993" s="2" t="s">
        <v>7390</v>
      </c>
      <c r="B2993" s="2" t="s">
        <v>7390</v>
      </c>
      <c r="C2993" s="2" t="s">
        <v>17</v>
      </c>
      <c r="D2993" s="2" t="s">
        <v>18</v>
      </c>
      <c r="E2993" s="5">
        <v>-30881</v>
      </c>
      <c r="F2993" s="3" t="s">
        <v>446</v>
      </c>
      <c r="G2993" s="3" t="s">
        <v>52</v>
      </c>
      <c r="H2993" s="2" t="s">
        <v>72</v>
      </c>
      <c r="I2993" s="2" t="s">
        <v>7412</v>
      </c>
      <c r="J2993" s="3" t="str">
        <f>HYPERLINK("https://www.boe.es/gazeta/dias/1815/06/13/pdfs/GMD-1815-71.pdf#page=11","Abrir facsímil")</f>
        <v>Abrir facsímil</v>
      </c>
      <c r="K2993" s="3" t="s">
        <v>74</v>
      </c>
    </row>
    <row r="2994" spans="1:11" ht="42" customHeight="1">
      <c r="A2994" s="2" t="s">
        <v>7390</v>
      </c>
      <c r="B2994" s="2" t="s">
        <v>7390</v>
      </c>
      <c r="C2994" s="2" t="s">
        <v>17</v>
      </c>
      <c r="D2994" s="2" t="s">
        <v>18</v>
      </c>
      <c r="E2994" s="5">
        <v>-30877</v>
      </c>
      <c r="F2994" s="3" t="s">
        <v>548</v>
      </c>
      <c r="G2994" s="3" t="s">
        <v>276</v>
      </c>
      <c r="H2994" s="2" t="s">
        <v>72</v>
      </c>
      <c r="I2994" s="2" t="s">
        <v>7413</v>
      </c>
      <c r="J2994" s="3" t="str">
        <f>HYPERLINK("https://www.boe.es/gazeta/dias/1815/06/17/pdfs/GMD-1815-73.pdf#page=12","Abrir facsímil")</f>
        <v>Abrir facsímil</v>
      </c>
      <c r="K2994" s="3" t="s">
        <v>74</v>
      </c>
    </row>
    <row r="2995" spans="1:11" ht="42" customHeight="1">
      <c r="A2995" s="2" t="s">
        <v>7390</v>
      </c>
      <c r="B2995" s="2" t="s">
        <v>7390</v>
      </c>
      <c r="C2995" s="2" t="s">
        <v>49</v>
      </c>
      <c r="D2995" s="2" t="s">
        <v>50</v>
      </c>
      <c r="E2995" s="5">
        <v>-30874</v>
      </c>
      <c r="F2995" s="3" t="s">
        <v>208</v>
      </c>
      <c r="G2995" s="3" t="s">
        <v>52</v>
      </c>
      <c r="H2995" s="2" t="s">
        <v>72</v>
      </c>
      <c r="I2995" s="2" t="s">
        <v>7414</v>
      </c>
      <c r="J2995" s="3" t="str">
        <f>HYPERLINK("https://www.boe.es/gazeta/dias/1815/06/20/pdfs/GMD-1815-74.pdf#page=11","Abrir facsímil")</f>
        <v>Abrir facsímil</v>
      </c>
      <c r="K2995" s="3" t="s">
        <v>74</v>
      </c>
    </row>
    <row r="2996" spans="1:11" ht="42" customHeight="1">
      <c r="A2996" s="2" t="s">
        <v>7390</v>
      </c>
      <c r="B2996" s="2" t="s">
        <v>7390</v>
      </c>
      <c r="C2996" s="2" t="s">
        <v>17</v>
      </c>
      <c r="D2996" s="2" t="s">
        <v>18</v>
      </c>
      <c r="E2996" s="5">
        <v>-30872</v>
      </c>
      <c r="F2996" s="3" t="s">
        <v>167</v>
      </c>
      <c r="G2996" s="3" t="s">
        <v>52</v>
      </c>
      <c r="H2996" s="2" t="s">
        <v>72</v>
      </c>
      <c r="I2996" s="2" t="s">
        <v>7415</v>
      </c>
      <c r="J2996" s="3" t="str">
        <f>HYPERLINK("https://www.boe.es/gazeta/dias/1815/06/22/pdfs/GMD-1815-75.pdf#page=11","Abrir facsímil")</f>
        <v>Abrir facsímil</v>
      </c>
      <c r="K2996" s="3" t="s">
        <v>74</v>
      </c>
    </row>
    <row r="2997" spans="1:11" ht="42" customHeight="1">
      <c r="A2997" s="2" t="s">
        <v>7390</v>
      </c>
      <c r="B2997" s="2" t="s">
        <v>7390</v>
      </c>
      <c r="C2997" s="2" t="s">
        <v>17</v>
      </c>
      <c r="D2997" s="2" t="s">
        <v>18</v>
      </c>
      <c r="E2997" s="5">
        <v>-30849</v>
      </c>
      <c r="F2997" s="3" t="s">
        <v>501</v>
      </c>
      <c r="G2997" s="3" t="s">
        <v>52</v>
      </c>
      <c r="H2997" s="2" t="s">
        <v>72</v>
      </c>
      <c r="I2997" s="2" t="s">
        <v>7416</v>
      </c>
      <c r="J2997" s="3" t="str">
        <f>HYPERLINK("https://www.boe.es/gazeta/dias/1815/07/15/pdfs/GMD-1815-87.pdf#page=11","Abrir facsímil")</f>
        <v>Abrir facsímil</v>
      </c>
      <c r="K2997" s="3" t="s">
        <v>74</v>
      </c>
    </row>
    <row r="2998" spans="1:11" ht="42" customHeight="1">
      <c r="A2998" s="2" t="s">
        <v>7390</v>
      </c>
      <c r="B2998" s="2" t="s">
        <v>7390</v>
      </c>
      <c r="C2998" s="2" t="s">
        <v>81</v>
      </c>
      <c r="D2998" s="2" t="s">
        <v>50</v>
      </c>
      <c r="E2998" s="5">
        <v>-30844</v>
      </c>
      <c r="F2998" s="3" t="s">
        <v>114</v>
      </c>
      <c r="G2998" s="3" t="s">
        <v>38</v>
      </c>
      <c r="H2998" s="2" t="s">
        <v>72</v>
      </c>
      <c r="I2998" s="2" t="s">
        <v>7417</v>
      </c>
      <c r="J2998" s="3" t="str">
        <f>HYPERLINK("https://www.boe.es/gazeta/dias/1815/07/20/pdfs/GMD-1815-89.pdf#page=8","Abrir facsímil")</f>
        <v>Abrir facsímil</v>
      </c>
      <c r="K2998" s="3" t="s">
        <v>74</v>
      </c>
    </row>
    <row r="2999" spans="1:11" ht="42" customHeight="1">
      <c r="A2999" s="2" t="s">
        <v>7390</v>
      </c>
      <c r="B2999" s="2" t="s">
        <v>7390</v>
      </c>
      <c r="C2999" s="2" t="s">
        <v>17</v>
      </c>
      <c r="D2999" s="2" t="s">
        <v>18</v>
      </c>
      <c r="E2999" s="5">
        <v>-30830</v>
      </c>
      <c r="F2999" s="3" t="s">
        <v>33</v>
      </c>
      <c r="G2999" s="3" t="s">
        <v>276</v>
      </c>
      <c r="H2999" s="2" t="s">
        <v>72</v>
      </c>
      <c r="I2999" s="2" t="s">
        <v>7418</v>
      </c>
      <c r="J2999" s="3" t="str">
        <f>HYPERLINK("https://www.boe.es/gazeta/dias/1815/08/03/pdfs/GMD-1815-95.pdf#page=12","Abrir facsímil")</f>
        <v>Abrir facsímil</v>
      </c>
      <c r="K2999" s="3" t="s">
        <v>74</v>
      </c>
    </row>
    <row r="3000" spans="1:11" ht="42" customHeight="1">
      <c r="A3000" s="2" t="s">
        <v>7390</v>
      </c>
      <c r="B3000" s="2" t="s">
        <v>7390</v>
      </c>
      <c r="C3000" s="2" t="s">
        <v>17</v>
      </c>
      <c r="D3000" s="2" t="s">
        <v>18</v>
      </c>
      <c r="E3000" s="5">
        <v>-30823</v>
      </c>
      <c r="F3000" s="3" t="s">
        <v>305</v>
      </c>
      <c r="G3000" s="3" t="s">
        <v>52</v>
      </c>
      <c r="H3000" s="2" t="s">
        <v>72</v>
      </c>
      <c r="I3000" s="2" t="s">
        <v>7419</v>
      </c>
      <c r="J3000" s="3" t="str">
        <f>HYPERLINK("https://www.boe.es/gazeta/dias/1815/08/10/pdfs/GMD-1815-98.pdf#page=11","Abrir facsímil")</f>
        <v>Abrir facsímil</v>
      </c>
      <c r="K3000" s="3" t="s">
        <v>74</v>
      </c>
    </row>
    <row r="3001" spans="1:11" ht="42" customHeight="1">
      <c r="A3001" s="2" t="s">
        <v>7390</v>
      </c>
      <c r="B3001" s="2" t="s">
        <v>7390</v>
      </c>
      <c r="C3001" s="2" t="s">
        <v>17</v>
      </c>
      <c r="D3001" s="2" t="s">
        <v>18</v>
      </c>
      <c r="E3001" s="5">
        <v>-30823</v>
      </c>
      <c r="F3001" s="3" t="s">
        <v>305</v>
      </c>
      <c r="G3001" s="3" t="s">
        <v>276</v>
      </c>
      <c r="H3001" s="2" t="s">
        <v>72</v>
      </c>
      <c r="I3001" s="2" t="s">
        <v>7420</v>
      </c>
      <c r="J3001" s="3" t="str">
        <f>HYPERLINK("https://www.boe.es/gazeta/dias/1815/08/10/pdfs/GMD-1815-98.pdf#page=12","Abrir facsímil")</f>
        <v>Abrir facsímil</v>
      </c>
      <c r="K3001" s="3" t="s">
        <v>74</v>
      </c>
    </row>
    <row r="3002" spans="1:11" ht="42" customHeight="1">
      <c r="A3002" s="2" t="s">
        <v>7390</v>
      </c>
      <c r="B3002" s="2" t="s">
        <v>7390</v>
      </c>
      <c r="C3002" s="2" t="s">
        <v>31</v>
      </c>
      <c r="D3002" s="2" t="s">
        <v>32</v>
      </c>
      <c r="E3002" s="5">
        <v>-30804</v>
      </c>
      <c r="F3002" s="3" t="s">
        <v>891</v>
      </c>
      <c r="G3002" s="3" t="s">
        <v>38</v>
      </c>
      <c r="H3002" s="2" t="s">
        <v>72</v>
      </c>
      <c r="I3002" s="2" t="s">
        <v>7421</v>
      </c>
      <c r="J3002" s="3" t="str">
        <f>HYPERLINK("https://www.boe.es/gazeta/dias/1815/08/29/pdfs/GMD-1815-106.pdf#page=8","Abrir facsímil")</f>
        <v>Abrir facsímil</v>
      </c>
      <c r="K3002" s="3" t="s">
        <v>74</v>
      </c>
    </row>
    <row r="3003" spans="1:11" ht="42" customHeight="1">
      <c r="A3003" s="2" t="s">
        <v>7390</v>
      </c>
      <c r="B3003" s="2" t="s">
        <v>7390</v>
      </c>
      <c r="C3003" s="2" t="s">
        <v>17</v>
      </c>
      <c r="D3003" s="2" t="s">
        <v>18</v>
      </c>
      <c r="E3003" s="5">
        <v>-30795</v>
      </c>
      <c r="F3003" s="3" t="s">
        <v>172</v>
      </c>
      <c r="G3003" s="3" t="s">
        <v>276</v>
      </c>
      <c r="H3003" s="2" t="s">
        <v>72</v>
      </c>
      <c r="I3003" s="2" t="s">
        <v>7422</v>
      </c>
      <c r="J3003" s="3" t="str">
        <f>HYPERLINK("https://www.boe.es/gazeta/dias/1815/09/07/pdfs/GMD-1815-111.pdf#page=12","Abrir facsímil")</f>
        <v>Abrir facsímil</v>
      </c>
      <c r="K3003" s="3" t="s">
        <v>74</v>
      </c>
    </row>
    <row r="3004" spans="1:11" ht="42" customHeight="1">
      <c r="A3004" s="2" t="s">
        <v>7390</v>
      </c>
      <c r="B3004" s="2" t="s">
        <v>7390</v>
      </c>
      <c r="C3004" s="2" t="s">
        <v>17</v>
      </c>
      <c r="D3004" s="2" t="s">
        <v>18</v>
      </c>
      <c r="E3004" s="5">
        <v>-30788</v>
      </c>
      <c r="F3004" s="3" t="s">
        <v>96</v>
      </c>
      <c r="G3004" s="3" t="s">
        <v>38</v>
      </c>
      <c r="H3004" s="2" t="s">
        <v>72</v>
      </c>
      <c r="I3004" s="2" t="s">
        <v>7423</v>
      </c>
      <c r="J3004" s="3" t="str">
        <f>HYPERLINK("https://www.boe.es/gazeta/dias/1815/09/14/pdfs/GMD-1815-114.pdf#page=8","Abrir facsímil")</f>
        <v>Abrir facsímil</v>
      </c>
      <c r="K3004" s="3" t="s">
        <v>74</v>
      </c>
    </row>
    <row r="3005" spans="1:11" ht="42" customHeight="1">
      <c r="A3005" s="2" t="s">
        <v>7390</v>
      </c>
      <c r="B3005" s="2" t="s">
        <v>7390</v>
      </c>
      <c r="C3005" s="2" t="s">
        <v>17</v>
      </c>
      <c r="D3005" s="2" t="s">
        <v>18</v>
      </c>
      <c r="E3005" s="5">
        <v>-30767</v>
      </c>
      <c r="F3005" s="3" t="s">
        <v>228</v>
      </c>
      <c r="G3005" s="3" t="s">
        <v>52</v>
      </c>
      <c r="H3005" s="2" t="s">
        <v>72</v>
      </c>
      <c r="I3005" s="2" t="s">
        <v>7424</v>
      </c>
      <c r="J3005" s="3" t="str">
        <f>HYPERLINK("https://www.boe.es/gazeta/dias/1815/10/05/pdfs/GMD-1815-125.pdf#page=11","Abrir facsímil")</f>
        <v>Abrir facsímil</v>
      </c>
      <c r="K3005" s="3" t="s">
        <v>74</v>
      </c>
    </row>
    <row r="3006" spans="1:11" ht="42" customHeight="1">
      <c r="A3006" s="2" t="s">
        <v>7390</v>
      </c>
      <c r="B3006" s="2" t="s">
        <v>7390</v>
      </c>
      <c r="C3006" s="2" t="s">
        <v>17</v>
      </c>
      <c r="D3006" s="2" t="s">
        <v>18</v>
      </c>
      <c r="E3006" s="5">
        <v>-30746</v>
      </c>
      <c r="F3006" s="3" t="s">
        <v>3203</v>
      </c>
      <c r="G3006" s="3" t="s">
        <v>7425</v>
      </c>
      <c r="H3006" s="2" t="s">
        <v>72</v>
      </c>
      <c r="I3006" s="2" t="s">
        <v>7426</v>
      </c>
      <c r="J3006" s="3" t="str">
        <f>HYPERLINK("https://www.boe.es/gazeta/dias/1815/10/26/pdfs/GMD-1815-134.pdf#page=8","Abrir facsímil")</f>
        <v>Abrir facsímil</v>
      </c>
      <c r="K3006" s="3" t="s">
        <v>74</v>
      </c>
    </row>
    <row r="3007" spans="1:11" ht="42" customHeight="1">
      <c r="A3007" s="2" t="s">
        <v>7390</v>
      </c>
      <c r="B3007" s="2" t="s">
        <v>7390</v>
      </c>
      <c r="C3007" s="2" t="s">
        <v>17</v>
      </c>
      <c r="D3007" s="2" t="s">
        <v>18</v>
      </c>
      <c r="E3007" s="5">
        <v>-30741</v>
      </c>
      <c r="F3007" s="3" t="s">
        <v>1000</v>
      </c>
      <c r="G3007" s="3" t="s">
        <v>71</v>
      </c>
      <c r="H3007" s="2" t="s">
        <v>72</v>
      </c>
      <c r="I3007" s="2" t="s">
        <v>7427</v>
      </c>
      <c r="J3007" s="3" t="str">
        <f>HYPERLINK("https://www.boe.es/gazeta/dias/1815/10/31/pdfs/GMD-1815-136.pdf#page=7","Abrir facsímil")</f>
        <v>Abrir facsímil</v>
      </c>
      <c r="K3007" s="3" t="s">
        <v>74</v>
      </c>
    </row>
    <row r="3008" spans="1:11" ht="42" customHeight="1">
      <c r="A3008" s="2" t="s">
        <v>7390</v>
      </c>
      <c r="B3008" s="2" t="s">
        <v>7390</v>
      </c>
      <c r="C3008" s="2" t="s">
        <v>17</v>
      </c>
      <c r="D3008" s="2" t="s">
        <v>18</v>
      </c>
      <c r="E3008" s="5">
        <v>-30730</v>
      </c>
      <c r="F3008" s="3" t="s">
        <v>953</v>
      </c>
      <c r="G3008" s="3" t="s">
        <v>38</v>
      </c>
      <c r="H3008" s="2" t="s">
        <v>72</v>
      </c>
      <c r="I3008" s="2" t="s">
        <v>7428</v>
      </c>
      <c r="J3008" s="3" t="str">
        <f>HYPERLINK("https://www.boe.es/gazeta/dias/1815/11/11/pdfs/GMD-1815-141.pdf#page=8","Abrir facsímil")</f>
        <v>Abrir facsímil</v>
      </c>
      <c r="K3008" s="3" t="s">
        <v>74</v>
      </c>
    </row>
    <row r="3009" spans="1:11" ht="42" customHeight="1">
      <c r="A3009" s="2" t="s">
        <v>7390</v>
      </c>
      <c r="B3009" s="2" t="s">
        <v>7390</v>
      </c>
      <c r="C3009" s="2" t="s">
        <v>81</v>
      </c>
      <c r="D3009" s="2" t="s">
        <v>50</v>
      </c>
      <c r="E3009" s="5">
        <v>-30727</v>
      </c>
      <c r="F3009" s="3" t="s">
        <v>262</v>
      </c>
      <c r="G3009" s="3" t="s">
        <v>38</v>
      </c>
      <c r="H3009" s="2" t="s">
        <v>72</v>
      </c>
      <c r="I3009" s="2" t="s">
        <v>7429</v>
      </c>
      <c r="J3009" s="3" t="str">
        <f>HYPERLINK("https://www.boe.es/gazeta/dias/1815/11/14/pdfs/GMD-1815-142.pdf#page=8","Abrir facsímil")</f>
        <v>Abrir facsímil</v>
      </c>
      <c r="K3009" s="3" t="s">
        <v>74</v>
      </c>
    </row>
    <row r="3010" spans="1:11" ht="42" customHeight="1">
      <c r="A3010" s="2" t="s">
        <v>7390</v>
      </c>
      <c r="B3010" s="2" t="s">
        <v>7390</v>
      </c>
      <c r="C3010" s="2" t="s">
        <v>17</v>
      </c>
      <c r="D3010" s="2" t="s">
        <v>18</v>
      </c>
      <c r="E3010" s="5">
        <v>-30725</v>
      </c>
      <c r="F3010" s="3" t="s">
        <v>1535</v>
      </c>
      <c r="G3010" s="3" t="s">
        <v>5348</v>
      </c>
      <c r="H3010" s="2" t="s">
        <v>72</v>
      </c>
      <c r="I3010" s="2" t="s">
        <v>7430</v>
      </c>
      <c r="J3010" s="3" t="str">
        <f>HYPERLINK("https://www.boe.es/gazeta/dias/1815/11/16/pdfs/GMD-1815-143.pdf#page=7","Abrir facsímil")</f>
        <v>Abrir facsímil</v>
      </c>
      <c r="K3010" s="3" t="s">
        <v>74</v>
      </c>
    </row>
    <row r="3011" spans="1:11" ht="42" customHeight="1">
      <c r="A3011" s="2" t="s">
        <v>7390</v>
      </c>
      <c r="B3011" s="2" t="s">
        <v>7390</v>
      </c>
      <c r="C3011" s="2" t="s">
        <v>17</v>
      </c>
      <c r="D3011" s="2" t="s">
        <v>18</v>
      </c>
      <c r="E3011" s="5">
        <v>-30704</v>
      </c>
      <c r="F3011" s="3" t="s">
        <v>1276</v>
      </c>
      <c r="G3011" s="3" t="s">
        <v>38</v>
      </c>
      <c r="H3011" s="2" t="s">
        <v>72</v>
      </c>
      <c r="I3011" s="2" t="s">
        <v>7431</v>
      </c>
      <c r="J3011" s="3" t="str">
        <f>HYPERLINK("https://www.boe.es/gazeta/dias/1815/12/07/pdfs/GMD-1815-152.pdf#page=8","Abrir facsímil")</f>
        <v>Abrir facsímil</v>
      </c>
      <c r="K3011" s="3" t="s">
        <v>74</v>
      </c>
    </row>
    <row r="3012" spans="1:11" ht="42" customHeight="1">
      <c r="A3012" s="2" t="s">
        <v>7390</v>
      </c>
      <c r="B3012" s="2" t="s">
        <v>7390</v>
      </c>
      <c r="C3012" s="2" t="s">
        <v>81</v>
      </c>
      <c r="D3012" s="2" t="s">
        <v>50</v>
      </c>
      <c r="E3012" s="5">
        <v>-30702</v>
      </c>
      <c r="F3012" s="3" t="s">
        <v>196</v>
      </c>
      <c r="G3012" s="3" t="s">
        <v>38</v>
      </c>
      <c r="H3012" s="2" t="s">
        <v>72</v>
      </c>
      <c r="I3012" s="2" t="s">
        <v>7432</v>
      </c>
      <c r="J3012" s="3" t="str">
        <f>HYPERLINK("https://www.boe.es/gazeta/dias/1815/12/09/pdfs/GMD-1815-153.pdf#page=8","Abrir facsímil")</f>
        <v>Abrir facsímil</v>
      </c>
      <c r="K3012" s="3" t="s">
        <v>74</v>
      </c>
    </row>
    <row r="3013" spans="1:11" ht="42" customHeight="1">
      <c r="A3013" s="2" t="s">
        <v>7390</v>
      </c>
      <c r="B3013" s="2" t="s">
        <v>7390</v>
      </c>
      <c r="C3013" s="2" t="s">
        <v>61</v>
      </c>
      <c r="D3013" s="2" t="s">
        <v>50</v>
      </c>
      <c r="E3013" s="5">
        <v>-30697</v>
      </c>
      <c r="F3013" s="3" t="s">
        <v>381</v>
      </c>
      <c r="G3013" s="3" t="s">
        <v>1556</v>
      </c>
      <c r="H3013" s="2" t="s">
        <v>72</v>
      </c>
      <c r="I3013" s="2" t="s">
        <v>7433</v>
      </c>
      <c r="J3013" s="3" t="str">
        <f>HYPERLINK("https://www.boe.es/gazeta/dias/1815/12/14/pdfs/GMD-1815-155.pdf#page=8","Abrir facsímil")</f>
        <v>Abrir facsímil</v>
      </c>
      <c r="K3013" s="3" t="s">
        <v>74</v>
      </c>
    </row>
    <row r="3014" spans="1:11" ht="42" customHeight="1">
      <c r="A3014" s="2" t="s">
        <v>7390</v>
      </c>
      <c r="B3014" s="2" t="s">
        <v>7390</v>
      </c>
      <c r="C3014" s="2" t="s">
        <v>17</v>
      </c>
      <c r="D3014" s="2" t="s">
        <v>18</v>
      </c>
      <c r="E3014" s="5">
        <v>-30695</v>
      </c>
      <c r="F3014" s="3" t="s">
        <v>824</v>
      </c>
      <c r="G3014" s="3" t="s">
        <v>38</v>
      </c>
      <c r="H3014" s="2" t="s">
        <v>72</v>
      </c>
      <c r="I3014" s="2" t="s">
        <v>7434</v>
      </c>
      <c r="J3014" s="3" t="str">
        <f>HYPERLINK("https://www.boe.es/gazeta/dias/1815/12/16/pdfs/GMD-1815-156.pdf#page=8","Abrir facsímil")</f>
        <v>Abrir facsímil</v>
      </c>
      <c r="K3014" s="3" t="s">
        <v>74</v>
      </c>
    </row>
    <row r="3015" spans="1:11" ht="42" customHeight="1">
      <c r="A3015" s="2" t="s">
        <v>7390</v>
      </c>
      <c r="B3015" s="2" t="s">
        <v>7390</v>
      </c>
      <c r="C3015" s="2" t="s">
        <v>17</v>
      </c>
      <c r="D3015" s="2" t="s">
        <v>18</v>
      </c>
      <c r="E3015" s="5">
        <v>-30692</v>
      </c>
      <c r="F3015" s="3" t="s">
        <v>508</v>
      </c>
      <c r="G3015" s="3" t="s">
        <v>1353</v>
      </c>
      <c r="H3015" s="2" t="s">
        <v>72</v>
      </c>
      <c r="I3015" s="2" t="s">
        <v>7435</v>
      </c>
      <c r="J3015" s="3" t="str">
        <f>HYPERLINK("https://www.boe.es/gazeta/dias/1815/12/19/pdfs/GMD-1815-157.pdf#page=7","Abrir facsímil")</f>
        <v>Abrir facsímil</v>
      </c>
      <c r="K3015" s="3" t="s">
        <v>74</v>
      </c>
    </row>
    <row r="3016" spans="1:11" ht="42" customHeight="1">
      <c r="A3016" s="2" t="s">
        <v>7390</v>
      </c>
      <c r="B3016" s="2" t="s">
        <v>7390</v>
      </c>
      <c r="C3016" s="2" t="s">
        <v>17</v>
      </c>
      <c r="D3016" s="2" t="s">
        <v>18</v>
      </c>
      <c r="E3016" s="5">
        <v>-30688</v>
      </c>
      <c r="F3016" s="3" t="s">
        <v>62</v>
      </c>
      <c r="G3016" s="3" t="s">
        <v>38</v>
      </c>
      <c r="H3016" s="2" t="s">
        <v>72</v>
      </c>
      <c r="I3016" s="2" t="s">
        <v>7436</v>
      </c>
      <c r="J3016" s="3" t="str">
        <f>HYPERLINK("https://www.boe.es/gazeta/dias/1815/12/23/pdfs/GMD-1815-159.pdf#page=8","Abrir facsímil")</f>
        <v>Abrir facsímil</v>
      </c>
      <c r="K3016" s="3" t="s">
        <v>74</v>
      </c>
    </row>
    <row r="3017" spans="1:11" ht="42" customHeight="1">
      <c r="A3017" s="2" t="s">
        <v>7437</v>
      </c>
      <c r="B3017" s="2" t="s">
        <v>7438</v>
      </c>
      <c r="C3017" s="2" t="s">
        <v>195</v>
      </c>
      <c r="D3017" s="2" t="s">
        <v>50</v>
      </c>
      <c r="E3017" s="5">
        <v>-30683</v>
      </c>
      <c r="F3017" s="3" t="s">
        <v>1693</v>
      </c>
      <c r="G3017" s="3" t="s">
        <v>38</v>
      </c>
      <c r="H3017" s="2" t="s">
        <v>72</v>
      </c>
      <c r="I3017" s="2" t="s">
        <v>7439</v>
      </c>
      <c r="J3017" s="3" t="str">
        <f>HYPERLINK("https://www.boe.es/gazeta/dias/1815/12/28/pdfs/GMD-1815-161.pdf#page=8","Abrir facsímil")</f>
        <v>Abrir facsímil</v>
      </c>
      <c r="K3017" s="3" t="s">
        <v>74</v>
      </c>
    </row>
    <row r="3018" spans="1:11" ht="42" customHeight="1">
      <c r="A3018" s="2" t="s">
        <v>7440</v>
      </c>
      <c r="B3018" s="2" t="s">
        <v>7441</v>
      </c>
      <c r="C3018" s="2" t="s">
        <v>31</v>
      </c>
      <c r="D3018" s="2" t="s">
        <v>32</v>
      </c>
      <c r="E3018" s="5">
        <v>-30942</v>
      </c>
      <c r="F3018" s="3" t="s">
        <v>730</v>
      </c>
      <c r="G3018" s="3" t="s">
        <v>862</v>
      </c>
      <c r="H3018" s="2" t="s">
        <v>72</v>
      </c>
      <c r="I3018" s="2" t="s">
        <v>7442</v>
      </c>
      <c r="J3018" s="3" t="str">
        <f>HYPERLINK("https://www.boe.es/gazeta/dias/1815/04/13/pdfs/GMD-1815-45.pdf#page=6","Abrir facsímil")</f>
        <v>Abrir facsímil</v>
      </c>
      <c r="K3018" s="3" t="s">
        <v>74</v>
      </c>
    </row>
    <row r="3019" spans="1:11" ht="42" customHeight="1">
      <c r="A3019" s="2" t="s">
        <v>7440</v>
      </c>
      <c r="B3019" s="2" t="s">
        <v>7441</v>
      </c>
      <c r="C3019" s="2" t="s">
        <v>31</v>
      </c>
      <c r="D3019" s="2" t="s">
        <v>32</v>
      </c>
      <c r="E3019" s="5">
        <v>-30711</v>
      </c>
      <c r="F3019" s="3" t="s">
        <v>438</v>
      </c>
      <c r="G3019" s="3" t="s">
        <v>71</v>
      </c>
      <c r="H3019" s="2" t="s">
        <v>72</v>
      </c>
      <c r="I3019" s="2" t="s">
        <v>7443</v>
      </c>
      <c r="J3019" s="3" t="str">
        <f>HYPERLINK("https://www.boe.es/gazeta/dias/1815/11/30/pdfs/GMD-1815-149.pdf#page=7","Abrir facsímil")</f>
        <v>Abrir facsímil</v>
      </c>
      <c r="K3019" s="3" t="s">
        <v>74</v>
      </c>
    </row>
    <row r="3020" spans="1:11" ht="42" customHeight="1">
      <c r="A3020" s="2" t="s">
        <v>7444</v>
      </c>
      <c r="B3020" s="2" t="s">
        <v>7445</v>
      </c>
      <c r="C3020" s="2" t="s">
        <v>31</v>
      </c>
      <c r="D3020" s="2" t="s">
        <v>32</v>
      </c>
      <c r="E3020" s="5">
        <v>-30767</v>
      </c>
      <c r="F3020" s="3" t="s">
        <v>228</v>
      </c>
      <c r="G3020" s="3" t="s">
        <v>88</v>
      </c>
      <c r="H3020" s="2" t="s">
        <v>72</v>
      </c>
      <c r="I3020" s="2" t="s">
        <v>7446</v>
      </c>
      <c r="J3020" s="3" t="str">
        <f>HYPERLINK("https://www.boe.es/gazeta/dias/1815/10/05/pdfs/GMD-1815-125.pdf#page=10","Abrir facsímil")</f>
        <v>Abrir facsímil</v>
      </c>
      <c r="K3020" s="3" t="s">
        <v>74</v>
      </c>
    </row>
    <row r="3021" spans="1:11" ht="42" customHeight="1">
      <c r="A3021" s="2" t="s">
        <v>7447</v>
      </c>
      <c r="B3021" s="2" t="s">
        <v>7448</v>
      </c>
      <c r="C3021" s="2" t="s">
        <v>131</v>
      </c>
      <c r="D3021" s="2" t="s">
        <v>50</v>
      </c>
      <c r="E3021" s="5">
        <v>-30788</v>
      </c>
      <c r="F3021" s="3" t="s">
        <v>96</v>
      </c>
      <c r="G3021" s="3" t="s">
        <v>38</v>
      </c>
      <c r="H3021" s="2" t="s">
        <v>72</v>
      </c>
      <c r="I3021" s="2" t="s">
        <v>7449</v>
      </c>
      <c r="J3021" s="3" t="str">
        <f>HYPERLINK("https://www.boe.es/gazeta/dias/1815/09/14/pdfs/GMD-1815-114.pdf#page=8","Abrir facsímil")</f>
        <v>Abrir facsímil</v>
      </c>
      <c r="K3021" s="3" t="s">
        <v>74</v>
      </c>
    </row>
    <row r="3022" spans="1:11" ht="42" customHeight="1">
      <c r="A3022" s="2" t="s">
        <v>7450</v>
      </c>
      <c r="B3022" s="2" t="s">
        <v>7451</v>
      </c>
      <c r="C3022" s="2" t="s">
        <v>31</v>
      </c>
      <c r="D3022" s="2" t="s">
        <v>32</v>
      </c>
      <c r="E3022" s="5">
        <v>-30863</v>
      </c>
      <c r="F3022" s="3" t="s">
        <v>110</v>
      </c>
      <c r="G3022" s="3" t="s">
        <v>88</v>
      </c>
      <c r="H3022" s="2" t="s">
        <v>72</v>
      </c>
      <c r="I3022" s="2" t="s">
        <v>7452</v>
      </c>
      <c r="J3022" s="3" t="str">
        <f>HYPERLINK("https://www.boe.es/gazeta/dias/1815/07/01/pdfs/GMD-1815-79.pdf#page=10","Abrir facsímil")</f>
        <v>Abrir facsímil</v>
      </c>
      <c r="K3022" s="3" t="s">
        <v>74</v>
      </c>
    </row>
    <row r="3023" spans="1:11" ht="42" customHeight="1">
      <c r="A3023" s="2" t="s">
        <v>7453</v>
      </c>
      <c r="B3023" s="2" t="s">
        <v>7454</v>
      </c>
      <c r="C3023" s="2" t="s">
        <v>49</v>
      </c>
      <c r="D3023" s="2" t="s">
        <v>50</v>
      </c>
      <c r="E3023" s="5">
        <v>-30886</v>
      </c>
      <c r="F3023" s="3" t="s">
        <v>140</v>
      </c>
      <c r="G3023" s="3" t="s">
        <v>224</v>
      </c>
      <c r="H3023" s="2" t="s">
        <v>72</v>
      </c>
      <c r="I3023" s="2" t="s">
        <v>7455</v>
      </c>
      <c r="J3023" s="3" t="str">
        <f>HYPERLINK("https://www.boe.es/gazeta/dias/1815/06/08/pdfs/GMD-1815-69.pdf#page=9","Abrir facsímil")</f>
        <v>Abrir facsímil</v>
      </c>
      <c r="K3023" s="3" t="s">
        <v>74</v>
      </c>
    </row>
    <row r="3024" spans="1:11" ht="42" customHeight="1">
      <c r="A3024" s="2" t="s">
        <v>7456</v>
      </c>
      <c r="B3024" s="2" t="s">
        <v>7457</v>
      </c>
      <c r="C3024" s="2" t="s">
        <v>17</v>
      </c>
      <c r="D3024" s="2" t="s">
        <v>18</v>
      </c>
      <c r="E3024" s="5">
        <v>-30767</v>
      </c>
      <c r="F3024" s="3" t="s">
        <v>228</v>
      </c>
      <c r="G3024" s="3" t="s">
        <v>88</v>
      </c>
      <c r="H3024" s="2" t="s">
        <v>72</v>
      </c>
      <c r="I3024" s="2" t="s">
        <v>7458</v>
      </c>
      <c r="J3024" s="3" t="str">
        <f>HYPERLINK("https://www.boe.es/gazeta/dias/1815/10/05/pdfs/GMD-1815-125.pdf#page=10","Abrir facsímil")</f>
        <v>Abrir facsímil</v>
      </c>
      <c r="K3024" s="3" t="s">
        <v>74</v>
      </c>
    </row>
    <row r="3025" spans="1:11" ht="42" customHeight="1">
      <c r="A3025" s="2" t="s">
        <v>7459</v>
      </c>
      <c r="B3025" s="2" t="s">
        <v>7459</v>
      </c>
      <c r="C3025" s="2" t="s">
        <v>131</v>
      </c>
      <c r="D3025" s="2" t="s">
        <v>50</v>
      </c>
      <c r="E3025" s="5">
        <v>-30788</v>
      </c>
      <c r="F3025" s="3" t="s">
        <v>96</v>
      </c>
      <c r="G3025" s="3" t="s">
        <v>27</v>
      </c>
      <c r="H3025" s="2" t="s">
        <v>72</v>
      </c>
      <c r="I3025" s="2" t="s">
        <v>7460</v>
      </c>
      <c r="J3025" s="3" t="str">
        <f>HYPERLINK("https://www.boe.es/gazeta/dias/1815/09/14/pdfs/GMD-1815-114.pdf#page=6","Abrir facsímil")</f>
        <v>Abrir facsímil</v>
      </c>
      <c r="K3025" s="3" t="s">
        <v>74</v>
      </c>
    </row>
    <row r="3026" spans="1:11" ht="42" customHeight="1">
      <c r="A3026" s="2" t="s">
        <v>7461</v>
      </c>
      <c r="B3026" s="2" t="s">
        <v>7462</v>
      </c>
      <c r="C3026" s="2" t="s">
        <v>31</v>
      </c>
      <c r="D3026" s="2" t="s">
        <v>32</v>
      </c>
      <c r="E3026" s="5">
        <v>-30825</v>
      </c>
      <c r="F3026" s="3" t="s">
        <v>669</v>
      </c>
      <c r="G3026" s="3" t="s">
        <v>52</v>
      </c>
      <c r="H3026" s="2" t="s">
        <v>72</v>
      </c>
      <c r="I3026" s="2" t="s">
        <v>7463</v>
      </c>
      <c r="J3026" s="3" t="str">
        <f>HYPERLINK("https://www.boe.es/gazeta/dias/1815/08/08/pdfs/GMD-1815-97.pdf#page=11","Abrir facsímil")</f>
        <v>Abrir facsímil</v>
      </c>
      <c r="K3026" s="3" t="s">
        <v>74</v>
      </c>
    </row>
    <row r="3027" spans="1:11" ht="42" customHeight="1">
      <c r="A3027" s="2" t="s">
        <v>7464</v>
      </c>
      <c r="B3027" s="2" t="s">
        <v>7464</v>
      </c>
      <c r="C3027" s="2" t="s">
        <v>17</v>
      </c>
      <c r="D3027" s="2" t="s">
        <v>18</v>
      </c>
      <c r="E3027" s="5">
        <v>-30993</v>
      </c>
      <c r="F3027" s="3" t="s">
        <v>66</v>
      </c>
      <c r="G3027" s="3" t="s">
        <v>410</v>
      </c>
      <c r="H3027" s="2" t="s">
        <v>72</v>
      </c>
      <c r="I3027" s="2" t="s">
        <v>7465</v>
      </c>
      <c r="J3027" s="3" t="str">
        <f>HYPERLINK("https://www.boe.es/gazeta/dias/1815/02/21/pdfs/GMD-1815-22.pdf#page=1","Abrir facsímil")</f>
        <v>Abrir facsímil</v>
      </c>
      <c r="K3027" s="3" t="s">
        <v>74</v>
      </c>
    </row>
    <row r="3028" spans="1:11" ht="42" customHeight="1">
      <c r="A3028" s="2" t="s">
        <v>7464</v>
      </c>
      <c r="B3028" s="2" t="s">
        <v>7464</v>
      </c>
      <c r="C3028" s="2" t="s">
        <v>31</v>
      </c>
      <c r="D3028" s="2" t="s">
        <v>32</v>
      </c>
      <c r="E3028" s="5">
        <v>-30860</v>
      </c>
      <c r="F3028" s="3" t="s">
        <v>184</v>
      </c>
      <c r="G3028" s="3" t="s">
        <v>377</v>
      </c>
      <c r="H3028" s="2" t="s">
        <v>72</v>
      </c>
      <c r="I3028" s="2" t="s">
        <v>7466</v>
      </c>
      <c r="J3028" s="3" t="str">
        <f>HYPERLINK("https://www.boe.es/gazeta/dias/1815/07/04/pdfs/GMD-1815-81.pdf#page=2","Abrir facsímil")</f>
        <v>Abrir facsímil</v>
      </c>
      <c r="K3028" s="3" t="s">
        <v>74</v>
      </c>
    </row>
    <row r="3029" spans="1:11" ht="42" customHeight="1">
      <c r="A3029" s="2" t="s">
        <v>7467</v>
      </c>
      <c r="B3029" s="2" t="s">
        <v>7467</v>
      </c>
      <c r="C3029" s="2" t="s">
        <v>17</v>
      </c>
      <c r="D3029" s="2" t="s">
        <v>18</v>
      </c>
      <c r="E3029" s="5">
        <v>-30858</v>
      </c>
      <c r="F3029" s="3" t="s">
        <v>1928</v>
      </c>
      <c r="G3029" s="3" t="s">
        <v>71</v>
      </c>
      <c r="H3029" s="2" t="s">
        <v>72</v>
      </c>
      <c r="I3029" s="2" t="s">
        <v>7468</v>
      </c>
      <c r="J3029" s="3" t="str">
        <f>HYPERLINK("https://www.boe.es/gazeta/dias/1815/07/06/pdfs/GMD-1815-83.pdf#page=7","Abrir facsímil")</f>
        <v>Abrir facsímil</v>
      </c>
      <c r="K3029" s="3" t="s">
        <v>74</v>
      </c>
    </row>
    <row r="3030" spans="1:11" ht="42" customHeight="1">
      <c r="A3030" s="2" t="s">
        <v>7469</v>
      </c>
      <c r="B3030" s="2" t="s">
        <v>7470</v>
      </c>
      <c r="C3030" s="2" t="s">
        <v>49</v>
      </c>
      <c r="D3030" s="2" t="s">
        <v>50</v>
      </c>
      <c r="E3030" s="5">
        <v>-30865</v>
      </c>
      <c r="F3030" s="3" t="s">
        <v>163</v>
      </c>
      <c r="G3030" s="3" t="s">
        <v>71</v>
      </c>
      <c r="H3030" s="2" t="s">
        <v>72</v>
      </c>
      <c r="I3030" s="2" t="s">
        <v>7471</v>
      </c>
      <c r="J3030" s="3" t="str">
        <f>HYPERLINK("https://www.boe.es/gazeta/dias/1815/06/29/pdfs/GMD-1815-78.pdf#page=7","Abrir facsímil")</f>
        <v>Abrir facsímil</v>
      </c>
      <c r="K3030" s="3" t="s">
        <v>74</v>
      </c>
    </row>
    <row r="3031" spans="1:11" ht="42" customHeight="1">
      <c r="A3031" s="2" t="s">
        <v>7472</v>
      </c>
      <c r="B3031" s="2" t="s">
        <v>7473</v>
      </c>
      <c r="C3031" s="2" t="s">
        <v>31</v>
      </c>
      <c r="D3031" s="2" t="s">
        <v>32</v>
      </c>
      <c r="E3031" s="5">
        <v>-30886</v>
      </c>
      <c r="F3031" s="3" t="s">
        <v>140</v>
      </c>
      <c r="G3031" s="3" t="s">
        <v>88</v>
      </c>
      <c r="H3031" s="2" t="s">
        <v>72</v>
      </c>
      <c r="I3031" s="2" t="s">
        <v>7474</v>
      </c>
      <c r="J3031" s="3" t="str">
        <f>HYPERLINK("https://www.boe.es/gazeta/dias/1815/06/08/pdfs/GMD-1815-69.pdf#page=10","Abrir facsímil")</f>
        <v>Abrir facsímil</v>
      </c>
      <c r="K3031" s="3" t="s">
        <v>74</v>
      </c>
    </row>
    <row r="3032" spans="1:11" ht="42" customHeight="1">
      <c r="A3032" s="2" t="s">
        <v>7475</v>
      </c>
      <c r="B3032" s="2" t="s">
        <v>7476</v>
      </c>
      <c r="C3032" s="2" t="s">
        <v>195</v>
      </c>
      <c r="D3032" s="2" t="s">
        <v>50</v>
      </c>
      <c r="E3032" s="5">
        <v>-30716</v>
      </c>
      <c r="F3032" s="3" t="s">
        <v>589</v>
      </c>
      <c r="G3032" s="3" t="s">
        <v>27</v>
      </c>
      <c r="H3032" s="2" t="s">
        <v>72</v>
      </c>
      <c r="I3032" s="2" t="s">
        <v>7477</v>
      </c>
      <c r="J3032" s="3" t="str">
        <f>HYPERLINK("https://www.boe.es/gazeta/dias/1815/11/25/pdfs/GMD-1815-147.pdf#page=6","Abrir facsímil")</f>
        <v>Abrir facsímil</v>
      </c>
      <c r="K3032" s="3" t="s">
        <v>74</v>
      </c>
    </row>
    <row r="3033" spans="1:11" ht="42" customHeight="1">
      <c r="A3033" s="2" t="s">
        <v>7478</v>
      </c>
      <c r="B3033" s="2" t="s">
        <v>7479</v>
      </c>
      <c r="C3033" s="2" t="s">
        <v>31</v>
      </c>
      <c r="D3033" s="2" t="s">
        <v>32</v>
      </c>
      <c r="E3033" s="5">
        <v>-30814</v>
      </c>
      <c r="F3033" s="3" t="s">
        <v>644</v>
      </c>
      <c r="G3033" s="3" t="s">
        <v>71</v>
      </c>
      <c r="H3033" s="2" t="s">
        <v>72</v>
      </c>
      <c r="I3033" s="2" t="s">
        <v>7480</v>
      </c>
      <c r="J3033" s="3" t="str">
        <f>HYPERLINK("https://www.boe.es/gazeta/dias/1815/08/19/pdfs/GMD-1815-102.pdf#page=7","Abrir facsímil")</f>
        <v>Abrir facsímil</v>
      </c>
      <c r="K3033" s="3" t="s">
        <v>74</v>
      </c>
    </row>
    <row r="3034" spans="1:11" ht="42" customHeight="1">
      <c r="A3034" s="2" t="s">
        <v>7481</v>
      </c>
      <c r="B3034" s="2" t="s">
        <v>7481</v>
      </c>
      <c r="C3034" s="2" t="s">
        <v>31</v>
      </c>
      <c r="D3034" s="2" t="s">
        <v>32</v>
      </c>
      <c r="E3034" s="5">
        <v>-30909</v>
      </c>
      <c r="F3034" s="3" t="s">
        <v>581</v>
      </c>
      <c r="G3034" s="3" t="s">
        <v>410</v>
      </c>
      <c r="H3034" s="2" t="s">
        <v>72</v>
      </c>
      <c r="I3034" s="2" t="s">
        <v>7482</v>
      </c>
      <c r="J3034" s="3" t="str">
        <f>HYPERLINK("https://www.boe.es/gazeta/dias/1815/05/16/pdfs/GMD-1815-59.pdf#page=1","Abrir facsímil")</f>
        <v>Abrir facsímil</v>
      </c>
      <c r="K3034" s="3" t="s">
        <v>74</v>
      </c>
    </row>
    <row r="3035" spans="1:11" ht="42" customHeight="1">
      <c r="A3035" s="2" t="s">
        <v>7483</v>
      </c>
      <c r="B3035" s="2" t="s">
        <v>7483</v>
      </c>
      <c r="C3035" s="2" t="s">
        <v>31</v>
      </c>
      <c r="D3035" s="2" t="s">
        <v>179</v>
      </c>
      <c r="E3035" s="5">
        <v>-30863</v>
      </c>
      <c r="F3035" s="3" t="s">
        <v>2024</v>
      </c>
      <c r="G3035" s="3" t="s">
        <v>377</v>
      </c>
      <c r="H3035" s="2" t="s">
        <v>72</v>
      </c>
      <c r="I3035" s="2" t="s">
        <v>7484</v>
      </c>
      <c r="J3035" s="3" t="str">
        <f>HYPERLINK("https://www.boe.es/gazeta/dias/1815/07/01/pdfs/GMD-1815-80E.pdf#page=2","Abrir facsímil")</f>
        <v>Abrir facsímil</v>
      </c>
      <c r="K3035" s="3" t="s">
        <v>74</v>
      </c>
    </row>
    <row r="3036" spans="1:11" ht="42" customHeight="1">
      <c r="A3036" s="2" t="s">
        <v>7485</v>
      </c>
      <c r="B3036" s="2" t="s">
        <v>7486</v>
      </c>
      <c r="C3036" s="2" t="s">
        <v>49</v>
      </c>
      <c r="D3036" s="2" t="s">
        <v>50</v>
      </c>
      <c r="E3036" s="5">
        <v>-30944</v>
      </c>
      <c r="F3036" s="3" t="s">
        <v>412</v>
      </c>
      <c r="G3036" s="3" t="s">
        <v>38</v>
      </c>
      <c r="H3036" s="2" t="s">
        <v>72</v>
      </c>
      <c r="I3036" s="2" t="s">
        <v>7487</v>
      </c>
      <c r="J3036" s="3" t="str">
        <f>HYPERLINK("https://www.boe.es/gazeta/dias/1815/04/11/pdfs/GMD-1815-44.pdf#page=8","Abrir facsímil")</f>
        <v>Abrir facsímil</v>
      </c>
      <c r="K3036" s="3" t="s">
        <v>74</v>
      </c>
    </row>
    <row r="3037" spans="1:11" ht="42" customHeight="1">
      <c r="A3037" s="2" t="s">
        <v>7488</v>
      </c>
      <c r="B3037" s="2" t="s">
        <v>7488</v>
      </c>
      <c r="C3037" s="2" t="s">
        <v>31</v>
      </c>
      <c r="D3037" s="2" t="s">
        <v>32</v>
      </c>
      <c r="E3037" s="5">
        <v>-30830</v>
      </c>
      <c r="F3037" s="3" t="s">
        <v>33</v>
      </c>
      <c r="G3037" s="3" t="s">
        <v>57</v>
      </c>
      <c r="H3037" s="2" t="s">
        <v>72</v>
      </c>
      <c r="I3037" s="2" t="s">
        <v>7489</v>
      </c>
      <c r="J3037" s="3" t="str">
        <f>HYPERLINK("https://www.boe.es/gazeta/dias/1815/08/03/pdfs/GMD-1815-95.pdf#page=5","Abrir facsímil")</f>
        <v>Abrir facsímil</v>
      </c>
      <c r="K3037" s="3" t="s">
        <v>74</v>
      </c>
    </row>
    <row r="3038" spans="1:11" ht="42" customHeight="1">
      <c r="A3038" s="2" t="s">
        <v>7490</v>
      </c>
      <c r="B3038" s="2" t="s">
        <v>7491</v>
      </c>
      <c r="C3038" s="2" t="s">
        <v>17</v>
      </c>
      <c r="D3038" s="2" t="s">
        <v>18</v>
      </c>
      <c r="E3038" s="5">
        <v>-30898</v>
      </c>
      <c r="F3038" s="3" t="s">
        <v>212</v>
      </c>
      <c r="G3038" s="3" t="s">
        <v>27</v>
      </c>
      <c r="H3038" s="2" t="s">
        <v>72</v>
      </c>
      <c r="I3038" s="2" t="s">
        <v>7492</v>
      </c>
      <c r="J3038" s="3" t="str">
        <f>HYPERLINK("https://www.boe.es/gazeta/dias/1815/05/27/pdfs/GMD-1815-64.pdf#page=6","Abrir facsímil")</f>
        <v>Abrir facsímil</v>
      </c>
      <c r="K3038" s="3" t="s">
        <v>74</v>
      </c>
    </row>
    <row r="3039" spans="1:11" ht="42" customHeight="1">
      <c r="A3039" s="2" t="s">
        <v>7493</v>
      </c>
      <c r="B3039" s="2" t="s">
        <v>7494</v>
      </c>
      <c r="C3039" s="2" t="s">
        <v>49</v>
      </c>
      <c r="D3039" s="2" t="s">
        <v>50</v>
      </c>
      <c r="E3039" s="5">
        <v>-30921</v>
      </c>
      <c r="F3039" s="3" t="s">
        <v>191</v>
      </c>
      <c r="G3039" s="3" t="s">
        <v>71</v>
      </c>
      <c r="H3039" s="2" t="s">
        <v>72</v>
      </c>
      <c r="I3039" s="2" t="s">
        <v>7495</v>
      </c>
      <c r="J3039" s="3" t="str">
        <f>HYPERLINK("https://www.boe.es/gazeta/dias/1815/05/04/pdfs/GMD-1815-54.pdf#page=7","Abrir facsímil")</f>
        <v>Abrir facsímil</v>
      </c>
      <c r="K3039" s="3" t="s">
        <v>74</v>
      </c>
    </row>
    <row r="3040" spans="1:11" ht="42" customHeight="1">
      <c r="A3040" s="2" t="s">
        <v>7496</v>
      </c>
      <c r="B3040" s="2" t="s">
        <v>7497</v>
      </c>
      <c r="C3040" s="2" t="s">
        <v>17</v>
      </c>
      <c r="D3040" s="2" t="s">
        <v>18</v>
      </c>
      <c r="E3040" s="5">
        <v>-30972</v>
      </c>
      <c r="F3040" s="3" t="s">
        <v>1382</v>
      </c>
      <c r="G3040" s="3" t="s">
        <v>38</v>
      </c>
      <c r="H3040" s="2" t="s">
        <v>72</v>
      </c>
      <c r="I3040" s="2" t="s">
        <v>7498</v>
      </c>
      <c r="J3040" s="3" t="str">
        <f>HYPERLINK("https://www.boe.es/gazeta/dias/1815/03/14/pdfs/GMD-1815-31.pdf#page=8","Abrir facsímil")</f>
        <v>Abrir facsímil</v>
      </c>
      <c r="K3040" s="3" t="s">
        <v>74</v>
      </c>
    </row>
    <row r="3041" spans="1:11" ht="42" customHeight="1">
      <c r="A3041" s="2" t="s">
        <v>7499</v>
      </c>
      <c r="B3041" s="2" t="s">
        <v>7500</v>
      </c>
      <c r="C3041" s="2" t="s">
        <v>31</v>
      </c>
      <c r="D3041" s="2" t="s">
        <v>32</v>
      </c>
      <c r="E3041" s="5">
        <v>-30874</v>
      </c>
      <c r="F3041" s="3" t="s">
        <v>208</v>
      </c>
      <c r="G3041" s="3" t="s">
        <v>224</v>
      </c>
      <c r="H3041" s="2" t="s">
        <v>72</v>
      </c>
      <c r="I3041" s="2" t="s">
        <v>7501</v>
      </c>
      <c r="J3041" s="3" t="str">
        <f>HYPERLINK("https://www.boe.es/gazeta/dias/1815/06/20/pdfs/GMD-1815-74.pdf#page=9","Abrir facsímil")</f>
        <v>Abrir facsímil</v>
      </c>
      <c r="K3041" s="3" t="s">
        <v>74</v>
      </c>
    </row>
    <row r="3042" spans="1:11" ht="42" customHeight="1">
      <c r="A3042" s="2" t="s">
        <v>7502</v>
      </c>
      <c r="B3042" s="2" t="s">
        <v>7503</v>
      </c>
      <c r="C3042" s="2" t="s">
        <v>61</v>
      </c>
      <c r="D3042" s="2" t="s">
        <v>50</v>
      </c>
      <c r="E3042" s="5">
        <v>-30886</v>
      </c>
      <c r="F3042" s="3" t="s">
        <v>140</v>
      </c>
      <c r="G3042" s="3" t="s">
        <v>276</v>
      </c>
      <c r="H3042" s="2" t="s">
        <v>72</v>
      </c>
      <c r="I3042" s="2" t="s">
        <v>7504</v>
      </c>
      <c r="J3042" s="3" t="str">
        <f>HYPERLINK("https://www.boe.es/gazeta/dias/1815/06/08/pdfs/GMD-1815-69.pdf#page=12","Abrir facsímil")</f>
        <v>Abrir facsímil</v>
      </c>
      <c r="K3042" s="3" t="s">
        <v>74</v>
      </c>
    </row>
    <row r="3043" spans="1:11" ht="42" customHeight="1">
      <c r="A3043" s="2" t="s">
        <v>7505</v>
      </c>
      <c r="B3043" s="2" t="s">
        <v>7506</v>
      </c>
      <c r="C3043" s="2" t="s">
        <v>49</v>
      </c>
      <c r="D3043" s="2" t="s">
        <v>50</v>
      </c>
      <c r="E3043" s="5">
        <v>-30865</v>
      </c>
      <c r="F3043" s="3" t="s">
        <v>163</v>
      </c>
      <c r="G3043" s="3" t="s">
        <v>71</v>
      </c>
      <c r="H3043" s="2" t="s">
        <v>72</v>
      </c>
      <c r="I3043" s="2" t="s">
        <v>7507</v>
      </c>
      <c r="J3043" s="3" t="str">
        <f>HYPERLINK("https://www.boe.es/gazeta/dias/1815/06/29/pdfs/GMD-1815-78.pdf#page=7","Abrir facsímil")</f>
        <v>Abrir facsímil</v>
      </c>
      <c r="K3043" s="3" t="s">
        <v>74</v>
      </c>
    </row>
    <row r="3044" spans="1:11" ht="42" customHeight="1">
      <c r="A3044" s="2" t="s">
        <v>7508</v>
      </c>
      <c r="B3044" s="2" t="s">
        <v>7509</v>
      </c>
      <c r="C3044" s="2" t="s">
        <v>31</v>
      </c>
      <c r="D3044" s="2" t="s">
        <v>32</v>
      </c>
      <c r="E3044" s="5">
        <v>-30830</v>
      </c>
      <c r="F3044" s="3" t="s">
        <v>33</v>
      </c>
      <c r="G3044" s="3" t="s">
        <v>71</v>
      </c>
      <c r="H3044" s="2" t="s">
        <v>72</v>
      </c>
      <c r="I3044" s="2" t="s">
        <v>7510</v>
      </c>
      <c r="J3044" s="3" t="str">
        <f>HYPERLINK("https://www.boe.es/gazeta/dias/1815/08/03/pdfs/GMD-1815-95.pdf#page=7","Abrir facsímil")</f>
        <v>Abrir facsímil</v>
      </c>
      <c r="K3044" s="3" t="s">
        <v>74</v>
      </c>
    </row>
    <row r="3045" spans="1:11" ht="42" customHeight="1">
      <c r="A3045" s="2" t="s">
        <v>7511</v>
      </c>
      <c r="B3045" s="2" t="s">
        <v>7511</v>
      </c>
      <c r="C3045" s="2" t="s">
        <v>61</v>
      </c>
      <c r="D3045" s="2" t="s">
        <v>50</v>
      </c>
      <c r="E3045" s="5">
        <v>-30851</v>
      </c>
      <c r="F3045" s="3" t="s">
        <v>442</v>
      </c>
      <c r="G3045" s="3" t="s">
        <v>377</v>
      </c>
      <c r="H3045" s="2" t="s">
        <v>72</v>
      </c>
      <c r="I3045" s="2" t="s">
        <v>7512</v>
      </c>
      <c r="J3045" s="3" t="str">
        <f>HYPERLINK("https://www.boe.es/gazeta/dias/1815/07/13/pdfs/GMD-1815-86.pdf#page=2","Abrir facsímil")</f>
        <v>Abrir facsímil</v>
      </c>
      <c r="K3045" s="3" t="s">
        <v>74</v>
      </c>
    </row>
    <row r="3046" spans="1:11" ht="42" customHeight="1">
      <c r="A3046" s="2" t="s">
        <v>7513</v>
      </c>
      <c r="B3046" s="2" t="s">
        <v>7514</v>
      </c>
      <c r="C3046" s="2" t="s">
        <v>49</v>
      </c>
      <c r="D3046" s="2" t="s">
        <v>50</v>
      </c>
      <c r="E3046" s="5">
        <v>-30863</v>
      </c>
      <c r="F3046" s="3" t="s">
        <v>110</v>
      </c>
      <c r="G3046" s="3" t="s">
        <v>88</v>
      </c>
      <c r="H3046" s="2" t="s">
        <v>72</v>
      </c>
      <c r="I3046" s="2" t="s">
        <v>7515</v>
      </c>
      <c r="J3046" s="3" t="str">
        <f>HYPERLINK("https://www.boe.es/gazeta/dias/1815/07/01/pdfs/GMD-1815-79.pdf#page=10","Abrir facsímil")</f>
        <v>Abrir facsímil</v>
      </c>
      <c r="K3046" s="3" t="s">
        <v>74</v>
      </c>
    </row>
    <row r="3047" spans="1:11" ht="42" customHeight="1">
      <c r="A3047" s="2" t="s">
        <v>7516</v>
      </c>
      <c r="B3047" s="2" t="s">
        <v>7517</v>
      </c>
      <c r="C3047" s="2" t="s">
        <v>49</v>
      </c>
      <c r="D3047" s="2" t="s">
        <v>50</v>
      </c>
      <c r="E3047" s="5">
        <v>-31040</v>
      </c>
      <c r="F3047" s="3" t="s">
        <v>326</v>
      </c>
      <c r="G3047" s="3" t="s">
        <v>27</v>
      </c>
      <c r="H3047" s="2" t="s">
        <v>72</v>
      </c>
      <c r="I3047" s="2" t="s">
        <v>7518</v>
      </c>
      <c r="J3047" s="3" t="str">
        <f>HYPERLINK("https://www.boe.es/gazeta/dias/1815/01/05/pdfs/GMD-1815-2.pdf#page=6","Abrir facsímil")</f>
        <v>Abrir facsímil</v>
      </c>
      <c r="K3047" s="3" t="s">
        <v>74</v>
      </c>
    </row>
    <row r="3048" spans="1:11" ht="42" customHeight="1">
      <c r="A3048" s="2" t="s">
        <v>7519</v>
      </c>
      <c r="B3048" s="2" t="s">
        <v>7519</v>
      </c>
      <c r="C3048" s="2" t="s">
        <v>31</v>
      </c>
      <c r="D3048" s="2" t="s">
        <v>32</v>
      </c>
      <c r="E3048" s="5">
        <v>-30849</v>
      </c>
      <c r="F3048" s="3" t="s">
        <v>501</v>
      </c>
      <c r="G3048" s="3" t="s">
        <v>88</v>
      </c>
      <c r="H3048" s="2" t="s">
        <v>72</v>
      </c>
      <c r="I3048" s="2" t="s">
        <v>7520</v>
      </c>
      <c r="J3048" s="3" t="str">
        <f>HYPERLINK("https://www.boe.es/gazeta/dias/1815/07/15/pdfs/GMD-1815-87.pdf#page=10","Abrir facsímil")</f>
        <v>Abrir facsímil</v>
      </c>
      <c r="K3048" s="3" t="s">
        <v>74</v>
      </c>
    </row>
    <row r="3049" spans="1:11" ht="42" customHeight="1">
      <c r="A3049" s="2" t="s">
        <v>7521</v>
      </c>
      <c r="B3049" s="2" t="s">
        <v>7522</v>
      </c>
      <c r="C3049" s="2" t="s">
        <v>17</v>
      </c>
      <c r="D3049" s="2" t="s">
        <v>18</v>
      </c>
      <c r="E3049" s="5">
        <v>-31024</v>
      </c>
      <c r="F3049" s="3" t="s">
        <v>101</v>
      </c>
      <c r="G3049" s="3" t="s">
        <v>258</v>
      </c>
      <c r="H3049" s="2" t="s">
        <v>72</v>
      </c>
      <c r="I3049" s="2" t="s">
        <v>7523</v>
      </c>
      <c r="J3049" s="3" t="str">
        <f>HYPERLINK("https://www.boe.es/gazeta/dias/1815/01/21/pdfs/GMD-1815-9.pdf#page=6","Abrir facsímil")</f>
        <v>Abrir facsímil</v>
      </c>
      <c r="K3049" s="3" t="s">
        <v>74</v>
      </c>
    </row>
    <row r="3050" spans="1:11" ht="42" customHeight="1">
      <c r="A3050" s="2" t="s">
        <v>7524</v>
      </c>
      <c r="B3050" s="2" t="s">
        <v>7525</v>
      </c>
      <c r="C3050" s="2" t="s">
        <v>49</v>
      </c>
      <c r="D3050" s="2" t="s">
        <v>50</v>
      </c>
      <c r="E3050" s="5">
        <v>-30767</v>
      </c>
      <c r="F3050" s="3" t="s">
        <v>228</v>
      </c>
      <c r="G3050" s="3" t="s">
        <v>88</v>
      </c>
      <c r="H3050" s="2" t="s">
        <v>72</v>
      </c>
      <c r="I3050" s="2" t="s">
        <v>7526</v>
      </c>
      <c r="J3050" s="3" t="str">
        <f>HYPERLINK("https://www.boe.es/gazeta/dias/1815/10/05/pdfs/GMD-1815-125.pdf#page=10","Abrir facsímil")</f>
        <v>Abrir facsímil</v>
      </c>
      <c r="K3050" s="3" t="s">
        <v>74</v>
      </c>
    </row>
    <row r="3051" spans="1:11" ht="42" customHeight="1">
      <c r="A3051" s="2" t="s">
        <v>7527</v>
      </c>
      <c r="B3051" s="2" t="s">
        <v>7528</v>
      </c>
      <c r="C3051" s="2" t="s">
        <v>31</v>
      </c>
      <c r="D3051" s="2" t="s">
        <v>32</v>
      </c>
      <c r="E3051" s="5">
        <v>-30767</v>
      </c>
      <c r="F3051" s="3" t="s">
        <v>228</v>
      </c>
      <c r="G3051" s="3" t="s">
        <v>224</v>
      </c>
      <c r="H3051" s="2" t="s">
        <v>72</v>
      </c>
      <c r="I3051" s="2" t="s">
        <v>7529</v>
      </c>
      <c r="J3051" s="3" t="str">
        <f>HYPERLINK("https://www.boe.es/gazeta/dias/1815/10/05/pdfs/GMD-1815-125.pdf#page=9","Abrir facsímil")</f>
        <v>Abrir facsímil</v>
      </c>
      <c r="K3051" s="3" t="s">
        <v>74</v>
      </c>
    </row>
    <row r="3052" spans="1:11" ht="42" customHeight="1">
      <c r="A3052" s="2" t="s">
        <v>7530</v>
      </c>
      <c r="B3052" s="2" t="s">
        <v>7531</v>
      </c>
      <c r="C3052" s="2" t="s">
        <v>49</v>
      </c>
      <c r="D3052" s="2" t="s">
        <v>50</v>
      </c>
      <c r="E3052" s="5">
        <v>-30865</v>
      </c>
      <c r="F3052" s="3" t="s">
        <v>163</v>
      </c>
      <c r="G3052" s="3" t="s">
        <v>71</v>
      </c>
      <c r="H3052" s="2" t="s">
        <v>72</v>
      </c>
      <c r="I3052" s="2" t="s">
        <v>7532</v>
      </c>
      <c r="J3052" s="3" t="str">
        <f>HYPERLINK("https://www.boe.es/gazeta/dias/1815/06/29/pdfs/GMD-1815-78.pdf#page=7","Abrir facsímil")</f>
        <v>Abrir facsímil</v>
      </c>
      <c r="K3052" s="3" t="s">
        <v>74</v>
      </c>
    </row>
    <row r="3053" spans="1:11" ht="42" customHeight="1">
      <c r="A3053" s="2" t="s">
        <v>7533</v>
      </c>
      <c r="B3053" s="2" t="s">
        <v>7534</v>
      </c>
      <c r="C3053" s="2" t="s">
        <v>81</v>
      </c>
      <c r="D3053" s="2" t="s">
        <v>50</v>
      </c>
      <c r="E3053" s="5">
        <v>-30958</v>
      </c>
      <c r="F3053" s="3" t="s">
        <v>297</v>
      </c>
      <c r="G3053" s="3" t="s">
        <v>38</v>
      </c>
      <c r="H3053" s="2" t="s">
        <v>21</v>
      </c>
      <c r="I3053" s="2" t="s">
        <v>7535</v>
      </c>
      <c r="J3053" s="3" t="str">
        <f>HYPERLINK("https://www.boe.es/gazeta/dias/1815/03/28/pdfs/GMD-1815-37.pdf#page=8","Abrir facsímil")</f>
        <v>Abrir facsímil</v>
      </c>
      <c r="K3053" s="3" t="s">
        <v>23</v>
      </c>
    </row>
    <row r="3054" spans="1:11" ht="42" customHeight="1">
      <c r="A3054" s="2" t="s">
        <v>7536</v>
      </c>
      <c r="B3054" s="2" t="s">
        <v>7536</v>
      </c>
      <c r="C3054" s="2" t="s">
        <v>17</v>
      </c>
      <c r="D3054" s="2" t="s">
        <v>18</v>
      </c>
      <c r="E3054" s="5">
        <v>-30933</v>
      </c>
      <c r="F3054" s="3" t="s">
        <v>725</v>
      </c>
      <c r="G3054" s="3" t="s">
        <v>410</v>
      </c>
      <c r="H3054" s="2" t="s">
        <v>72</v>
      </c>
      <c r="I3054" s="2" t="s">
        <v>7537</v>
      </c>
      <c r="J3054" s="3" t="str">
        <f>HYPERLINK("https://www.boe.es/gazeta/dias/1815/04/22/pdfs/GMD-1815-49.pdf#page=1","Abrir facsímil")</f>
        <v>Abrir facsímil</v>
      </c>
      <c r="K3054" s="3" t="s">
        <v>74</v>
      </c>
    </row>
    <row r="3055" spans="1:11" ht="42" customHeight="1">
      <c r="A3055" s="2" t="s">
        <v>7538</v>
      </c>
      <c r="B3055" s="2" t="s">
        <v>7539</v>
      </c>
      <c r="C3055" s="2" t="s">
        <v>49</v>
      </c>
      <c r="D3055" s="2" t="s">
        <v>50</v>
      </c>
      <c r="E3055" s="5">
        <v>-30886</v>
      </c>
      <c r="F3055" s="3" t="s">
        <v>140</v>
      </c>
      <c r="G3055" s="3" t="s">
        <v>224</v>
      </c>
      <c r="H3055" s="2" t="s">
        <v>72</v>
      </c>
      <c r="I3055" s="2" t="s">
        <v>7540</v>
      </c>
      <c r="J3055" s="3" t="str">
        <f>HYPERLINK("https://www.boe.es/gazeta/dias/1815/06/08/pdfs/GMD-1815-69.pdf#page=9","Abrir facsímil")</f>
        <v>Abrir facsímil</v>
      </c>
      <c r="K3055" s="3" t="s">
        <v>74</v>
      </c>
    </row>
    <row r="3056" spans="1:11" ht="42" customHeight="1">
      <c r="A3056" s="2" t="s">
        <v>7541</v>
      </c>
      <c r="B3056" s="2" t="s">
        <v>7541</v>
      </c>
      <c r="C3056" s="2" t="s">
        <v>31</v>
      </c>
      <c r="D3056" s="2" t="s">
        <v>32</v>
      </c>
      <c r="E3056" s="5">
        <v>-30856</v>
      </c>
      <c r="F3056" s="3" t="s">
        <v>92</v>
      </c>
      <c r="G3056" s="3" t="s">
        <v>410</v>
      </c>
      <c r="H3056" s="2" t="s">
        <v>72</v>
      </c>
      <c r="I3056" s="2" t="s">
        <v>7542</v>
      </c>
      <c r="J3056" s="3" t="str">
        <f>HYPERLINK("https://www.boe.es/gazeta/dias/1815/07/08/pdfs/GMD-1815-84.pdf#page=1","Abrir facsímil")</f>
        <v>Abrir facsímil</v>
      </c>
      <c r="K3056" s="3" t="s">
        <v>74</v>
      </c>
    </row>
    <row r="3057" spans="1:11" ht="42" customHeight="1">
      <c r="A3057" s="2" t="s">
        <v>7541</v>
      </c>
      <c r="B3057" s="2" t="s">
        <v>7541</v>
      </c>
      <c r="C3057" s="2" t="s">
        <v>31</v>
      </c>
      <c r="D3057" s="2" t="s">
        <v>32</v>
      </c>
      <c r="E3057" s="5">
        <v>-30830</v>
      </c>
      <c r="F3057" s="3" t="s">
        <v>33</v>
      </c>
      <c r="G3057" s="3" t="s">
        <v>20</v>
      </c>
      <c r="H3057" s="2" t="s">
        <v>72</v>
      </c>
      <c r="I3057" s="2" t="s">
        <v>7543</v>
      </c>
      <c r="J3057" s="3" t="str">
        <f>HYPERLINK("https://www.boe.es/gazeta/dias/1815/08/03/pdfs/GMD-1815-95.pdf#page=4","Abrir facsímil")</f>
        <v>Abrir facsímil</v>
      </c>
      <c r="K3057" s="3" t="s">
        <v>74</v>
      </c>
    </row>
    <row r="3058" spans="1:11" ht="42" customHeight="1">
      <c r="A3058" s="2" t="s">
        <v>7541</v>
      </c>
      <c r="B3058" s="2" t="s">
        <v>7541</v>
      </c>
      <c r="C3058" s="2" t="s">
        <v>31</v>
      </c>
      <c r="D3058" s="2" t="s">
        <v>32</v>
      </c>
      <c r="E3058" s="5">
        <v>-30765</v>
      </c>
      <c r="F3058" s="3" t="s">
        <v>2150</v>
      </c>
      <c r="G3058" s="3" t="s">
        <v>377</v>
      </c>
      <c r="H3058" s="2" t="s">
        <v>72</v>
      </c>
      <c r="I3058" s="2" t="s">
        <v>7544</v>
      </c>
      <c r="J3058" s="3" t="str">
        <f>HYPERLINK("https://www.boe.es/gazeta/dias/1815/10/07/pdfs/GMD-1815-126.pdf#page=2","Abrir facsímil")</f>
        <v>Abrir facsímil</v>
      </c>
      <c r="K3058" s="3" t="s">
        <v>74</v>
      </c>
    </row>
    <row r="3059" spans="1:11" ht="42" customHeight="1">
      <c r="A3059" s="2" t="s">
        <v>7541</v>
      </c>
      <c r="B3059" s="2" t="s">
        <v>7541</v>
      </c>
      <c r="C3059" s="2" t="s">
        <v>31</v>
      </c>
      <c r="D3059" s="2" t="s">
        <v>32</v>
      </c>
      <c r="E3059" s="5">
        <v>-30723</v>
      </c>
      <c r="F3059" s="3" t="s">
        <v>77</v>
      </c>
      <c r="G3059" s="3" t="s">
        <v>57</v>
      </c>
      <c r="H3059" s="2" t="s">
        <v>72</v>
      </c>
      <c r="I3059" s="2" t="s">
        <v>7545</v>
      </c>
      <c r="J3059" s="3" t="str">
        <f>HYPERLINK("https://www.boe.es/gazeta/dias/1815/11/18/pdfs/GMD-1815-144.pdf#page=5","Abrir facsímil")</f>
        <v>Abrir facsímil</v>
      </c>
      <c r="K3059" s="3" t="s">
        <v>74</v>
      </c>
    </row>
    <row r="3060" spans="1:11" ht="42" customHeight="1">
      <c r="A3060" s="2" t="s">
        <v>7546</v>
      </c>
      <c r="B3060" s="2" t="s">
        <v>7546</v>
      </c>
      <c r="C3060" s="2" t="s">
        <v>61</v>
      </c>
      <c r="D3060" s="2" t="s">
        <v>50</v>
      </c>
      <c r="E3060" s="5">
        <v>-31042</v>
      </c>
      <c r="F3060" s="3" t="s">
        <v>512</v>
      </c>
      <c r="G3060" s="3" t="s">
        <v>377</v>
      </c>
      <c r="H3060" s="2" t="s">
        <v>72</v>
      </c>
      <c r="I3060" s="2" t="s">
        <v>7547</v>
      </c>
      <c r="J3060" s="3" t="str">
        <f>HYPERLINK("https://www.boe.es/gazeta/dias/1815/01/03/pdfs/GMD-1815-1.pdf#page=2","Abrir facsímil")</f>
        <v>Abrir facsímil</v>
      </c>
      <c r="K3060" s="3" t="s">
        <v>74</v>
      </c>
    </row>
    <row r="3061" spans="1:11" ht="42" customHeight="1">
      <c r="A3061" s="2" t="s">
        <v>7548</v>
      </c>
      <c r="B3061" s="2" t="s">
        <v>7548</v>
      </c>
      <c r="C3061" s="2" t="s">
        <v>61</v>
      </c>
      <c r="D3061" s="2" t="s">
        <v>50</v>
      </c>
      <c r="E3061" s="5">
        <v>-31033</v>
      </c>
      <c r="F3061" s="3" t="s">
        <v>493</v>
      </c>
      <c r="G3061" s="3" t="s">
        <v>38</v>
      </c>
      <c r="H3061" s="2" t="s">
        <v>72</v>
      </c>
      <c r="I3061" s="2" t="s">
        <v>7549</v>
      </c>
      <c r="J3061" s="3" t="str">
        <f>HYPERLINK("https://www.boe.es/gazeta/dias/1815/01/12/pdfs/GMD-1815-5.pdf#page=8","Abrir facsímil")</f>
        <v>Abrir facsímil</v>
      </c>
      <c r="K3061" s="3" t="s">
        <v>74</v>
      </c>
    </row>
    <row r="3062" spans="1:11" ht="42" customHeight="1">
      <c r="A3062" s="2" t="s">
        <v>7550</v>
      </c>
      <c r="B3062" s="2" t="s">
        <v>7551</v>
      </c>
      <c r="C3062" s="2" t="s">
        <v>49</v>
      </c>
      <c r="D3062" s="2" t="s">
        <v>50</v>
      </c>
      <c r="E3062" s="5">
        <v>-30886</v>
      </c>
      <c r="F3062" s="3" t="s">
        <v>140</v>
      </c>
      <c r="G3062" s="3" t="s">
        <v>224</v>
      </c>
      <c r="H3062" s="2" t="s">
        <v>72</v>
      </c>
      <c r="I3062" s="2" t="s">
        <v>7552</v>
      </c>
      <c r="J3062" s="3" t="str">
        <f>HYPERLINK("https://www.boe.es/gazeta/dias/1815/06/08/pdfs/GMD-1815-69.pdf#page=9","Abrir facsímil")</f>
        <v>Abrir facsímil</v>
      </c>
      <c r="K3062" s="3" t="s">
        <v>74</v>
      </c>
    </row>
    <row r="3063" spans="1:11" ht="42" customHeight="1">
      <c r="A3063" s="2" t="s">
        <v>7553</v>
      </c>
      <c r="B3063" s="2" t="s">
        <v>7554</v>
      </c>
      <c r="C3063" s="2" t="s">
        <v>49</v>
      </c>
      <c r="D3063" s="2" t="s">
        <v>50</v>
      </c>
      <c r="E3063" s="5">
        <v>-30886</v>
      </c>
      <c r="F3063" s="3" t="s">
        <v>140</v>
      </c>
      <c r="G3063" s="3" t="s">
        <v>52</v>
      </c>
      <c r="H3063" s="2" t="s">
        <v>21</v>
      </c>
      <c r="I3063" s="2" t="s">
        <v>7555</v>
      </c>
      <c r="J3063" s="3" t="str">
        <f>HYPERLINK("https://www.boe.es/gazeta/dias/1815/06/08/pdfs/GMD-1815-69.pdf#page=11","Abrir facsímil")</f>
        <v>Abrir facsímil</v>
      </c>
      <c r="K3063" s="3" t="s">
        <v>23</v>
      </c>
    </row>
    <row r="3064" spans="1:11" ht="42" customHeight="1">
      <c r="A3064" s="2" t="s">
        <v>7556</v>
      </c>
      <c r="B3064" s="2" t="s">
        <v>7556</v>
      </c>
      <c r="C3064" s="2" t="s">
        <v>897</v>
      </c>
      <c r="D3064" s="2" t="s">
        <v>50</v>
      </c>
      <c r="E3064" s="5">
        <v>-30872</v>
      </c>
      <c r="F3064" s="3" t="s">
        <v>167</v>
      </c>
      <c r="G3064" s="3" t="s">
        <v>410</v>
      </c>
      <c r="H3064" s="2" t="s">
        <v>72</v>
      </c>
      <c r="I3064" s="2" t="s">
        <v>7557</v>
      </c>
      <c r="J3064" s="3" t="str">
        <f>HYPERLINK("https://www.boe.es/gazeta/dias/1815/06/22/pdfs/GMD-1815-75.pdf#page=1","Abrir facsímil")</f>
        <v>Abrir facsímil</v>
      </c>
      <c r="K3064" s="3" t="s">
        <v>74</v>
      </c>
    </row>
    <row r="3065" spans="1:11" ht="42" customHeight="1">
      <c r="A3065" s="2" t="s">
        <v>7556</v>
      </c>
      <c r="B3065" s="2" t="s">
        <v>7556</v>
      </c>
      <c r="C3065" s="2" t="s">
        <v>31</v>
      </c>
      <c r="D3065" s="2" t="s">
        <v>32</v>
      </c>
      <c r="E3065" s="5">
        <v>-30697</v>
      </c>
      <c r="F3065" s="3" t="s">
        <v>381</v>
      </c>
      <c r="G3065" s="3" t="s">
        <v>57</v>
      </c>
      <c r="H3065" s="2" t="s">
        <v>72</v>
      </c>
      <c r="I3065" s="2" t="s">
        <v>7558</v>
      </c>
      <c r="J3065" s="3" t="str">
        <f>HYPERLINK("https://www.boe.es/gazeta/dias/1815/12/14/pdfs/GMD-1815-155.pdf#page=5","Abrir facsímil")</f>
        <v>Abrir facsímil</v>
      </c>
      <c r="K3065" s="3" t="s">
        <v>74</v>
      </c>
    </row>
    <row r="3066" spans="1:11" ht="42" customHeight="1">
      <c r="A3066" s="2" t="s">
        <v>7559</v>
      </c>
      <c r="B3066" s="2" t="s">
        <v>7560</v>
      </c>
      <c r="C3066" s="2" t="s">
        <v>31</v>
      </c>
      <c r="D3066" s="2" t="s">
        <v>32</v>
      </c>
      <c r="E3066" s="5">
        <v>-30842</v>
      </c>
      <c r="F3066" s="3" t="s">
        <v>126</v>
      </c>
      <c r="G3066" s="3" t="s">
        <v>71</v>
      </c>
      <c r="H3066" s="2" t="s">
        <v>72</v>
      </c>
      <c r="I3066" s="2" t="s">
        <v>7561</v>
      </c>
      <c r="J3066" s="3" t="str">
        <f>HYPERLINK("https://www.boe.es/gazeta/dias/1815/07/22/pdfs/GMD-1815-90.pdf#page=7","Abrir facsímil")</f>
        <v>Abrir facsímil</v>
      </c>
      <c r="K3066" s="3" t="s">
        <v>74</v>
      </c>
    </row>
    <row r="3067" spans="1:11" ht="42" customHeight="1">
      <c r="A3067" s="2" t="s">
        <v>7562</v>
      </c>
      <c r="B3067" s="2" t="s">
        <v>7563</v>
      </c>
      <c r="C3067" s="2" t="s">
        <v>49</v>
      </c>
      <c r="D3067" s="2" t="s">
        <v>50</v>
      </c>
      <c r="E3067" s="5">
        <v>-30842</v>
      </c>
      <c r="F3067" s="3" t="s">
        <v>126</v>
      </c>
      <c r="G3067" s="3" t="s">
        <v>38</v>
      </c>
      <c r="H3067" s="2" t="s">
        <v>72</v>
      </c>
      <c r="I3067" s="2" t="s">
        <v>7564</v>
      </c>
      <c r="J3067" s="3" t="str">
        <f>HYPERLINK("https://www.boe.es/gazeta/dias/1815/07/22/pdfs/GMD-1815-90.pdf#page=8","Abrir facsímil")</f>
        <v>Abrir facsímil</v>
      </c>
      <c r="K3067" s="3" t="s">
        <v>74</v>
      </c>
    </row>
    <row r="3068" spans="1:11" ht="42" customHeight="1">
      <c r="A3068" s="2" t="s">
        <v>7565</v>
      </c>
      <c r="B3068" s="2" t="s">
        <v>7566</v>
      </c>
      <c r="C3068" s="2" t="s">
        <v>31</v>
      </c>
      <c r="D3068" s="2" t="s">
        <v>32</v>
      </c>
      <c r="E3068" s="5">
        <v>-30921</v>
      </c>
      <c r="F3068" s="3" t="s">
        <v>191</v>
      </c>
      <c r="G3068" s="3" t="s">
        <v>71</v>
      </c>
      <c r="H3068" s="2" t="s">
        <v>72</v>
      </c>
      <c r="I3068" s="2" t="s">
        <v>7567</v>
      </c>
      <c r="J3068" s="3" t="str">
        <f>HYPERLINK("https://www.boe.es/gazeta/dias/1815/05/04/pdfs/GMD-1815-54.pdf#page=7","Abrir facsímil")</f>
        <v>Abrir facsímil</v>
      </c>
      <c r="K3068" s="3" t="s">
        <v>74</v>
      </c>
    </row>
    <row r="3069" spans="1:11" ht="42" customHeight="1">
      <c r="A3069" s="2" t="s">
        <v>7568</v>
      </c>
      <c r="B3069" s="2" t="s">
        <v>7568</v>
      </c>
      <c r="C3069" s="2" t="s">
        <v>31</v>
      </c>
      <c r="D3069" s="2" t="s">
        <v>32</v>
      </c>
      <c r="E3069" s="5">
        <v>-30849</v>
      </c>
      <c r="F3069" s="3" t="s">
        <v>501</v>
      </c>
      <c r="G3069" s="3" t="s">
        <v>52</v>
      </c>
      <c r="H3069" s="2" t="s">
        <v>72</v>
      </c>
      <c r="I3069" s="2" t="s">
        <v>7569</v>
      </c>
      <c r="J3069" s="3" t="str">
        <f>HYPERLINK("https://www.boe.es/gazeta/dias/1815/07/15/pdfs/GMD-1815-87.pdf#page=11","Abrir facsímil")</f>
        <v>Abrir facsímil</v>
      </c>
      <c r="K3069" s="3" t="s">
        <v>74</v>
      </c>
    </row>
    <row r="3070" spans="1:11" ht="42" customHeight="1">
      <c r="A3070" s="2" t="s">
        <v>7570</v>
      </c>
      <c r="B3070" s="2" t="s">
        <v>7571</v>
      </c>
      <c r="C3070" s="2" t="s">
        <v>49</v>
      </c>
      <c r="D3070" s="2" t="s">
        <v>50</v>
      </c>
      <c r="E3070" s="5">
        <v>-30928</v>
      </c>
      <c r="F3070" s="3" t="s">
        <v>330</v>
      </c>
      <c r="G3070" s="3" t="s">
        <v>38</v>
      </c>
      <c r="H3070" s="2" t="s">
        <v>72</v>
      </c>
      <c r="I3070" s="2" t="s">
        <v>7572</v>
      </c>
      <c r="J3070" s="3" t="str">
        <f>HYPERLINK("https://www.boe.es/gazeta/dias/1815/04/27/pdfs/GMD-1815-51.pdf#page=8","Abrir facsímil")</f>
        <v>Abrir facsímil</v>
      </c>
      <c r="K3070" s="3" t="s">
        <v>74</v>
      </c>
    </row>
    <row r="3071" spans="1:11" ht="42" customHeight="1">
      <c r="A3071" s="2" t="s">
        <v>7573</v>
      </c>
      <c r="B3071" s="2" t="s">
        <v>7574</v>
      </c>
      <c r="C3071" s="2" t="s">
        <v>31</v>
      </c>
      <c r="D3071" s="2" t="s">
        <v>32</v>
      </c>
      <c r="E3071" s="5">
        <v>-31038</v>
      </c>
      <c r="F3071" s="3" t="s">
        <v>395</v>
      </c>
      <c r="G3071" s="3" t="s">
        <v>396</v>
      </c>
      <c r="H3071" s="2" t="s">
        <v>72</v>
      </c>
      <c r="I3071" s="2" t="s">
        <v>7575</v>
      </c>
      <c r="J3071" s="3" t="str">
        <f>HYPERLINK("https://www.boe.es/gazeta/dias/1815/01/07/pdfs/GMD-1815-3.pdf#page=5","Abrir facsímil")</f>
        <v>Abrir facsímil</v>
      </c>
      <c r="K3071" s="3" t="s">
        <v>74</v>
      </c>
    </row>
    <row r="3072" spans="1:11" ht="42" customHeight="1">
      <c r="A3072" s="2" t="s">
        <v>7576</v>
      </c>
      <c r="B3072" s="2" t="s">
        <v>7577</v>
      </c>
      <c r="C3072" s="2" t="s">
        <v>31</v>
      </c>
      <c r="D3072" s="2" t="s">
        <v>32</v>
      </c>
      <c r="E3072" s="5">
        <v>-31038</v>
      </c>
      <c r="F3072" s="3" t="s">
        <v>395</v>
      </c>
      <c r="G3072" s="3" t="s">
        <v>396</v>
      </c>
      <c r="H3072" s="2" t="s">
        <v>72</v>
      </c>
      <c r="I3072" s="2" t="s">
        <v>7578</v>
      </c>
      <c r="J3072" s="3" t="str">
        <f>HYPERLINK("https://www.boe.es/gazeta/dias/1815/01/07/pdfs/GMD-1815-3.pdf#page=5","Abrir facsímil")</f>
        <v>Abrir facsímil</v>
      </c>
      <c r="K3072" s="3" t="s">
        <v>74</v>
      </c>
    </row>
    <row r="3073" spans="1:11" ht="42" customHeight="1">
      <c r="A3073" s="2" t="s">
        <v>7579</v>
      </c>
      <c r="B3073" s="2" t="s">
        <v>7580</v>
      </c>
      <c r="C3073" s="2" t="s">
        <v>31</v>
      </c>
      <c r="D3073" s="2" t="s">
        <v>32</v>
      </c>
      <c r="E3073" s="5">
        <v>-30697</v>
      </c>
      <c r="F3073" s="3" t="s">
        <v>381</v>
      </c>
      <c r="G3073" s="3" t="s">
        <v>5896</v>
      </c>
      <c r="H3073" s="2" t="s">
        <v>72</v>
      </c>
      <c r="I3073" s="2" t="s">
        <v>7581</v>
      </c>
      <c r="J3073" s="3" t="str">
        <f>HYPERLINK("https://www.boe.es/gazeta/dias/1815/12/14/pdfs/GMD-1815-155.pdf#page=6","Abrir facsímil")</f>
        <v>Abrir facsímil</v>
      </c>
      <c r="K3073" s="3" t="s">
        <v>74</v>
      </c>
    </row>
    <row r="3074" spans="1:11" ht="42" customHeight="1">
      <c r="A3074" s="2" t="s">
        <v>7582</v>
      </c>
      <c r="B3074" s="2" t="s">
        <v>7583</v>
      </c>
      <c r="C3074" s="2" t="s">
        <v>131</v>
      </c>
      <c r="D3074" s="2" t="s">
        <v>50</v>
      </c>
      <c r="E3074" s="5">
        <v>-30963</v>
      </c>
      <c r="F3074" s="3" t="s">
        <v>879</v>
      </c>
      <c r="G3074" s="3" t="s">
        <v>71</v>
      </c>
      <c r="H3074" s="2" t="s">
        <v>72</v>
      </c>
      <c r="I3074" s="2" t="s">
        <v>7584</v>
      </c>
      <c r="J3074" s="3" t="str">
        <f>HYPERLINK("https://www.boe.es/gazeta/dias/1815/03/23/pdfs/GMD-1815-35.pdf#page=7","Abrir facsímil")</f>
        <v>Abrir facsímil</v>
      </c>
      <c r="K3074" s="3" t="s">
        <v>74</v>
      </c>
    </row>
    <row r="3075" spans="1:11" ht="42" customHeight="1">
      <c r="A3075" s="2" t="s">
        <v>7585</v>
      </c>
      <c r="B3075" s="2" t="s">
        <v>7586</v>
      </c>
      <c r="C3075" s="2" t="s">
        <v>31</v>
      </c>
      <c r="D3075" s="2" t="s">
        <v>32</v>
      </c>
      <c r="E3075" s="5">
        <v>-30949</v>
      </c>
      <c r="F3075" s="3" t="s">
        <v>420</v>
      </c>
      <c r="G3075" s="3" t="s">
        <v>27</v>
      </c>
      <c r="H3075" s="2" t="s">
        <v>21</v>
      </c>
      <c r="I3075" s="2" t="s">
        <v>7587</v>
      </c>
      <c r="J3075" s="3" t="str">
        <f>HYPERLINK("https://www.boe.es/gazeta/dias/1815/04/06/pdfs/GMD-1815-42.pdf#page=6","Abrir facsímil")</f>
        <v>Abrir facsímil</v>
      </c>
      <c r="K3075" s="3" t="s">
        <v>23</v>
      </c>
    </row>
    <row r="3076" spans="1:11" ht="42" customHeight="1">
      <c r="A3076" s="2" t="s">
        <v>7588</v>
      </c>
      <c r="B3076" s="2" t="s">
        <v>7589</v>
      </c>
      <c r="C3076" s="2" t="s">
        <v>49</v>
      </c>
      <c r="D3076" s="2" t="s">
        <v>50</v>
      </c>
      <c r="E3076" s="5">
        <v>-30865</v>
      </c>
      <c r="F3076" s="3" t="s">
        <v>163</v>
      </c>
      <c r="G3076" s="3" t="s">
        <v>71</v>
      </c>
      <c r="H3076" s="2" t="s">
        <v>72</v>
      </c>
      <c r="I3076" s="2" t="s">
        <v>7590</v>
      </c>
      <c r="J3076" s="3" t="str">
        <f>HYPERLINK("https://www.boe.es/gazeta/dias/1815/06/29/pdfs/GMD-1815-78.pdf#page=7","Abrir facsímil")</f>
        <v>Abrir facsímil</v>
      </c>
      <c r="K3076" s="3" t="s">
        <v>74</v>
      </c>
    </row>
    <row r="3077" spans="1:11" ht="42" customHeight="1">
      <c r="A3077" s="2" t="s">
        <v>7591</v>
      </c>
      <c r="B3077" s="2" t="s">
        <v>7592</v>
      </c>
      <c r="C3077" s="2" t="s">
        <v>17</v>
      </c>
      <c r="D3077" s="2" t="s">
        <v>18</v>
      </c>
      <c r="E3077" s="5">
        <v>-30741</v>
      </c>
      <c r="F3077" s="3" t="s">
        <v>1000</v>
      </c>
      <c r="G3077" s="3" t="s">
        <v>7593</v>
      </c>
      <c r="H3077" s="2" t="s">
        <v>72</v>
      </c>
      <c r="I3077" s="2" t="s">
        <v>7594</v>
      </c>
      <c r="J3077" s="3" t="str">
        <f>HYPERLINK("https://www.boe.es/gazeta/dias/1815/10/31/pdfs/GMD-1815-136.pdf#page=6","Abrir facsímil")</f>
        <v>Abrir facsímil</v>
      </c>
      <c r="K3077" s="3" t="s">
        <v>74</v>
      </c>
    </row>
    <row r="3078" spans="1:11" ht="42" customHeight="1">
      <c r="A3078" s="2" t="s">
        <v>7595</v>
      </c>
      <c r="B3078" s="2" t="s">
        <v>7596</v>
      </c>
      <c r="C3078" s="2" t="s">
        <v>49</v>
      </c>
      <c r="D3078" s="2" t="s">
        <v>50</v>
      </c>
      <c r="E3078" s="5">
        <v>-30835</v>
      </c>
      <c r="F3078" s="3" t="s">
        <v>544</v>
      </c>
      <c r="G3078" s="3" t="s">
        <v>88</v>
      </c>
      <c r="H3078" s="2" t="s">
        <v>72</v>
      </c>
      <c r="I3078" s="2" t="s">
        <v>7597</v>
      </c>
      <c r="J3078" s="3" t="str">
        <f>HYPERLINK("https://www.boe.es/gazeta/dias/1815/07/29/pdfs/GMD-1815-93.pdf#page=10","Abrir facsímil")</f>
        <v>Abrir facsímil</v>
      </c>
      <c r="K3078" s="3" t="s">
        <v>74</v>
      </c>
    </row>
    <row r="3079" spans="1:11" ht="42" customHeight="1">
      <c r="A3079" s="2" t="s">
        <v>7598</v>
      </c>
      <c r="B3079" s="2" t="s">
        <v>7599</v>
      </c>
      <c r="C3079" s="2" t="s">
        <v>31</v>
      </c>
      <c r="D3079" s="2" t="s">
        <v>32</v>
      </c>
      <c r="E3079" s="5">
        <v>-30870</v>
      </c>
      <c r="F3079" s="3" t="s">
        <v>122</v>
      </c>
      <c r="G3079" s="3" t="s">
        <v>71</v>
      </c>
      <c r="H3079" s="2" t="s">
        <v>72</v>
      </c>
      <c r="I3079" s="2" t="s">
        <v>7600</v>
      </c>
      <c r="J3079" s="3" t="str">
        <f>HYPERLINK("https://www.boe.es/gazeta/dias/1815/06/24/pdfs/GMD-1815-76.pdf#page=7","Abrir facsímil")</f>
        <v>Abrir facsímil</v>
      </c>
      <c r="K3079" s="3" t="s">
        <v>74</v>
      </c>
    </row>
    <row r="3080" spans="1:11" ht="42" customHeight="1">
      <c r="A3080" s="2" t="s">
        <v>7601</v>
      </c>
      <c r="B3080" s="2" t="s">
        <v>7602</v>
      </c>
      <c r="C3080" s="2" t="s">
        <v>31</v>
      </c>
      <c r="D3080" s="2" t="s">
        <v>32</v>
      </c>
      <c r="E3080" s="5">
        <v>-30872</v>
      </c>
      <c r="F3080" s="3" t="s">
        <v>167</v>
      </c>
      <c r="G3080" s="3" t="s">
        <v>27</v>
      </c>
      <c r="H3080" s="2" t="s">
        <v>72</v>
      </c>
      <c r="I3080" s="2" t="s">
        <v>7603</v>
      </c>
      <c r="J3080" s="3" t="str">
        <f>HYPERLINK("https://www.boe.es/gazeta/dias/1815/06/22/pdfs/GMD-1815-75.pdf#page=6","Abrir facsímil")</f>
        <v>Abrir facsímil</v>
      </c>
      <c r="K3080" s="3" t="s">
        <v>74</v>
      </c>
    </row>
    <row r="3081" spans="1:11" ht="42" customHeight="1">
      <c r="A3081" s="2" t="s">
        <v>7604</v>
      </c>
      <c r="B3081" s="2" t="s">
        <v>7605</v>
      </c>
      <c r="C3081" s="2" t="s">
        <v>31</v>
      </c>
      <c r="D3081" s="2" t="s">
        <v>32</v>
      </c>
      <c r="E3081" s="5">
        <v>-30916</v>
      </c>
      <c r="F3081" s="3" t="s">
        <v>147</v>
      </c>
      <c r="G3081" s="3" t="s">
        <v>148</v>
      </c>
      <c r="H3081" s="2" t="s">
        <v>72</v>
      </c>
      <c r="I3081" s="2" t="s">
        <v>7606</v>
      </c>
      <c r="J3081" s="3" t="str">
        <f>HYPERLINK("https://www.boe.es/gazeta/dias/1815/05/09/pdfs/GMD-1815-56.pdf#page=7","Abrir facsímil")</f>
        <v>Abrir facsímil</v>
      </c>
      <c r="K3081" s="3" t="s">
        <v>74</v>
      </c>
    </row>
    <row r="3082" spans="1:11" ht="42" customHeight="1">
      <c r="A3082" s="2" t="s">
        <v>7607</v>
      </c>
      <c r="B3082" s="2" t="s">
        <v>7608</v>
      </c>
      <c r="C3082" s="2" t="s">
        <v>31</v>
      </c>
      <c r="D3082" s="2" t="s">
        <v>32</v>
      </c>
      <c r="E3082" s="5">
        <v>-30860</v>
      </c>
      <c r="F3082" s="3" t="s">
        <v>184</v>
      </c>
      <c r="G3082" s="3" t="s">
        <v>71</v>
      </c>
      <c r="H3082" s="2" t="s">
        <v>72</v>
      </c>
      <c r="I3082" s="2" t="s">
        <v>7609</v>
      </c>
      <c r="J3082" s="3" t="str">
        <f>HYPERLINK("https://www.boe.es/gazeta/dias/1815/07/04/pdfs/GMD-1815-81.pdf#page=7","Abrir facsímil")</f>
        <v>Abrir facsímil</v>
      </c>
      <c r="K3082" s="3" t="s">
        <v>74</v>
      </c>
    </row>
    <row r="3083" spans="1:11" ht="42" customHeight="1">
      <c r="A3083" s="2" t="s">
        <v>7610</v>
      </c>
      <c r="B3083" s="2" t="s">
        <v>7611</v>
      </c>
      <c r="C3083" s="2" t="s">
        <v>17</v>
      </c>
      <c r="D3083" s="2" t="s">
        <v>18</v>
      </c>
      <c r="E3083" s="5">
        <v>-30804</v>
      </c>
      <c r="F3083" s="3" t="s">
        <v>891</v>
      </c>
      <c r="G3083" s="3" t="s">
        <v>71</v>
      </c>
      <c r="H3083" s="2" t="s">
        <v>72</v>
      </c>
      <c r="I3083" s="2" t="s">
        <v>7612</v>
      </c>
      <c r="J3083" s="3" t="str">
        <f>HYPERLINK("https://www.boe.es/gazeta/dias/1815/08/29/pdfs/GMD-1815-106.pdf#page=7","Abrir facsímil")</f>
        <v>Abrir facsímil</v>
      </c>
      <c r="K3083" s="3" t="s">
        <v>74</v>
      </c>
    </row>
    <row r="3084" spans="1:11" ht="42" customHeight="1">
      <c r="A3084" s="2" t="s">
        <v>7613</v>
      </c>
      <c r="B3084" s="2" t="s">
        <v>7614</v>
      </c>
      <c r="C3084" s="2" t="s">
        <v>17</v>
      </c>
      <c r="D3084" s="2" t="s">
        <v>18</v>
      </c>
      <c r="E3084" s="5">
        <v>-30874</v>
      </c>
      <c r="F3084" s="3" t="s">
        <v>208</v>
      </c>
      <c r="G3084" s="3" t="s">
        <v>276</v>
      </c>
      <c r="H3084" s="2" t="s">
        <v>72</v>
      </c>
      <c r="I3084" s="2" t="s">
        <v>7615</v>
      </c>
      <c r="J3084" s="3" t="str">
        <f>HYPERLINK("https://www.boe.es/gazeta/dias/1815/06/20/pdfs/GMD-1815-74.pdf#page=12","Abrir facsímil")</f>
        <v>Abrir facsímil</v>
      </c>
      <c r="K3084" s="3" t="s">
        <v>74</v>
      </c>
    </row>
    <row r="3085" spans="1:11" ht="42" customHeight="1">
      <c r="A3085" s="2" t="s">
        <v>7616</v>
      </c>
      <c r="B3085" s="2" t="s">
        <v>7617</v>
      </c>
      <c r="C3085" s="2" t="s">
        <v>17</v>
      </c>
      <c r="D3085" s="2" t="s">
        <v>18</v>
      </c>
      <c r="E3085" s="5">
        <v>-30711</v>
      </c>
      <c r="F3085" s="3" t="s">
        <v>438</v>
      </c>
      <c r="G3085" s="3" t="s">
        <v>71</v>
      </c>
      <c r="H3085" s="2" t="s">
        <v>72</v>
      </c>
      <c r="I3085" s="2" t="s">
        <v>7618</v>
      </c>
      <c r="J3085" s="3" t="str">
        <f>HYPERLINK("https://www.boe.es/gazeta/dias/1815/11/30/pdfs/GMD-1815-149.pdf#page=7","Abrir facsímil")</f>
        <v>Abrir facsímil</v>
      </c>
      <c r="K3085" s="3" t="s">
        <v>74</v>
      </c>
    </row>
    <row r="3086" spans="1:11" ht="42" customHeight="1">
      <c r="A3086" s="2" t="s">
        <v>7619</v>
      </c>
      <c r="B3086" s="2" t="s">
        <v>7620</v>
      </c>
      <c r="C3086" s="2" t="s">
        <v>17</v>
      </c>
      <c r="D3086" s="2" t="s">
        <v>18</v>
      </c>
      <c r="E3086" s="5">
        <v>-30865</v>
      </c>
      <c r="F3086" s="3" t="s">
        <v>163</v>
      </c>
      <c r="G3086" s="3" t="s">
        <v>52</v>
      </c>
      <c r="H3086" s="2" t="s">
        <v>72</v>
      </c>
      <c r="I3086" s="2" t="s">
        <v>7621</v>
      </c>
      <c r="J3086" s="3" t="str">
        <f>HYPERLINK("https://www.boe.es/gazeta/dias/1815/06/29/pdfs/GMD-1815-78.pdf#page=11","Abrir facsímil")</f>
        <v>Abrir facsímil</v>
      </c>
      <c r="K3086" s="3" t="s">
        <v>74</v>
      </c>
    </row>
    <row r="3087" spans="1:11" ht="42" customHeight="1">
      <c r="A3087" s="2" t="s">
        <v>7622</v>
      </c>
      <c r="B3087" s="2" t="s">
        <v>7623</v>
      </c>
      <c r="C3087" s="2" t="s">
        <v>131</v>
      </c>
      <c r="D3087" s="2" t="s">
        <v>50</v>
      </c>
      <c r="E3087" s="5">
        <v>-30692</v>
      </c>
      <c r="F3087" s="3" t="s">
        <v>508</v>
      </c>
      <c r="G3087" s="3" t="s">
        <v>38</v>
      </c>
      <c r="H3087" s="2" t="s">
        <v>72</v>
      </c>
      <c r="I3087" s="2" t="s">
        <v>7624</v>
      </c>
      <c r="J3087" s="3" t="str">
        <f>HYPERLINK("https://www.boe.es/gazeta/dias/1815/12/19/pdfs/GMD-1815-157.pdf#page=8","Abrir facsímil")</f>
        <v>Abrir facsímil</v>
      </c>
      <c r="K3087" s="3" t="s">
        <v>74</v>
      </c>
    </row>
    <row r="3088" spans="1:11" ht="42" customHeight="1">
      <c r="A3088" s="2" t="s">
        <v>7625</v>
      </c>
      <c r="B3088" s="2" t="s">
        <v>7626</v>
      </c>
      <c r="C3088" s="2" t="s">
        <v>131</v>
      </c>
      <c r="D3088" s="2" t="s">
        <v>50</v>
      </c>
      <c r="E3088" s="5">
        <v>-30846</v>
      </c>
      <c r="F3088" s="3" t="s">
        <v>858</v>
      </c>
      <c r="G3088" s="3" t="s">
        <v>38</v>
      </c>
      <c r="H3088" s="2" t="s">
        <v>72</v>
      </c>
      <c r="I3088" s="2" t="s">
        <v>7627</v>
      </c>
      <c r="J3088" s="3" t="str">
        <f>HYPERLINK("https://www.boe.es/gazeta/dias/1815/07/18/pdfs/GMD-1815-88.pdf#page=8","Abrir facsímil")</f>
        <v>Abrir facsímil</v>
      </c>
      <c r="K3088" s="3" t="s">
        <v>74</v>
      </c>
    </row>
    <row r="3089" spans="1:11" ht="42" customHeight="1">
      <c r="A3089" s="2" t="s">
        <v>7625</v>
      </c>
      <c r="B3089" s="2" t="s">
        <v>7626</v>
      </c>
      <c r="C3089" s="2" t="s">
        <v>81</v>
      </c>
      <c r="D3089" s="2" t="s">
        <v>50</v>
      </c>
      <c r="E3089" s="5">
        <v>-30837</v>
      </c>
      <c r="F3089" s="3" t="s">
        <v>2256</v>
      </c>
      <c r="G3089" s="3" t="s">
        <v>38</v>
      </c>
      <c r="H3089" s="2" t="s">
        <v>72</v>
      </c>
      <c r="I3089" s="2" t="s">
        <v>7628</v>
      </c>
      <c r="J3089" s="3" t="str">
        <f>HYPERLINK("https://www.boe.es/gazeta/dias/1815/07/27/pdfs/GMD-1815-92.pdf#page=8","Abrir facsímil")</f>
        <v>Abrir facsímil</v>
      </c>
      <c r="K3089" s="3" t="s">
        <v>74</v>
      </c>
    </row>
    <row r="3090" spans="1:11" ht="42" customHeight="1">
      <c r="A3090" s="2" t="s">
        <v>7629</v>
      </c>
      <c r="B3090" s="2" t="s">
        <v>7629</v>
      </c>
      <c r="C3090" s="2" t="s">
        <v>31</v>
      </c>
      <c r="D3090" s="2" t="s">
        <v>179</v>
      </c>
      <c r="E3090" s="5">
        <v>-30863</v>
      </c>
      <c r="F3090" s="3" t="s">
        <v>2024</v>
      </c>
      <c r="G3090" s="3" t="s">
        <v>5585</v>
      </c>
      <c r="H3090" s="2" t="s">
        <v>72</v>
      </c>
      <c r="I3090" s="2" t="s">
        <v>7630</v>
      </c>
      <c r="J3090" s="3" t="str">
        <f>HYPERLINK("https://www.boe.es/gazeta/dias/1815/07/01/pdfs/GMD-1815-80E.pdf#page=3","Abrir facsímil")</f>
        <v>Abrir facsímil</v>
      </c>
      <c r="K3090" s="3" t="s">
        <v>74</v>
      </c>
    </row>
    <row r="3091" spans="1:11" ht="42" customHeight="1">
      <c r="A3091" s="2" t="s">
        <v>7629</v>
      </c>
      <c r="B3091" s="2" t="s">
        <v>7629</v>
      </c>
      <c r="C3091" s="2" t="s">
        <v>49</v>
      </c>
      <c r="D3091" s="2" t="s">
        <v>179</v>
      </c>
      <c r="E3091" s="5">
        <v>-30863</v>
      </c>
      <c r="F3091" s="3" t="s">
        <v>2024</v>
      </c>
      <c r="G3091" s="3" t="s">
        <v>20</v>
      </c>
      <c r="H3091" s="2" t="s">
        <v>72</v>
      </c>
      <c r="I3091" s="2" t="s">
        <v>7631</v>
      </c>
      <c r="J3091" s="3" t="str">
        <f>HYPERLINK("https://www.boe.es/gazeta/dias/1815/07/01/pdfs/GMD-1815-80E.pdf#page=4","Abrir facsímil")</f>
        <v>Abrir facsímil</v>
      </c>
      <c r="K3091" s="3" t="s">
        <v>74</v>
      </c>
    </row>
    <row r="3092" spans="1:11" ht="42" customHeight="1">
      <c r="A3092" s="2" t="s">
        <v>7629</v>
      </c>
      <c r="B3092" s="2" t="s">
        <v>7629</v>
      </c>
      <c r="C3092" s="2" t="s">
        <v>31</v>
      </c>
      <c r="D3092" s="2" t="s">
        <v>179</v>
      </c>
      <c r="E3092" s="5">
        <v>-30860</v>
      </c>
      <c r="F3092" s="3" t="s">
        <v>180</v>
      </c>
      <c r="G3092" s="3" t="s">
        <v>27</v>
      </c>
      <c r="H3092" s="2" t="s">
        <v>72</v>
      </c>
      <c r="I3092" s="2" t="s">
        <v>7632</v>
      </c>
      <c r="J3092" s="3" t="str">
        <f>HYPERLINK("https://www.boe.es/gazeta/dias/1815/07/04/pdfs/GMD-1815-82E.pdf#page=6","Abrir facsímil")</f>
        <v>Abrir facsímil</v>
      </c>
      <c r="K3092" s="3" t="s">
        <v>74</v>
      </c>
    </row>
    <row r="3093" spans="1:11" ht="42" customHeight="1">
      <c r="A3093" s="2" t="s">
        <v>7633</v>
      </c>
      <c r="B3093" s="2" t="s">
        <v>7633</v>
      </c>
      <c r="C3093" s="2" t="s">
        <v>17</v>
      </c>
      <c r="D3093" s="2" t="s">
        <v>18</v>
      </c>
      <c r="E3093" s="5">
        <v>-30825</v>
      </c>
      <c r="F3093" s="3" t="s">
        <v>669</v>
      </c>
      <c r="G3093" s="3" t="s">
        <v>410</v>
      </c>
      <c r="H3093" s="2" t="s">
        <v>72</v>
      </c>
      <c r="I3093" s="2" t="s">
        <v>7634</v>
      </c>
      <c r="J3093" s="3" t="str">
        <f>HYPERLINK("https://www.boe.es/gazeta/dias/1815/08/08/pdfs/GMD-1815-97.pdf#page=1","Abrir facsímil")</f>
        <v>Abrir facsímil</v>
      </c>
      <c r="K3093" s="3" t="s">
        <v>74</v>
      </c>
    </row>
    <row r="3094" spans="1:11" ht="42" customHeight="1">
      <c r="A3094" s="2" t="s">
        <v>7635</v>
      </c>
      <c r="B3094" s="2" t="s">
        <v>7636</v>
      </c>
      <c r="C3094" s="2" t="s">
        <v>49</v>
      </c>
      <c r="D3094" s="2" t="s">
        <v>50</v>
      </c>
      <c r="E3094" s="5">
        <v>-30886</v>
      </c>
      <c r="F3094" s="3" t="s">
        <v>140</v>
      </c>
      <c r="G3094" s="3" t="s">
        <v>88</v>
      </c>
      <c r="H3094" s="2" t="s">
        <v>21</v>
      </c>
      <c r="I3094" s="2" t="s">
        <v>7637</v>
      </c>
      <c r="J3094" s="3" t="str">
        <f>HYPERLINK("https://www.boe.es/gazeta/dias/1815/06/08/pdfs/GMD-1815-69.pdf#page=10","Abrir facsímil")</f>
        <v>Abrir facsímil</v>
      </c>
      <c r="K3094" s="3" t="s">
        <v>23</v>
      </c>
    </row>
    <row r="3095" spans="1:11" ht="42" customHeight="1">
      <c r="A3095" s="2" t="s">
        <v>7638</v>
      </c>
      <c r="B3095" s="2" t="s">
        <v>7639</v>
      </c>
      <c r="C3095" s="2" t="s">
        <v>49</v>
      </c>
      <c r="D3095" s="2" t="s">
        <v>50</v>
      </c>
      <c r="E3095" s="5">
        <v>-30863</v>
      </c>
      <c r="F3095" s="3" t="s">
        <v>110</v>
      </c>
      <c r="G3095" s="3" t="s">
        <v>224</v>
      </c>
      <c r="H3095" s="2" t="s">
        <v>72</v>
      </c>
      <c r="I3095" s="2" t="s">
        <v>7640</v>
      </c>
      <c r="J3095" s="3" t="str">
        <f>HYPERLINK("https://www.boe.es/gazeta/dias/1815/07/01/pdfs/GMD-1815-79.pdf#page=9","Abrir facsímil")</f>
        <v>Abrir facsímil</v>
      </c>
      <c r="K3095" s="3" t="s">
        <v>74</v>
      </c>
    </row>
    <row r="3096" spans="1:11" ht="42" customHeight="1">
      <c r="A3096" s="2" t="s">
        <v>7641</v>
      </c>
      <c r="B3096" s="2" t="s">
        <v>7642</v>
      </c>
      <c r="C3096" s="2" t="s">
        <v>49</v>
      </c>
      <c r="D3096" s="2" t="s">
        <v>50</v>
      </c>
      <c r="E3096" s="5">
        <v>-30886</v>
      </c>
      <c r="F3096" s="3" t="s">
        <v>140</v>
      </c>
      <c r="G3096" s="3" t="s">
        <v>38</v>
      </c>
      <c r="H3096" s="2" t="s">
        <v>72</v>
      </c>
      <c r="I3096" s="2" t="s">
        <v>7643</v>
      </c>
      <c r="J3096" s="3" t="str">
        <f>HYPERLINK("https://www.boe.es/gazeta/dias/1815/06/08/pdfs/GMD-1815-69.pdf#page=8","Abrir facsímil")</f>
        <v>Abrir facsímil</v>
      </c>
      <c r="K3096" s="3" t="s">
        <v>74</v>
      </c>
    </row>
    <row r="3097" spans="1:11" ht="42" customHeight="1">
      <c r="A3097" s="2" t="s">
        <v>7644</v>
      </c>
      <c r="B3097" s="2" t="s">
        <v>7645</v>
      </c>
      <c r="C3097" s="2" t="s">
        <v>61</v>
      </c>
      <c r="D3097" s="2" t="s">
        <v>50</v>
      </c>
      <c r="E3097" s="5">
        <v>-30926</v>
      </c>
      <c r="F3097" s="3" t="s">
        <v>2018</v>
      </c>
      <c r="G3097" s="3" t="s">
        <v>38</v>
      </c>
      <c r="H3097" s="2" t="s">
        <v>72</v>
      </c>
      <c r="I3097" s="2" t="s">
        <v>7646</v>
      </c>
      <c r="J3097" s="3" t="str">
        <f>HYPERLINK("https://www.boe.es/gazeta/dias/1815/04/29/pdfs/GMD-1815-52.pdf#page=8","Abrir facsímil")</f>
        <v>Abrir facsímil</v>
      </c>
      <c r="K3097" s="3" t="s">
        <v>74</v>
      </c>
    </row>
    <row r="3098" spans="1:11" ht="42" customHeight="1">
      <c r="A3098" s="2" t="s">
        <v>7647</v>
      </c>
      <c r="B3098" s="2" t="s">
        <v>7647</v>
      </c>
      <c r="C3098" s="2" t="s">
        <v>31</v>
      </c>
      <c r="D3098" s="2" t="s">
        <v>32</v>
      </c>
      <c r="E3098" s="5">
        <v>-30835</v>
      </c>
      <c r="F3098" s="3" t="s">
        <v>544</v>
      </c>
      <c r="G3098" s="3" t="s">
        <v>377</v>
      </c>
      <c r="H3098" s="2" t="s">
        <v>72</v>
      </c>
      <c r="I3098" s="2" t="s">
        <v>7648</v>
      </c>
      <c r="J3098" s="3" t="str">
        <f>HYPERLINK("https://www.boe.es/gazeta/dias/1815/07/29/pdfs/GMD-1815-93.pdf#page=2","Abrir facsímil")</f>
        <v>Abrir facsímil</v>
      </c>
      <c r="K3098" s="3" t="s">
        <v>74</v>
      </c>
    </row>
    <row r="3099" spans="1:11" ht="42" customHeight="1">
      <c r="A3099" s="2" t="s">
        <v>7649</v>
      </c>
      <c r="B3099" s="2" t="s">
        <v>7649</v>
      </c>
      <c r="C3099" s="2" t="s">
        <v>31</v>
      </c>
      <c r="D3099" s="2" t="s">
        <v>32</v>
      </c>
      <c r="E3099" s="5">
        <v>-30928</v>
      </c>
      <c r="F3099" s="3" t="s">
        <v>330</v>
      </c>
      <c r="G3099" s="3" t="s">
        <v>410</v>
      </c>
      <c r="H3099" s="2" t="s">
        <v>72</v>
      </c>
      <c r="I3099" s="2" t="s">
        <v>7650</v>
      </c>
      <c r="J3099" s="3" t="str">
        <f>HYPERLINK("https://www.boe.es/gazeta/dias/1815/04/27/pdfs/GMD-1815-51.pdf#page=1","Abrir facsímil")</f>
        <v>Abrir facsímil</v>
      </c>
      <c r="K3099" s="3" t="s">
        <v>74</v>
      </c>
    </row>
    <row r="3100" spans="1:11" ht="42" customHeight="1">
      <c r="A3100" s="2" t="s">
        <v>7651</v>
      </c>
      <c r="B3100" s="2" t="s">
        <v>7652</v>
      </c>
      <c r="C3100" s="2" t="s">
        <v>49</v>
      </c>
      <c r="D3100" s="2" t="s">
        <v>50</v>
      </c>
      <c r="E3100" s="5">
        <v>-30865</v>
      </c>
      <c r="F3100" s="3" t="s">
        <v>163</v>
      </c>
      <c r="G3100" s="3" t="s">
        <v>71</v>
      </c>
      <c r="H3100" s="2" t="s">
        <v>72</v>
      </c>
      <c r="I3100" s="2" t="s">
        <v>7653</v>
      </c>
      <c r="J3100" s="3" t="str">
        <f>HYPERLINK("https://www.boe.es/gazeta/dias/1815/06/29/pdfs/GMD-1815-78.pdf#page=7","Abrir facsímil")</f>
        <v>Abrir facsímil</v>
      </c>
      <c r="K3100" s="3" t="s">
        <v>74</v>
      </c>
    </row>
    <row r="3101" spans="1:11" ht="42" customHeight="1">
      <c r="A3101" s="2" t="s">
        <v>7654</v>
      </c>
      <c r="B3101" s="2" t="s">
        <v>7655</v>
      </c>
      <c r="C3101" s="2" t="s">
        <v>49</v>
      </c>
      <c r="D3101" s="2" t="s">
        <v>50</v>
      </c>
      <c r="E3101" s="5">
        <v>-30886</v>
      </c>
      <c r="F3101" s="3" t="s">
        <v>140</v>
      </c>
      <c r="G3101" s="3" t="s">
        <v>38</v>
      </c>
      <c r="H3101" s="2" t="s">
        <v>72</v>
      </c>
      <c r="I3101" s="2" t="s">
        <v>7656</v>
      </c>
      <c r="J3101" s="3" t="str">
        <f>HYPERLINK("https://www.boe.es/gazeta/dias/1815/06/08/pdfs/GMD-1815-69.pdf#page=8","Abrir facsímil")</f>
        <v>Abrir facsímil</v>
      </c>
      <c r="K3101" s="3" t="s">
        <v>74</v>
      </c>
    </row>
    <row r="3102" spans="1:11" ht="42" customHeight="1">
      <c r="A3102" s="2" t="s">
        <v>7657</v>
      </c>
      <c r="B3102" s="2" t="s">
        <v>7658</v>
      </c>
      <c r="C3102" s="2" t="s">
        <v>31</v>
      </c>
      <c r="D3102" s="2" t="s">
        <v>32</v>
      </c>
      <c r="E3102" s="5">
        <v>-30942</v>
      </c>
      <c r="F3102" s="3" t="s">
        <v>730</v>
      </c>
      <c r="G3102" s="3" t="s">
        <v>38</v>
      </c>
      <c r="H3102" s="2" t="s">
        <v>72</v>
      </c>
      <c r="I3102" s="2" t="s">
        <v>7659</v>
      </c>
      <c r="J3102" s="3" t="str">
        <f>HYPERLINK("https://www.boe.es/gazeta/dias/1815/04/13/pdfs/GMD-1815-45.pdf#page=8","Abrir facsímil")</f>
        <v>Abrir facsímil</v>
      </c>
      <c r="K3102" s="3" t="s">
        <v>74</v>
      </c>
    </row>
    <row r="3103" spans="1:11" ht="42" customHeight="1">
      <c r="A3103" s="2" t="s">
        <v>7660</v>
      </c>
      <c r="B3103" s="2" t="s">
        <v>7661</v>
      </c>
      <c r="C3103" s="2" t="s">
        <v>31</v>
      </c>
      <c r="D3103" s="2" t="s">
        <v>32</v>
      </c>
      <c r="E3103" s="5">
        <v>-30930</v>
      </c>
      <c r="F3103" s="3" t="s">
        <v>51</v>
      </c>
      <c r="G3103" s="3" t="s">
        <v>88</v>
      </c>
      <c r="H3103" s="2" t="s">
        <v>72</v>
      </c>
      <c r="I3103" s="2" t="s">
        <v>7662</v>
      </c>
      <c r="J3103" s="3" t="str">
        <f>HYPERLINK("https://www.boe.es/gazeta/dias/1815/04/25/pdfs/GMD-1815-50.pdf#page=10","Abrir facsímil")</f>
        <v>Abrir facsímil</v>
      </c>
      <c r="K3103" s="3" t="s">
        <v>74</v>
      </c>
    </row>
    <row r="3104" spans="1:11" ht="42" customHeight="1">
      <c r="A3104" s="2" t="s">
        <v>7660</v>
      </c>
      <c r="B3104" s="2" t="s">
        <v>7661</v>
      </c>
      <c r="C3104" s="2" t="s">
        <v>61</v>
      </c>
      <c r="D3104" s="2" t="s">
        <v>50</v>
      </c>
      <c r="E3104" s="5">
        <v>-30914</v>
      </c>
      <c r="F3104" s="3" t="s">
        <v>338</v>
      </c>
      <c r="G3104" s="3" t="s">
        <v>276</v>
      </c>
      <c r="H3104" s="2" t="s">
        <v>72</v>
      </c>
      <c r="I3104" s="2" t="s">
        <v>7663</v>
      </c>
      <c r="J3104" s="3" t="str">
        <f>HYPERLINK("https://www.boe.es/gazeta/dias/1815/05/11/pdfs/GMD-1815-57.pdf#page=12","Abrir facsímil")</f>
        <v>Abrir facsímil</v>
      </c>
      <c r="K3104" s="3" t="s">
        <v>74</v>
      </c>
    </row>
    <row r="3105" spans="1:11" ht="42" customHeight="1">
      <c r="A3105" s="2" t="s">
        <v>7664</v>
      </c>
      <c r="B3105" s="2" t="s">
        <v>7665</v>
      </c>
      <c r="C3105" s="2" t="s">
        <v>31</v>
      </c>
      <c r="D3105" s="2" t="s">
        <v>32</v>
      </c>
      <c r="E3105" s="5">
        <v>-31024</v>
      </c>
      <c r="F3105" s="3" t="s">
        <v>101</v>
      </c>
      <c r="G3105" s="3" t="s">
        <v>71</v>
      </c>
      <c r="H3105" s="2" t="s">
        <v>72</v>
      </c>
      <c r="I3105" s="2" t="s">
        <v>7666</v>
      </c>
      <c r="J3105" s="3" t="str">
        <f>HYPERLINK("https://www.boe.es/gazeta/dias/1815/01/21/pdfs/GMD-1815-9.pdf#page=7","Abrir facsímil")</f>
        <v>Abrir facsímil</v>
      </c>
      <c r="K3105" s="3" t="s">
        <v>74</v>
      </c>
    </row>
    <row r="3106" spans="1:11" ht="42" customHeight="1">
      <c r="A3106" s="2" t="s">
        <v>7667</v>
      </c>
      <c r="B3106" s="2" t="s">
        <v>7668</v>
      </c>
      <c r="C3106" s="2" t="s">
        <v>49</v>
      </c>
      <c r="D3106" s="2" t="s">
        <v>50</v>
      </c>
      <c r="E3106" s="5">
        <v>-30874</v>
      </c>
      <c r="F3106" s="3" t="s">
        <v>208</v>
      </c>
      <c r="G3106" s="3" t="s">
        <v>52</v>
      </c>
      <c r="H3106" s="2" t="s">
        <v>72</v>
      </c>
      <c r="I3106" s="2" t="s">
        <v>7669</v>
      </c>
      <c r="J3106" s="3" t="str">
        <f>HYPERLINK("https://www.boe.es/gazeta/dias/1815/06/20/pdfs/GMD-1815-74.pdf#page=11","Abrir facsímil")</f>
        <v>Abrir facsímil</v>
      </c>
      <c r="K3106" s="3" t="s">
        <v>74</v>
      </c>
    </row>
    <row r="3107" spans="1:11" ht="42" customHeight="1">
      <c r="A3107" s="2" t="s">
        <v>7670</v>
      </c>
      <c r="B3107" s="2" t="s">
        <v>7671</v>
      </c>
      <c r="C3107" s="2" t="s">
        <v>31</v>
      </c>
      <c r="D3107" s="2" t="s">
        <v>32</v>
      </c>
      <c r="E3107" s="5">
        <v>-30891</v>
      </c>
      <c r="F3107" s="3" t="s">
        <v>498</v>
      </c>
      <c r="G3107" s="3" t="s">
        <v>71</v>
      </c>
      <c r="H3107" s="2" t="s">
        <v>72</v>
      </c>
      <c r="I3107" s="2" t="s">
        <v>7672</v>
      </c>
      <c r="J3107" s="3" t="str">
        <f>HYPERLINK("https://www.boe.es/gazeta/dias/1815/06/03/pdfs/GMD-1815-67.pdf#page=7","Abrir facsímil")</f>
        <v>Abrir facsímil</v>
      </c>
      <c r="K3107" s="3" t="s">
        <v>74</v>
      </c>
    </row>
    <row r="3108" spans="1:11" ht="42" customHeight="1">
      <c r="A3108" s="2" t="s">
        <v>7670</v>
      </c>
      <c r="B3108" s="2" t="s">
        <v>7671</v>
      </c>
      <c r="C3108" s="2" t="s">
        <v>49</v>
      </c>
      <c r="D3108" s="2" t="s">
        <v>50</v>
      </c>
      <c r="E3108" s="5">
        <v>-30865</v>
      </c>
      <c r="F3108" s="3" t="s">
        <v>163</v>
      </c>
      <c r="G3108" s="3" t="s">
        <v>27</v>
      </c>
      <c r="H3108" s="2" t="s">
        <v>72</v>
      </c>
      <c r="I3108" s="2" t="s">
        <v>7673</v>
      </c>
      <c r="J3108" s="3" t="str">
        <f>HYPERLINK("https://www.boe.es/gazeta/dias/1815/06/29/pdfs/GMD-1815-78.pdf#page=6","Abrir facsímil")</f>
        <v>Abrir facsímil</v>
      </c>
      <c r="K3108" s="3" t="s">
        <v>74</v>
      </c>
    </row>
    <row r="3109" spans="1:11" ht="42" customHeight="1">
      <c r="A3109" s="2" t="s">
        <v>7674</v>
      </c>
      <c r="B3109" s="2" t="s">
        <v>7675</v>
      </c>
      <c r="C3109" s="2" t="s">
        <v>49</v>
      </c>
      <c r="D3109" s="2" t="s">
        <v>50</v>
      </c>
      <c r="E3109" s="5">
        <v>-30818</v>
      </c>
      <c r="F3109" s="3" t="s">
        <v>334</v>
      </c>
      <c r="G3109" s="3" t="s">
        <v>88</v>
      </c>
      <c r="H3109" s="2" t="s">
        <v>72</v>
      </c>
      <c r="I3109" s="2" t="s">
        <v>7676</v>
      </c>
      <c r="J3109" s="3" t="str">
        <f>HYPERLINK("https://www.boe.es/gazeta/dias/1815/08/15/pdfs/GMD-1815-100.pdf#page=10","Abrir facsímil")</f>
        <v>Abrir facsímil</v>
      </c>
      <c r="K3109" s="3" t="s">
        <v>74</v>
      </c>
    </row>
    <row r="3110" spans="1:11" ht="42" customHeight="1">
      <c r="A3110" s="2" t="s">
        <v>7677</v>
      </c>
      <c r="B3110" s="2" t="s">
        <v>7678</v>
      </c>
      <c r="C3110" s="2" t="s">
        <v>31</v>
      </c>
      <c r="D3110" s="2" t="s">
        <v>32</v>
      </c>
      <c r="E3110" s="5">
        <v>-31038</v>
      </c>
      <c r="F3110" s="3" t="s">
        <v>395</v>
      </c>
      <c r="G3110" s="3" t="s">
        <v>396</v>
      </c>
      <c r="H3110" s="2" t="s">
        <v>72</v>
      </c>
      <c r="I3110" s="2" t="s">
        <v>7679</v>
      </c>
      <c r="J3110" s="3" t="str">
        <f>HYPERLINK("https://www.boe.es/gazeta/dias/1815/01/07/pdfs/GMD-1815-3.pdf#page=5","Abrir facsímil")</f>
        <v>Abrir facsímil</v>
      </c>
      <c r="K3110" s="3" t="s">
        <v>74</v>
      </c>
    </row>
    <row r="3111" spans="1:11" ht="42" customHeight="1">
      <c r="A3111" s="2" t="s">
        <v>7680</v>
      </c>
      <c r="B3111" s="2" t="s">
        <v>7681</v>
      </c>
      <c r="C3111" s="2" t="s">
        <v>17</v>
      </c>
      <c r="D3111" s="2" t="s">
        <v>18</v>
      </c>
      <c r="E3111" s="5">
        <v>-30909</v>
      </c>
      <c r="F3111" s="3" t="s">
        <v>581</v>
      </c>
      <c r="G3111" s="3" t="s">
        <v>38</v>
      </c>
      <c r="H3111" s="2" t="s">
        <v>72</v>
      </c>
      <c r="I3111" s="2" t="s">
        <v>7682</v>
      </c>
      <c r="J3111" s="3" t="str">
        <f>HYPERLINK("https://www.boe.es/gazeta/dias/1815/05/16/pdfs/GMD-1815-59.pdf#page=8","Abrir facsímil")</f>
        <v>Abrir facsímil</v>
      </c>
      <c r="K3111" s="3" t="s">
        <v>74</v>
      </c>
    </row>
    <row r="3112" spans="1:11" ht="42" customHeight="1">
      <c r="A3112" s="2" t="s">
        <v>7683</v>
      </c>
      <c r="B3112" s="2" t="s">
        <v>7684</v>
      </c>
      <c r="C3112" s="2" t="s">
        <v>31</v>
      </c>
      <c r="D3112" s="2" t="s">
        <v>32</v>
      </c>
      <c r="E3112" s="5">
        <v>-31038</v>
      </c>
      <c r="F3112" s="3" t="s">
        <v>395</v>
      </c>
      <c r="G3112" s="3" t="s">
        <v>396</v>
      </c>
      <c r="H3112" s="2" t="s">
        <v>72</v>
      </c>
      <c r="I3112" s="2" t="s">
        <v>7685</v>
      </c>
      <c r="J3112" s="3" t="str">
        <f>HYPERLINK("https://www.boe.es/gazeta/dias/1815/01/07/pdfs/GMD-1815-3.pdf#page=5","Abrir facsímil")</f>
        <v>Abrir facsímil</v>
      </c>
      <c r="K3112" s="3" t="s">
        <v>74</v>
      </c>
    </row>
    <row r="3113" spans="1:11" ht="42" customHeight="1">
      <c r="A3113" s="2" t="s">
        <v>7686</v>
      </c>
      <c r="B3113" s="2" t="s">
        <v>7687</v>
      </c>
      <c r="C3113" s="2" t="s">
        <v>49</v>
      </c>
      <c r="D3113" s="2" t="s">
        <v>50</v>
      </c>
      <c r="E3113" s="5">
        <v>-30870</v>
      </c>
      <c r="F3113" s="3" t="s">
        <v>122</v>
      </c>
      <c r="G3113" s="3" t="s">
        <v>52</v>
      </c>
      <c r="H3113" s="2" t="s">
        <v>72</v>
      </c>
      <c r="I3113" s="2" t="s">
        <v>7688</v>
      </c>
      <c r="J3113" s="3" t="str">
        <f>HYPERLINK("https://www.boe.es/gazeta/dias/1815/06/24/pdfs/GMD-1815-76.pdf#page=11","Abrir facsímil")</f>
        <v>Abrir facsímil</v>
      </c>
      <c r="K3113" s="3" t="s">
        <v>74</v>
      </c>
    </row>
    <row r="3114" spans="1:11" ht="42" customHeight="1">
      <c r="A3114" s="2" t="s">
        <v>7689</v>
      </c>
      <c r="B3114" s="2" t="s">
        <v>7690</v>
      </c>
      <c r="C3114" s="2" t="s">
        <v>31</v>
      </c>
      <c r="D3114" s="2" t="s">
        <v>32</v>
      </c>
      <c r="E3114" s="5">
        <v>-30991</v>
      </c>
      <c r="F3114" s="3" t="s">
        <v>318</v>
      </c>
      <c r="G3114" s="3" t="s">
        <v>1829</v>
      </c>
      <c r="H3114" s="2" t="s">
        <v>72</v>
      </c>
      <c r="I3114" s="2" t="s">
        <v>7691</v>
      </c>
      <c r="J3114" s="3" t="str">
        <f>HYPERLINK("https://www.boe.es/gazeta/dias/1815/02/23/pdfs/GMD-1815-23.pdf#page=8","Abrir facsímil")</f>
        <v>Abrir facsímil</v>
      </c>
      <c r="K3114" s="3" t="s">
        <v>74</v>
      </c>
    </row>
    <row r="3115" spans="1:11" ht="42" customHeight="1">
      <c r="A3115" s="2" t="s">
        <v>7692</v>
      </c>
      <c r="B3115" s="2" t="s">
        <v>7693</v>
      </c>
      <c r="C3115" s="2" t="s">
        <v>31</v>
      </c>
      <c r="D3115" s="2" t="s">
        <v>32</v>
      </c>
      <c r="E3115" s="5">
        <v>-30737</v>
      </c>
      <c r="F3115" s="3" t="s">
        <v>1932</v>
      </c>
      <c r="G3115" s="3" t="s">
        <v>71</v>
      </c>
      <c r="H3115" s="2" t="s">
        <v>72</v>
      </c>
      <c r="I3115" s="2" t="s">
        <v>7694</v>
      </c>
      <c r="J3115" s="3" t="str">
        <f>HYPERLINK("https://www.boe.es/gazeta/dias/1815/11/04/pdfs/GMD-1815-138.pdf#page=7","Abrir facsímil")</f>
        <v>Abrir facsímil</v>
      </c>
      <c r="K3115" s="3" t="s">
        <v>74</v>
      </c>
    </row>
    <row r="3116" spans="1:11" ht="42" customHeight="1">
      <c r="A3116" s="2" t="s">
        <v>7695</v>
      </c>
      <c r="B3116" s="2" t="s">
        <v>7696</v>
      </c>
      <c r="C3116" s="2" t="s">
        <v>61</v>
      </c>
      <c r="D3116" s="2" t="s">
        <v>50</v>
      </c>
      <c r="E3116" s="5">
        <v>-30989</v>
      </c>
      <c r="F3116" s="3" t="s">
        <v>2441</v>
      </c>
      <c r="G3116" s="3" t="s">
        <v>5364</v>
      </c>
      <c r="H3116" s="2" t="s">
        <v>72</v>
      </c>
      <c r="I3116" s="2" t="s">
        <v>7697</v>
      </c>
      <c r="J3116" s="3" t="str">
        <f>HYPERLINK("https://www.boe.es/gazeta/dias/1815/02/25/pdfs/GMD-1815-24.pdf#page=8","Abrir facsímil")</f>
        <v>Abrir facsímil</v>
      </c>
      <c r="K3116" s="3" t="s">
        <v>74</v>
      </c>
    </row>
    <row r="3117" spans="1:11" ht="42" customHeight="1">
      <c r="A3117" s="2" t="s">
        <v>7695</v>
      </c>
      <c r="B3117" s="2" t="s">
        <v>7696</v>
      </c>
      <c r="C3117" s="2" t="s">
        <v>31</v>
      </c>
      <c r="D3117" s="2" t="s">
        <v>32</v>
      </c>
      <c r="E3117" s="5">
        <v>-30881</v>
      </c>
      <c r="F3117" s="3" t="s">
        <v>446</v>
      </c>
      <c r="G3117" s="3" t="s">
        <v>38</v>
      </c>
      <c r="H3117" s="2" t="s">
        <v>72</v>
      </c>
      <c r="I3117" s="2" t="s">
        <v>7698</v>
      </c>
      <c r="J3117" s="3" t="str">
        <f>HYPERLINK("https://www.boe.es/gazeta/dias/1815/06/13/pdfs/GMD-1815-71.pdf#page=8","Abrir facsímil")</f>
        <v>Abrir facsímil</v>
      </c>
      <c r="K3117" s="3" t="s">
        <v>74</v>
      </c>
    </row>
    <row r="3118" spans="1:11" ht="42" customHeight="1">
      <c r="A3118" s="2" t="s">
        <v>7699</v>
      </c>
      <c r="B3118" s="2" t="s">
        <v>7700</v>
      </c>
      <c r="C3118" s="2" t="s">
        <v>195</v>
      </c>
      <c r="D3118" s="2" t="s">
        <v>50</v>
      </c>
      <c r="E3118" s="5">
        <v>-30727</v>
      </c>
      <c r="F3118" s="3" t="s">
        <v>262</v>
      </c>
      <c r="G3118" s="3" t="s">
        <v>38</v>
      </c>
      <c r="H3118" s="2" t="s">
        <v>72</v>
      </c>
      <c r="I3118" s="2" t="s">
        <v>7701</v>
      </c>
      <c r="J3118" s="3" t="str">
        <f>HYPERLINK("https://www.boe.es/gazeta/dias/1815/11/14/pdfs/GMD-1815-142.pdf#page=8","Abrir facsímil")</f>
        <v>Abrir facsímil</v>
      </c>
      <c r="K3118" s="3" t="s">
        <v>74</v>
      </c>
    </row>
    <row r="3119" spans="1:11" ht="42" customHeight="1">
      <c r="A3119" s="2" t="s">
        <v>7702</v>
      </c>
      <c r="B3119" s="2" t="s">
        <v>7703</v>
      </c>
      <c r="C3119" s="2" t="s">
        <v>17</v>
      </c>
      <c r="D3119" s="2" t="s">
        <v>18</v>
      </c>
      <c r="E3119" s="5">
        <v>-30975</v>
      </c>
      <c r="F3119" s="3" t="s">
        <v>1194</v>
      </c>
      <c r="G3119" s="3" t="s">
        <v>71</v>
      </c>
      <c r="H3119" s="2" t="s">
        <v>72</v>
      </c>
      <c r="I3119" s="2" t="s">
        <v>7704</v>
      </c>
      <c r="J3119" s="3" t="str">
        <f>HYPERLINK("https://www.boe.es/gazeta/dias/1815/03/11/pdfs/GMD-1815-30.pdf#page=7","Abrir facsímil")</f>
        <v>Abrir facsímil</v>
      </c>
      <c r="K3119" s="3" t="s">
        <v>74</v>
      </c>
    </row>
    <row r="3120" spans="1:11" ht="42" customHeight="1">
      <c r="A3120" s="2" t="s">
        <v>7705</v>
      </c>
      <c r="B3120" s="2" t="s">
        <v>7706</v>
      </c>
      <c r="C3120" s="2" t="s">
        <v>17</v>
      </c>
      <c r="D3120" s="2" t="s">
        <v>18</v>
      </c>
      <c r="E3120" s="5">
        <v>-30788</v>
      </c>
      <c r="F3120" s="3" t="s">
        <v>96</v>
      </c>
      <c r="G3120" s="3" t="s">
        <v>38</v>
      </c>
      <c r="H3120" s="2" t="s">
        <v>72</v>
      </c>
      <c r="I3120" s="2" t="s">
        <v>7707</v>
      </c>
      <c r="J3120" s="3" t="str">
        <f>HYPERLINK("https://www.boe.es/gazeta/dias/1815/09/14/pdfs/GMD-1815-114.pdf#page=8","Abrir facsímil")</f>
        <v>Abrir facsímil</v>
      </c>
      <c r="K3120" s="3" t="s">
        <v>74</v>
      </c>
    </row>
    <row r="3121" spans="1:11" ht="42" customHeight="1">
      <c r="A3121" s="2" t="s">
        <v>7708</v>
      </c>
      <c r="B3121" s="2" t="s">
        <v>7709</v>
      </c>
      <c r="C3121" s="2" t="s">
        <v>81</v>
      </c>
      <c r="D3121" s="2" t="s">
        <v>50</v>
      </c>
      <c r="E3121" s="5">
        <v>-30935</v>
      </c>
      <c r="F3121" s="3" t="s">
        <v>519</v>
      </c>
      <c r="G3121" s="3" t="s">
        <v>38</v>
      </c>
      <c r="H3121" s="2" t="s">
        <v>72</v>
      </c>
      <c r="I3121" s="2" t="s">
        <v>7710</v>
      </c>
      <c r="J3121" s="3" t="str">
        <f>HYPERLINK("https://www.boe.es/gazeta/dias/1815/04/20/pdfs/GMD-1815-48.pdf#page=8","Abrir facsímil")</f>
        <v>Abrir facsímil</v>
      </c>
      <c r="K3121" s="3" t="s">
        <v>74</v>
      </c>
    </row>
    <row r="3122" spans="1:11" ht="42" customHeight="1">
      <c r="A3122" s="2" t="s">
        <v>7708</v>
      </c>
      <c r="B3122" s="2" t="s">
        <v>7709</v>
      </c>
      <c r="C3122" s="2" t="s">
        <v>49</v>
      </c>
      <c r="D3122" s="2" t="s">
        <v>50</v>
      </c>
      <c r="E3122" s="5">
        <v>-30916</v>
      </c>
      <c r="F3122" s="3" t="s">
        <v>147</v>
      </c>
      <c r="G3122" s="3" t="s">
        <v>148</v>
      </c>
      <c r="H3122" s="2" t="s">
        <v>72</v>
      </c>
      <c r="I3122" s="2" t="s">
        <v>7711</v>
      </c>
      <c r="J3122" s="3" t="str">
        <f>HYPERLINK("https://www.boe.es/gazeta/dias/1815/05/09/pdfs/GMD-1815-56.pdf#page=7","Abrir facsímil")</f>
        <v>Abrir facsímil</v>
      </c>
      <c r="K3122" s="3" t="s">
        <v>74</v>
      </c>
    </row>
    <row r="3123" spans="1:11" ht="42" customHeight="1">
      <c r="A3123" s="2" t="s">
        <v>7708</v>
      </c>
      <c r="B3123" s="2" t="s">
        <v>7709</v>
      </c>
      <c r="C3123" s="2" t="s">
        <v>61</v>
      </c>
      <c r="D3123" s="2" t="s">
        <v>50</v>
      </c>
      <c r="E3123" s="5">
        <v>-30916</v>
      </c>
      <c r="F3123" s="3" t="s">
        <v>147</v>
      </c>
      <c r="G3123" s="3" t="s">
        <v>3394</v>
      </c>
      <c r="H3123" s="2" t="s">
        <v>72</v>
      </c>
      <c r="I3123" s="2" t="s">
        <v>7712</v>
      </c>
      <c r="J3123" s="3" t="str">
        <f>HYPERLINK("https://www.boe.es/gazeta/dias/1815/05/09/pdfs/GMD-1815-56.pdf#page=12","Abrir facsímil")</f>
        <v>Abrir facsímil</v>
      </c>
      <c r="K3123" s="3" t="s">
        <v>74</v>
      </c>
    </row>
    <row r="3124" spans="1:11" ht="42" customHeight="1">
      <c r="A3124" s="2" t="s">
        <v>7708</v>
      </c>
      <c r="B3124" s="2" t="s">
        <v>7709</v>
      </c>
      <c r="C3124" s="2" t="s">
        <v>49</v>
      </c>
      <c r="D3124" s="2" t="s">
        <v>50</v>
      </c>
      <c r="E3124" s="5">
        <v>-30870</v>
      </c>
      <c r="F3124" s="3" t="s">
        <v>122</v>
      </c>
      <c r="G3124" s="3" t="s">
        <v>88</v>
      </c>
      <c r="H3124" s="2" t="s">
        <v>72</v>
      </c>
      <c r="I3124" s="2" t="s">
        <v>7713</v>
      </c>
      <c r="J3124" s="3" t="str">
        <f>HYPERLINK("https://www.boe.es/gazeta/dias/1815/06/24/pdfs/GMD-1815-76.pdf#page=10","Abrir facsímil")</f>
        <v>Abrir facsímil</v>
      </c>
      <c r="K3124" s="3" t="s">
        <v>74</v>
      </c>
    </row>
    <row r="3125" spans="1:11" ht="42" customHeight="1">
      <c r="A3125" s="2" t="s">
        <v>7708</v>
      </c>
      <c r="B3125" s="2" t="s">
        <v>7709</v>
      </c>
      <c r="C3125" s="2" t="s">
        <v>31</v>
      </c>
      <c r="D3125" s="2" t="s">
        <v>32</v>
      </c>
      <c r="E3125" s="5">
        <v>-30860</v>
      </c>
      <c r="F3125" s="3" t="s">
        <v>184</v>
      </c>
      <c r="G3125" s="3" t="s">
        <v>20</v>
      </c>
      <c r="H3125" s="2" t="s">
        <v>72</v>
      </c>
      <c r="I3125" s="2" t="s">
        <v>7714</v>
      </c>
      <c r="J3125" s="3" t="str">
        <f>HYPERLINK("https://www.boe.es/gazeta/dias/1815/07/04/pdfs/GMD-1815-81.pdf#page=4","Abrir facsímil")</f>
        <v>Abrir facsímil</v>
      </c>
      <c r="K3125" s="3" t="s">
        <v>74</v>
      </c>
    </row>
    <row r="3126" spans="1:11" ht="42" customHeight="1">
      <c r="A3126" s="2" t="s">
        <v>7708</v>
      </c>
      <c r="B3126" s="2" t="s">
        <v>7709</v>
      </c>
      <c r="C3126" s="2" t="s">
        <v>49</v>
      </c>
      <c r="D3126" s="2" t="s">
        <v>50</v>
      </c>
      <c r="E3126" s="5">
        <v>-30783</v>
      </c>
      <c r="F3126" s="3" t="s">
        <v>423</v>
      </c>
      <c r="G3126" s="3" t="s">
        <v>97</v>
      </c>
      <c r="H3126" s="2" t="s">
        <v>72</v>
      </c>
      <c r="I3126" s="2" t="s">
        <v>7715</v>
      </c>
      <c r="J3126" s="3" t="str">
        <f>HYPERLINK("https://www.boe.es/gazeta/dias/1815/09/19/pdfs/GMD-1815-116.pdf#page=3","Abrir facsímil")</f>
        <v>Abrir facsímil</v>
      </c>
      <c r="K3126" s="3" t="s">
        <v>74</v>
      </c>
    </row>
    <row r="3127" spans="1:11" ht="42" customHeight="1">
      <c r="A3127" s="2" t="s">
        <v>7716</v>
      </c>
      <c r="B3127" s="2" t="s">
        <v>7717</v>
      </c>
      <c r="C3127" s="2" t="s">
        <v>61</v>
      </c>
      <c r="D3127" s="2" t="s">
        <v>50</v>
      </c>
      <c r="E3127" s="5">
        <v>-30781</v>
      </c>
      <c r="F3127" s="3" t="s">
        <v>685</v>
      </c>
      <c r="G3127" s="3" t="s">
        <v>27</v>
      </c>
      <c r="H3127" s="2" t="s">
        <v>72</v>
      </c>
      <c r="I3127" s="2" t="s">
        <v>7718</v>
      </c>
      <c r="J3127" s="3" t="str">
        <f>HYPERLINK("https://www.boe.es/gazeta/dias/1815/09/21/pdfs/GMD-1815-117.pdf#page=6","Abrir facsímil")</f>
        <v>Abrir facsímil</v>
      </c>
      <c r="K3127" s="3" t="s">
        <v>74</v>
      </c>
    </row>
    <row r="3128" spans="1:11" ht="42" customHeight="1">
      <c r="A3128" s="2" t="s">
        <v>7719</v>
      </c>
      <c r="B3128" s="2" t="s">
        <v>7720</v>
      </c>
      <c r="C3128" s="2" t="s">
        <v>49</v>
      </c>
      <c r="D3128" s="2" t="s">
        <v>50</v>
      </c>
      <c r="E3128" s="5">
        <v>-30863</v>
      </c>
      <c r="F3128" s="3" t="s">
        <v>110</v>
      </c>
      <c r="G3128" s="3" t="s">
        <v>224</v>
      </c>
      <c r="H3128" s="2" t="s">
        <v>72</v>
      </c>
      <c r="I3128" s="2" t="s">
        <v>7721</v>
      </c>
      <c r="J3128" s="3" t="str">
        <f>HYPERLINK("https://www.boe.es/gazeta/dias/1815/07/01/pdfs/GMD-1815-79.pdf#page=9","Abrir facsímil")</f>
        <v>Abrir facsímil</v>
      </c>
      <c r="K3128" s="3" t="s">
        <v>74</v>
      </c>
    </row>
    <row r="3129" spans="1:11" ht="42" customHeight="1">
      <c r="A3129" s="2" t="s">
        <v>7722</v>
      </c>
      <c r="B3129" s="2" t="s">
        <v>7723</v>
      </c>
      <c r="C3129" s="2" t="s">
        <v>17</v>
      </c>
      <c r="D3129" s="2" t="s">
        <v>18</v>
      </c>
      <c r="E3129" s="5">
        <v>-30783</v>
      </c>
      <c r="F3129" s="3" t="s">
        <v>423</v>
      </c>
      <c r="G3129" s="3" t="s">
        <v>38</v>
      </c>
      <c r="H3129" s="2" t="s">
        <v>72</v>
      </c>
      <c r="I3129" s="2" t="s">
        <v>7724</v>
      </c>
      <c r="J3129" s="3" t="str">
        <f>HYPERLINK("https://www.boe.es/gazeta/dias/1815/09/19/pdfs/GMD-1815-116.pdf#page=8","Abrir facsímil")</f>
        <v>Abrir facsímil</v>
      </c>
      <c r="K3129" s="3" t="s">
        <v>74</v>
      </c>
    </row>
    <row r="3130" spans="1:11" ht="42" customHeight="1">
      <c r="A3130" s="2" t="s">
        <v>7725</v>
      </c>
      <c r="B3130" s="2" t="s">
        <v>7726</v>
      </c>
      <c r="C3130" s="2" t="s">
        <v>17</v>
      </c>
      <c r="D3130" s="2" t="s">
        <v>18</v>
      </c>
      <c r="E3130" s="5">
        <v>-31042</v>
      </c>
      <c r="F3130" s="3" t="s">
        <v>512</v>
      </c>
      <c r="G3130" s="3" t="s">
        <v>38</v>
      </c>
      <c r="H3130" s="2" t="s">
        <v>21</v>
      </c>
      <c r="I3130" s="2" t="s">
        <v>7727</v>
      </c>
      <c r="J3130" s="3" t="str">
        <f>HYPERLINK("https://www.boe.es/gazeta/dias/1815/01/03/pdfs/GMD-1815-1.pdf#page=8","Abrir facsímil")</f>
        <v>Abrir facsímil</v>
      </c>
      <c r="K3130" s="3" t="s">
        <v>23</v>
      </c>
    </row>
    <row r="3131" spans="1:11" ht="42" customHeight="1">
      <c r="A3131" s="2" t="s">
        <v>7725</v>
      </c>
      <c r="B3131" s="2" t="s">
        <v>7726</v>
      </c>
      <c r="C3131" s="2" t="s">
        <v>31</v>
      </c>
      <c r="D3131" s="2" t="s">
        <v>32</v>
      </c>
      <c r="E3131" s="5">
        <v>-31038</v>
      </c>
      <c r="F3131" s="3" t="s">
        <v>395</v>
      </c>
      <c r="G3131" s="3" t="s">
        <v>38</v>
      </c>
      <c r="H3131" s="2" t="s">
        <v>21</v>
      </c>
      <c r="I3131" s="2" t="s">
        <v>7728</v>
      </c>
      <c r="J3131" s="3" t="str">
        <f>HYPERLINK("https://www.boe.es/gazeta/dias/1815/01/07/pdfs/GMD-1815-3.pdf#page=8","Abrir facsímil")</f>
        <v>Abrir facsímil</v>
      </c>
      <c r="K3131" s="3" t="s">
        <v>23</v>
      </c>
    </row>
    <row r="3132" spans="1:11" ht="42" customHeight="1">
      <c r="A3132" s="2" t="s">
        <v>7729</v>
      </c>
      <c r="B3132" s="2" t="s">
        <v>7730</v>
      </c>
      <c r="C3132" s="2" t="s">
        <v>61</v>
      </c>
      <c r="D3132" s="2" t="s">
        <v>50</v>
      </c>
      <c r="E3132" s="5">
        <v>-30870</v>
      </c>
      <c r="F3132" s="3" t="s">
        <v>122</v>
      </c>
      <c r="G3132" s="3" t="s">
        <v>38</v>
      </c>
      <c r="H3132" s="2" t="s">
        <v>72</v>
      </c>
      <c r="I3132" s="2" t="s">
        <v>7731</v>
      </c>
      <c r="J3132" s="3" t="str">
        <f>HYPERLINK("https://www.boe.es/gazeta/dias/1815/06/24/pdfs/GMD-1815-76.pdf#page=8","Abrir facsímil")</f>
        <v>Abrir facsímil</v>
      </c>
      <c r="K3132" s="3" t="s">
        <v>74</v>
      </c>
    </row>
    <row r="3133" spans="1:11" ht="42" customHeight="1">
      <c r="A3133" s="2" t="s">
        <v>7732</v>
      </c>
      <c r="B3133" s="2" t="s">
        <v>7733</v>
      </c>
      <c r="C3133" s="2" t="s">
        <v>49</v>
      </c>
      <c r="D3133" s="2" t="s">
        <v>50</v>
      </c>
      <c r="E3133" s="5">
        <v>-30916</v>
      </c>
      <c r="F3133" s="3" t="s">
        <v>147</v>
      </c>
      <c r="G3133" s="3" t="s">
        <v>38</v>
      </c>
      <c r="H3133" s="2" t="s">
        <v>72</v>
      </c>
      <c r="I3133" s="2" t="s">
        <v>7734</v>
      </c>
      <c r="J3133" s="3" t="str">
        <f>HYPERLINK("https://www.boe.es/gazeta/dias/1815/05/09/pdfs/GMD-1815-56.pdf#page=8","Abrir facsímil")</f>
        <v>Abrir facsímil</v>
      </c>
      <c r="K3133" s="3" t="s">
        <v>74</v>
      </c>
    </row>
    <row r="3134" spans="1:11" ht="42" customHeight="1">
      <c r="A3134" s="2" t="s">
        <v>7735</v>
      </c>
      <c r="B3134" s="2" t="s">
        <v>7736</v>
      </c>
      <c r="C3134" s="2" t="s">
        <v>195</v>
      </c>
      <c r="D3134" s="2" t="s">
        <v>50</v>
      </c>
      <c r="E3134" s="5">
        <v>-30891</v>
      </c>
      <c r="F3134" s="3" t="s">
        <v>498</v>
      </c>
      <c r="G3134" s="3" t="s">
        <v>38</v>
      </c>
      <c r="H3134" s="2" t="s">
        <v>72</v>
      </c>
      <c r="I3134" s="2" t="s">
        <v>7737</v>
      </c>
      <c r="J3134" s="3" t="str">
        <f>HYPERLINK("https://www.boe.es/gazeta/dias/1815/06/03/pdfs/GMD-1815-67.pdf#page=8","Abrir facsímil")</f>
        <v>Abrir facsímil</v>
      </c>
      <c r="K3134" s="3" t="s">
        <v>74</v>
      </c>
    </row>
    <row r="3135" spans="1:11" ht="42" customHeight="1">
      <c r="A3135" s="2" t="s">
        <v>7738</v>
      </c>
      <c r="B3135" s="2" t="s">
        <v>7739</v>
      </c>
      <c r="C3135" s="2" t="s">
        <v>195</v>
      </c>
      <c r="D3135" s="2" t="s">
        <v>50</v>
      </c>
      <c r="E3135" s="5">
        <v>-30874</v>
      </c>
      <c r="F3135" s="3" t="s">
        <v>208</v>
      </c>
      <c r="G3135" s="3" t="s">
        <v>224</v>
      </c>
      <c r="H3135" s="2" t="s">
        <v>72</v>
      </c>
      <c r="I3135" s="2" t="s">
        <v>7740</v>
      </c>
      <c r="J3135" s="3" t="str">
        <f>HYPERLINK("https://www.boe.es/gazeta/dias/1815/06/20/pdfs/GMD-1815-74.pdf#page=9","Abrir facsímil")</f>
        <v>Abrir facsímil</v>
      </c>
      <c r="K3135" s="3" t="s">
        <v>74</v>
      </c>
    </row>
    <row r="3136" spans="1:11" ht="42" customHeight="1">
      <c r="A3136" s="2" t="s">
        <v>7741</v>
      </c>
      <c r="B3136" s="2" t="s">
        <v>7742</v>
      </c>
      <c r="C3136" s="2" t="s">
        <v>61</v>
      </c>
      <c r="D3136" s="2" t="s">
        <v>50</v>
      </c>
      <c r="E3136" s="5">
        <v>-30872</v>
      </c>
      <c r="F3136" s="3" t="s">
        <v>167</v>
      </c>
      <c r="G3136" s="3" t="s">
        <v>224</v>
      </c>
      <c r="H3136" s="2" t="s">
        <v>72</v>
      </c>
      <c r="I3136" s="2" t="s">
        <v>7743</v>
      </c>
      <c r="J3136" s="3" t="str">
        <f>HYPERLINK("https://www.boe.es/gazeta/dias/1815/06/22/pdfs/GMD-1815-75.pdf#page=9","Abrir facsímil")</f>
        <v>Abrir facsímil</v>
      </c>
      <c r="K3136" s="3" t="s">
        <v>74</v>
      </c>
    </row>
    <row r="3137" spans="1:11" ht="42" customHeight="1">
      <c r="A3137" s="2" t="s">
        <v>7744</v>
      </c>
      <c r="B3137" s="2" t="s">
        <v>7745</v>
      </c>
      <c r="C3137" s="2" t="s">
        <v>49</v>
      </c>
      <c r="D3137" s="2" t="s">
        <v>50</v>
      </c>
      <c r="E3137" s="5">
        <v>-30818</v>
      </c>
      <c r="F3137" s="3" t="s">
        <v>334</v>
      </c>
      <c r="G3137" s="3" t="s">
        <v>224</v>
      </c>
      <c r="H3137" s="2" t="s">
        <v>72</v>
      </c>
      <c r="I3137" s="2" t="s">
        <v>7746</v>
      </c>
      <c r="J3137" s="3" t="str">
        <f>HYPERLINK("https://www.boe.es/gazeta/dias/1815/08/15/pdfs/GMD-1815-100.pdf#page=9","Abrir facsímil")</f>
        <v>Abrir facsímil</v>
      </c>
      <c r="K3137" s="3" t="s">
        <v>74</v>
      </c>
    </row>
    <row r="3138" spans="1:11" ht="42" customHeight="1">
      <c r="A3138" s="2" t="s">
        <v>7747</v>
      </c>
      <c r="B3138" s="2" t="s">
        <v>7748</v>
      </c>
      <c r="C3138" s="2" t="s">
        <v>17</v>
      </c>
      <c r="D3138" s="2" t="s">
        <v>18</v>
      </c>
      <c r="E3138" s="5">
        <v>-30872</v>
      </c>
      <c r="F3138" s="3" t="s">
        <v>167</v>
      </c>
      <c r="G3138" s="3" t="s">
        <v>2825</v>
      </c>
      <c r="H3138" s="2" t="s">
        <v>72</v>
      </c>
      <c r="I3138" s="2" t="s">
        <v>7749</v>
      </c>
      <c r="J3138" s="3" t="str">
        <f>HYPERLINK("https://www.boe.es/gazeta/dias/1815/06/22/pdfs/GMD-1815-75.pdf#page=10","Abrir facsímil")</f>
        <v>Abrir facsímil</v>
      </c>
      <c r="K3138" s="3" t="s">
        <v>74</v>
      </c>
    </row>
    <row r="3139" spans="1:11" ht="42" customHeight="1">
      <c r="A3139" s="2" t="s">
        <v>7750</v>
      </c>
      <c r="B3139" s="2" t="s">
        <v>7751</v>
      </c>
      <c r="C3139" s="2" t="s">
        <v>49</v>
      </c>
      <c r="D3139" s="2" t="s">
        <v>50</v>
      </c>
      <c r="E3139" s="5">
        <v>-30844</v>
      </c>
      <c r="F3139" s="3" t="s">
        <v>114</v>
      </c>
      <c r="G3139" s="3" t="s">
        <v>71</v>
      </c>
      <c r="H3139" s="2" t="s">
        <v>72</v>
      </c>
      <c r="I3139" s="2" t="s">
        <v>7752</v>
      </c>
      <c r="J3139" s="3" t="str">
        <f>HYPERLINK("https://www.boe.es/gazeta/dias/1815/07/20/pdfs/GMD-1815-89.pdf#page=7","Abrir facsímil")</f>
        <v>Abrir facsímil</v>
      </c>
      <c r="K3139" s="3" t="s">
        <v>74</v>
      </c>
    </row>
    <row r="3140" spans="1:11" ht="42" customHeight="1">
      <c r="A3140" s="2" t="s">
        <v>7753</v>
      </c>
      <c r="B3140" s="2" t="s">
        <v>7754</v>
      </c>
      <c r="C3140" s="2" t="s">
        <v>49</v>
      </c>
      <c r="D3140" s="2" t="s">
        <v>50</v>
      </c>
      <c r="E3140" s="5">
        <v>-30863</v>
      </c>
      <c r="F3140" s="3" t="s">
        <v>110</v>
      </c>
      <c r="G3140" s="3" t="s">
        <v>224</v>
      </c>
      <c r="H3140" s="2" t="s">
        <v>72</v>
      </c>
      <c r="I3140" s="2" t="s">
        <v>7755</v>
      </c>
      <c r="J3140" s="3" t="str">
        <f>HYPERLINK("https://www.boe.es/gazeta/dias/1815/07/01/pdfs/GMD-1815-79.pdf#page=9","Abrir facsímil")</f>
        <v>Abrir facsímil</v>
      </c>
      <c r="K3140" s="3" t="s">
        <v>74</v>
      </c>
    </row>
    <row r="3141" spans="1:11" ht="42" customHeight="1">
      <c r="A3141" s="2" t="s">
        <v>7756</v>
      </c>
      <c r="B3141" s="2" t="s">
        <v>7757</v>
      </c>
      <c r="C3141" s="2" t="s">
        <v>61</v>
      </c>
      <c r="D3141" s="2" t="s">
        <v>50</v>
      </c>
      <c r="E3141" s="5">
        <v>-30970</v>
      </c>
      <c r="F3141" s="3" t="s">
        <v>436</v>
      </c>
      <c r="G3141" s="3" t="s">
        <v>38</v>
      </c>
      <c r="H3141" s="2" t="s">
        <v>72</v>
      </c>
      <c r="I3141" s="2" t="s">
        <v>7758</v>
      </c>
      <c r="J3141" s="3" t="str">
        <f>HYPERLINK("https://www.boe.es/gazeta/dias/1815/03/16/pdfs/GMD-1815-32.pdf#page=8","Abrir facsímil")</f>
        <v>Abrir facsímil</v>
      </c>
      <c r="K3141" s="3" t="s">
        <v>74</v>
      </c>
    </row>
    <row r="3142" spans="1:11" ht="42" customHeight="1">
      <c r="A3142" s="2" t="s">
        <v>7756</v>
      </c>
      <c r="B3142" s="2" t="s">
        <v>7757</v>
      </c>
      <c r="C3142" s="2" t="s">
        <v>61</v>
      </c>
      <c r="D3142" s="2" t="s">
        <v>50</v>
      </c>
      <c r="E3142" s="5">
        <v>-30902</v>
      </c>
      <c r="F3142" s="3" t="s">
        <v>648</v>
      </c>
      <c r="G3142" s="3" t="s">
        <v>38</v>
      </c>
      <c r="H3142" s="2" t="s">
        <v>72</v>
      </c>
      <c r="I3142" s="2" t="s">
        <v>7759</v>
      </c>
      <c r="J3142" s="3" t="str">
        <f>HYPERLINK("https://www.boe.es/gazeta/dias/1815/05/23/pdfs/GMD-1815-62.pdf#page=8","Abrir facsímil")</f>
        <v>Abrir facsímil</v>
      </c>
      <c r="K3142" s="3" t="s">
        <v>74</v>
      </c>
    </row>
    <row r="3143" spans="1:11" ht="42" customHeight="1">
      <c r="A3143" s="2" t="s">
        <v>7756</v>
      </c>
      <c r="B3143" s="2" t="s">
        <v>7757</v>
      </c>
      <c r="C3143" s="2" t="s">
        <v>81</v>
      </c>
      <c r="D3143" s="2" t="s">
        <v>50</v>
      </c>
      <c r="E3143" s="5">
        <v>-30851</v>
      </c>
      <c r="F3143" s="3" t="s">
        <v>442</v>
      </c>
      <c r="G3143" s="3" t="s">
        <v>38</v>
      </c>
      <c r="H3143" s="2" t="s">
        <v>72</v>
      </c>
      <c r="I3143" s="2" t="s">
        <v>7760</v>
      </c>
      <c r="J3143" s="3" t="str">
        <f>HYPERLINK("https://www.boe.es/gazeta/dias/1815/07/13/pdfs/GMD-1815-86.pdf#page=8","Abrir facsímil")</f>
        <v>Abrir facsímil</v>
      </c>
      <c r="K3143" s="3" t="s">
        <v>74</v>
      </c>
    </row>
    <row r="3144" spans="1:11" ht="42" customHeight="1">
      <c r="A3144" s="2" t="s">
        <v>7756</v>
      </c>
      <c r="B3144" s="2" t="s">
        <v>7757</v>
      </c>
      <c r="C3144" s="2" t="s">
        <v>31</v>
      </c>
      <c r="D3144" s="2" t="s">
        <v>32</v>
      </c>
      <c r="E3144" s="5">
        <v>-30767</v>
      </c>
      <c r="F3144" s="3" t="s">
        <v>228</v>
      </c>
      <c r="G3144" s="3" t="s">
        <v>990</v>
      </c>
      <c r="H3144" s="2" t="s">
        <v>72</v>
      </c>
      <c r="I3144" s="2" t="s">
        <v>7761</v>
      </c>
      <c r="J3144" s="3" t="str">
        <f>HYPERLINK("https://www.boe.es/gazeta/dias/1815/10/05/pdfs/GMD-1815-125.pdf#page=12","Abrir facsímil")</f>
        <v>Abrir facsímil</v>
      </c>
      <c r="K3144" s="3" t="s">
        <v>74</v>
      </c>
    </row>
    <row r="3145" spans="1:11" ht="42" customHeight="1">
      <c r="A3145" s="2" t="s">
        <v>7756</v>
      </c>
      <c r="B3145" s="2" t="s">
        <v>7757</v>
      </c>
      <c r="C3145" s="2" t="s">
        <v>81</v>
      </c>
      <c r="D3145" s="2" t="s">
        <v>50</v>
      </c>
      <c r="E3145" s="5">
        <v>-30711</v>
      </c>
      <c r="F3145" s="3" t="s">
        <v>438</v>
      </c>
      <c r="G3145" s="3" t="s">
        <v>38</v>
      </c>
      <c r="H3145" s="2" t="s">
        <v>72</v>
      </c>
      <c r="I3145" s="2" t="s">
        <v>7762</v>
      </c>
      <c r="J3145" s="3" t="str">
        <f>HYPERLINK("https://www.boe.es/gazeta/dias/1815/11/30/pdfs/GMD-1815-149.pdf#page=8","Abrir facsímil")</f>
        <v>Abrir facsímil</v>
      </c>
      <c r="K3145" s="3" t="s">
        <v>74</v>
      </c>
    </row>
    <row r="3146" spans="1:11" ht="42" customHeight="1">
      <c r="A3146" s="2" t="s">
        <v>7763</v>
      </c>
      <c r="B3146" s="2" t="s">
        <v>7764</v>
      </c>
      <c r="C3146" s="2" t="s">
        <v>17</v>
      </c>
      <c r="D3146" s="2" t="s">
        <v>18</v>
      </c>
      <c r="E3146" s="5">
        <v>-30844</v>
      </c>
      <c r="F3146" s="3" t="s">
        <v>114</v>
      </c>
      <c r="G3146" s="3" t="s">
        <v>71</v>
      </c>
      <c r="H3146" s="2" t="s">
        <v>72</v>
      </c>
      <c r="I3146" s="2" t="s">
        <v>7765</v>
      </c>
      <c r="J3146" s="3" t="str">
        <f>HYPERLINK("https://www.boe.es/gazeta/dias/1815/07/20/pdfs/GMD-1815-89.pdf#page=7","Abrir facsímil")</f>
        <v>Abrir facsímil</v>
      </c>
      <c r="K3146" s="3" t="s">
        <v>74</v>
      </c>
    </row>
    <row r="3147" spans="1:11" ht="42" customHeight="1">
      <c r="A3147" s="2" t="s">
        <v>7766</v>
      </c>
      <c r="B3147" s="2" t="s">
        <v>7767</v>
      </c>
      <c r="C3147" s="2" t="s">
        <v>49</v>
      </c>
      <c r="D3147" s="2" t="s">
        <v>50</v>
      </c>
      <c r="E3147" s="5">
        <v>-30839</v>
      </c>
      <c r="F3147" s="3" t="s">
        <v>616</v>
      </c>
      <c r="G3147" s="3" t="s">
        <v>71</v>
      </c>
      <c r="H3147" s="2" t="s">
        <v>72</v>
      </c>
      <c r="I3147" s="2" t="s">
        <v>7768</v>
      </c>
      <c r="J3147" s="3" t="str">
        <f>HYPERLINK("https://www.boe.es/gazeta/dias/1815/07/25/pdfs/GMD-1815-91.pdf#page=7","Abrir facsímil")</f>
        <v>Abrir facsímil</v>
      </c>
      <c r="K3147" s="3" t="s">
        <v>74</v>
      </c>
    </row>
    <row r="3148" spans="1:11" ht="42" customHeight="1">
      <c r="A3148" s="2" t="s">
        <v>7769</v>
      </c>
      <c r="B3148" s="2" t="s">
        <v>7769</v>
      </c>
      <c r="C3148" s="2" t="s">
        <v>31</v>
      </c>
      <c r="D3148" s="2" t="s">
        <v>32</v>
      </c>
      <c r="E3148" s="5">
        <v>-30823</v>
      </c>
      <c r="F3148" s="3" t="s">
        <v>305</v>
      </c>
      <c r="G3148" s="3" t="s">
        <v>306</v>
      </c>
      <c r="H3148" s="2" t="s">
        <v>72</v>
      </c>
      <c r="I3148" s="2" t="s">
        <v>7770</v>
      </c>
      <c r="J3148" s="3" t="str">
        <f>HYPERLINK("https://www.boe.es/gazeta/dias/1815/08/10/pdfs/GMD-1815-98.pdf#page=7","Abrir facsímil")</f>
        <v>Abrir facsímil</v>
      </c>
      <c r="K3148" s="3" t="s">
        <v>74</v>
      </c>
    </row>
    <row r="3149" spans="1:11" ht="42" customHeight="1">
      <c r="A3149" s="2" t="s">
        <v>7771</v>
      </c>
      <c r="B3149" s="2" t="s">
        <v>7772</v>
      </c>
      <c r="C3149" s="2" t="s">
        <v>31</v>
      </c>
      <c r="D3149" s="2" t="s">
        <v>32</v>
      </c>
      <c r="E3149" s="5">
        <v>-30713</v>
      </c>
      <c r="F3149" s="3" t="s">
        <v>895</v>
      </c>
      <c r="G3149" s="3" t="s">
        <v>71</v>
      </c>
      <c r="H3149" s="2" t="s">
        <v>72</v>
      </c>
      <c r="I3149" s="2" t="s">
        <v>7773</v>
      </c>
      <c r="J3149" s="3" t="str">
        <f>HYPERLINK("https://www.boe.es/gazeta/dias/1815/11/28/pdfs/GMD-1815-148.pdf#page=7","Abrir facsímil")</f>
        <v>Abrir facsímil</v>
      </c>
      <c r="K3149" s="3" t="s">
        <v>74</v>
      </c>
    </row>
    <row r="3150" spans="1:11" ht="42" customHeight="1">
      <c r="A3150" s="2" t="s">
        <v>7774</v>
      </c>
      <c r="B3150" s="2" t="s">
        <v>7775</v>
      </c>
      <c r="C3150" s="2" t="s">
        <v>195</v>
      </c>
      <c r="D3150" s="2" t="s">
        <v>50</v>
      </c>
      <c r="E3150" s="5">
        <v>-30942</v>
      </c>
      <c r="F3150" s="3" t="s">
        <v>730</v>
      </c>
      <c r="G3150" s="3" t="s">
        <v>38</v>
      </c>
      <c r="H3150" s="2" t="s">
        <v>21</v>
      </c>
      <c r="I3150" s="2" t="s">
        <v>7776</v>
      </c>
      <c r="J3150" s="3" t="str">
        <f>HYPERLINK("https://www.boe.es/gazeta/dias/1815/04/13/pdfs/GMD-1815-45.pdf#page=8","Abrir facsímil")</f>
        <v>Abrir facsímil</v>
      </c>
      <c r="K3150" s="3" t="s">
        <v>23</v>
      </c>
    </row>
    <row r="3151" spans="1:11" ht="42" customHeight="1">
      <c r="A3151" s="2" t="s">
        <v>7777</v>
      </c>
      <c r="B3151" s="2" t="s">
        <v>7778</v>
      </c>
      <c r="C3151" s="2" t="s">
        <v>49</v>
      </c>
      <c r="D3151" s="2" t="s">
        <v>50</v>
      </c>
      <c r="E3151" s="5">
        <v>-30767</v>
      </c>
      <c r="F3151" s="3" t="s">
        <v>228</v>
      </c>
      <c r="G3151" s="3" t="s">
        <v>990</v>
      </c>
      <c r="H3151" s="2" t="s">
        <v>72</v>
      </c>
      <c r="I3151" s="2" t="s">
        <v>7779</v>
      </c>
      <c r="J3151" s="3" t="str">
        <f>HYPERLINK("https://www.boe.es/gazeta/dias/1815/10/05/pdfs/GMD-1815-125.pdf#page=12","Abrir facsímil")</f>
        <v>Abrir facsímil</v>
      </c>
      <c r="K3151" s="3" t="s">
        <v>74</v>
      </c>
    </row>
    <row r="3152" spans="1:11" ht="42" customHeight="1">
      <c r="A3152" s="2" t="s">
        <v>7780</v>
      </c>
      <c r="B3152" s="2" t="s">
        <v>7781</v>
      </c>
      <c r="C3152" s="2" t="s">
        <v>61</v>
      </c>
      <c r="D3152" s="2" t="s">
        <v>50</v>
      </c>
      <c r="E3152" s="5">
        <v>-30989</v>
      </c>
      <c r="F3152" s="3" t="s">
        <v>2441</v>
      </c>
      <c r="G3152" s="3" t="s">
        <v>71</v>
      </c>
      <c r="H3152" s="2" t="s">
        <v>72</v>
      </c>
      <c r="I3152" s="2" t="s">
        <v>7782</v>
      </c>
      <c r="J3152" s="3" t="str">
        <f>HYPERLINK("https://www.boe.es/gazeta/dias/1815/02/25/pdfs/GMD-1815-24.pdf#page=7","Abrir facsímil")</f>
        <v>Abrir facsímil</v>
      </c>
      <c r="K3152" s="3" t="s">
        <v>74</v>
      </c>
    </row>
    <row r="3153" spans="1:11" ht="42" customHeight="1">
      <c r="A3153" s="2" t="s">
        <v>7783</v>
      </c>
      <c r="B3153" s="2" t="s">
        <v>7784</v>
      </c>
      <c r="C3153" s="2" t="s">
        <v>31</v>
      </c>
      <c r="D3153" s="2" t="s">
        <v>32</v>
      </c>
      <c r="E3153" s="5">
        <v>-30982</v>
      </c>
      <c r="F3153" s="3" t="s">
        <v>220</v>
      </c>
      <c r="G3153" s="3" t="s">
        <v>57</v>
      </c>
      <c r="H3153" s="2" t="s">
        <v>72</v>
      </c>
      <c r="I3153" s="2" t="s">
        <v>7785</v>
      </c>
      <c r="J3153" s="3" t="str">
        <f>HYPERLINK("https://www.boe.es/gazeta/dias/1815/03/04/pdfs/GMD-1815-27.pdf#page=5","Abrir facsímil")</f>
        <v>Abrir facsímil</v>
      </c>
      <c r="K3153" s="3" t="s">
        <v>74</v>
      </c>
    </row>
    <row r="3154" spans="1:11" ht="42" customHeight="1">
      <c r="A3154" s="2" t="s">
        <v>7786</v>
      </c>
      <c r="B3154" s="2" t="s">
        <v>7787</v>
      </c>
      <c r="C3154" s="2" t="s">
        <v>17</v>
      </c>
      <c r="D3154" s="2" t="s">
        <v>18</v>
      </c>
      <c r="E3154" s="5">
        <v>-30970</v>
      </c>
      <c r="F3154" s="3" t="s">
        <v>436</v>
      </c>
      <c r="G3154" s="3" t="s">
        <v>71</v>
      </c>
      <c r="H3154" s="2" t="s">
        <v>72</v>
      </c>
      <c r="I3154" s="2" t="s">
        <v>7788</v>
      </c>
      <c r="J3154" s="3" t="str">
        <f>HYPERLINK("https://www.boe.es/gazeta/dias/1815/03/16/pdfs/GMD-1815-32.pdf#page=7","Abrir facsímil")</f>
        <v>Abrir facsímil</v>
      </c>
      <c r="K3154" s="3" t="s">
        <v>74</v>
      </c>
    </row>
    <row r="3155" spans="1:11" ht="42" customHeight="1">
      <c r="A3155" s="2" t="s">
        <v>7789</v>
      </c>
      <c r="B3155" s="2" t="s">
        <v>7790</v>
      </c>
      <c r="C3155" s="2" t="s">
        <v>61</v>
      </c>
      <c r="D3155" s="2" t="s">
        <v>50</v>
      </c>
      <c r="E3155" s="5">
        <v>-30888</v>
      </c>
      <c r="F3155" s="3" t="s">
        <v>368</v>
      </c>
      <c r="G3155" s="3" t="s">
        <v>27</v>
      </c>
      <c r="H3155" s="2" t="s">
        <v>72</v>
      </c>
      <c r="I3155" s="2" t="s">
        <v>7791</v>
      </c>
      <c r="J3155" s="3" t="str">
        <f>HYPERLINK("https://www.boe.es/gazeta/dias/1815/06/06/pdfs/GMD-1815-68.pdf#page=6","Abrir facsímil")</f>
        <v>Abrir facsímil</v>
      </c>
      <c r="K3155" s="3" t="s">
        <v>74</v>
      </c>
    </row>
    <row r="3156" spans="1:11" ht="42" customHeight="1">
      <c r="A3156" s="2" t="s">
        <v>7792</v>
      </c>
      <c r="B3156" s="2" t="s">
        <v>7793</v>
      </c>
      <c r="C3156" s="2" t="s">
        <v>17</v>
      </c>
      <c r="D3156" s="2" t="s">
        <v>18</v>
      </c>
      <c r="E3156" s="5">
        <v>-30982</v>
      </c>
      <c r="F3156" s="3" t="s">
        <v>220</v>
      </c>
      <c r="G3156" s="3" t="s">
        <v>71</v>
      </c>
      <c r="H3156" s="2" t="s">
        <v>72</v>
      </c>
      <c r="I3156" s="2" t="s">
        <v>7794</v>
      </c>
      <c r="J3156" s="3" t="str">
        <f>HYPERLINK("https://www.boe.es/gazeta/dias/1815/03/04/pdfs/GMD-1815-27.pdf#page=7","Abrir facsímil")</f>
        <v>Abrir facsímil</v>
      </c>
      <c r="K3156" s="3" t="s">
        <v>74</v>
      </c>
    </row>
    <row r="3157" spans="1:11" ht="42" customHeight="1">
      <c r="A3157" s="2" t="s">
        <v>7795</v>
      </c>
      <c r="B3157" s="2" t="s">
        <v>7796</v>
      </c>
      <c r="C3157" s="2" t="s">
        <v>131</v>
      </c>
      <c r="D3157" s="2" t="s">
        <v>50</v>
      </c>
      <c r="E3157" s="5">
        <v>-30839</v>
      </c>
      <c r="F3157" s="3" t="s">
        <v>616</v>
      </c>
      <c r="G3157" s="3" t="s">
        <v>71</v>
      </c>
      <c r="H3157" s="2" t="s">
        <v>72</v>
      </c>
      <c r="I3157" s="2" t="s">
        <v>7797</v>
      </c>
      <c r="J3157" s="3" t="str">
        <f>HYPERLINK("https://www.boe.es/gazeta/dias/1815/07/25/pdfs/GMD-1815-91.pdf#page=7","Abrir facsímil")</f>
        <v>Abrir facsímil</v>
      </c>
      <c r="K3157" s="3" t="s">
        <v>74</v>
      </c>
    </row>
    <row r="3158" spans="1:11" ht="42" customHeight="1">
      <c r="A3158" s="2" t="s">
        <v>7798</v>
      </c>
      <c r="B3158" s="2" t="s">
        <v>7799</v>
      </c>
      <c r="C3158" s="2" t="s">
        <v>49</v>
      </c>
      <c r="D3158" s="2" t="s">
        <v>50</v>
      </c>
      <c r="E3158" s="5">
        <v>-30870</v>
      </c>
      <c r="F3158" s="3" t="s">
        <v>122</v>
      </c>
      <c r="G3158" s="3" t="s">
        <v>88</v>
      </c>
      <c r="H3158" s="2" t="s">
        <v>72</v>
      </c>
      <c r="I3158" s="2" t="s">
        <v>7800</v>
      </c>
      <c r="J3158" s="3" t="str">
        <f>HYPERLINK("https://www.boe.es/gazeta/dias/1815/06/24/pdfs/GMD-1815-76.pdf#page=10","Abrir facsímil")</f>
        <v>Abrir facsímil</v>
      </c>
      <c r="K3158" s="3" t="s">
        <v>74</v>
      </c>
    </row>
    <row r="3159" spans="1:11" ht="42" customHeight="1">
      <c r="A3159" s="2" t="s">
        <v>7801</v>
      </c>
      <c r="B3159" s="2" t="s">
        <v>7802</v>
      </c>
      <c r="C3159" s="2" t="s">
        <v>31</v>
      </c>
      <c r="D3159" s="2" t="s">
        <v>32</v>
      </c>
      <c r="E3159" s="5">
        <v>-30839</v>
      </c>
      <c r="F3159" s="3" t="s">
        <v>616</v>
      </c>
      <c r="G3159" s="3" t="s">
        <v>57</v>
      </c>
      <c r="H3159" s="2" t="s">
        <v>72</v>
      </c>
      <c r="I3159" s="2" t="s">
        <v>7803</v>
      </c>
      <c r="J3159" s="3" t="str">
        <f>HYPERLINK("https://www.boe.es/gazeta/dias/1815/07/25/pdfs/GMD-1815-91.pdf#page=5","Abrir facsímil")</f>
        <v>Abrir facsímil</v>
      </c>
      <c r="K3159" s="3" t="s">
        <v>74</v>
      </c>
    </row>
    <row r="3160" spans="1:11" ht="42" customHeight="1">
      <c r="A3160" s="2" t="s">
        <v>7804</v>
      </c>
      <c r="B3160" s="2" t="s">
        <v>7805</v>
      </c>
      <c r="C3160" s="2" t="s">
        <v>17</v>
      </c>
      <c r="D3160" s="2" t="s">
        <v>18</v>
      </c>
      <c r="E3160" s="5">
        <v>-30996</v>
      </c>
      <c r="F3160" s="3" t="s">
        <v>289</v>
      </c>
      <c r="G3160" s="3" t="s">
        <v>27</v>
      </c>
      <c r="H3160" s="2" t="s">
        <v>21</v>
      </c>
      <c r="I3160" s="2" t="s">
        <v>7806</v>
      </c>
      <c r="J3160" s="3" t="str">
        <f>HYPERLINK("https://www.boe.es/gazeta/dias/1815/02/18/pdfs/GMD-1815-21.pdf#page=6","Abrir facsímil")</f>
        <v>Abrir facsímil</v>
      </c>
      <c r="K3160" s="3" t="s">
        <v>23</v>
      </c>
    </row>
    <row r="3161" spans="1:11" ht="42" customHeight="1">
      <c r="A3161" s="2" t="s">
        <v>7807</v>
      </c>
      <c r="B3161" s="2" t="s">
        <v>7808</v>
      </c>
      <c r="C3161" s="2" t="s">
        <v>49</v>
      </c>
      <c r="D3161" s="2" t="s">
        <v>50</v>
      </c>
      <c r="E3161" s="5">
        <v>-30865</v>
      </c>
      <c r="F3161" s="3" t="s">
        <v>163</v>
      </c>
      <c r="G3161" s="3" t="s">
        <v>71</v>
      </c>
      <c r="H3161" s="2" t="s">
        <v>72</v>
      </c>
      <c r="I3161" s="2" t="s">
        <v>7809</v>
      </c>
      <c r="J3161" s="3" t="str">
        <f>HYPERLINK("https://www.boe.es/gazeta/dias/1815/06/29/pdfs/GMD-1815-78.pdf#page=7","Abrir facsímil")</f>
        <v>Abrir facsímil</v>
      </c>
      <c r="K3161" s="3" t="s">
        <v>74</v>
      </c>
    </row>
    <row r="3162" spans="1:11" ht="42" customHeight="1">
      <c r="A3162" s="2" t="s">
        <v>7810</v>
      </c>
      <c r="B3162" s="2" t="s">
        <v>7811</v>
      </c>
      <c r="C3162" s="2" t="s">
        <v>49</v>
      </c>
      <c r="D3162" s="2" t="s">
        <v>50</v>
      </c>
      <c r="E3162" s="5">
        <v>-30893</v>
      </c>
      <c r="F3162" s="3" t="s">
        <v>132</v>
      </c>
      <c r="G3162" s="3" t="s">
        <v>155</v>
      </c>
      <c r="H3162" s="2" t="s">
        <v>72</v>
      </c>
      <c r="I3162" s="2" t="s">
        <v>7812</v>
      </c>
      <c r="J3162" s="3" t="str">
        <f>HYPERLINK("https://www.boe.es/gazeta/dias/1815/06/01/pdfs/GMD-1815-66.pdf#page=6","Abrir facsímil")</f>
        <v>Abrir facsímil</v>
      </c>
      <c r="K3162" s="3" t="s">
        <v>74</v>
      </c>
    </row>
    <row r="3163" spans="1:11" ht="42" customHeight="1">
      <c r="A3163" s="2" t="s">
        <v>7813</v>
      </c>
      <c r="B3163" s="2" t="s">
        <v>7814</v>
      </c>
      <c r="C3163" s="2" t="s">
        <v>49</v>
      </c>
      <c r="D3163" s="2" t="s">
        <v>50</v>
      </c>
      <c r="E3163" s="5">
        <v>-30916</v>
      </c>
      <c r="F3163" s="3" t="s">
        <v>147</v>
      </c>
      <c r="G3163" s="3" t="s">
        <v>38</v>
      </c>
      <c r="H3163" s="2" t="s">
        <v>72</v>
      </c>
      <c r="I3163" s="2" t="s">
        <v>7815</v>
      </c>
      <c r="J3163" s="3" t="str">
        <f>HYPERLINK("https://www.boe.es/gazeta/dias/1815/05/09/pdfs/GMD-1815-56.pdf#page=8","Abrir facsímil")</f>
        <v>Abrir facsímil</v>
      </c>
      <c r="K3163" s="3" t="s">
        <v>74</v>
      </c>
    </row>
    <row r="3164" spans="1:11" ht="42" customHeight="1">
      <c r="A3164" s="2" t="s">
        <v>7816</v>
      </c>
      <c r="B3164" s="2" t="s">
        <v>7817</v>
      </c>
      <c r="C3164" s="2" t="s">
        <v>17</v>
      </c>
      <c r="D3164" s="2" t="s">
        <v>18</v>
      </c>
      <c r="E3164" s="5">
        <v>-31007</v>
      </c>
      <c r="F3164" s="3" t="s">
        <v>200</v>
      </c>
      <c r="G3164" s="3" t="s">
        <v>20</v>
      </c>
      <c r="H3164" s="2" t="s">
        <v>72</v>
      </c>
      <c r="I3164" s="2" t="s">
        <v>7818</v>
      </c>
      <c r="J3164" s="3" t="str">
        <f>HYPERLINK("https://www.boe.es/gazeta/dias/1815/02/07/pdfs/GMD-1815-16.pdf#page=4","Abrir facsímil")</f>
        <v>Abrir facsímil</v>
      </c>
      <c r="K3164" s="3" t="s">
        <v>74</v>
      </c>
    </row>
    <row r="3165" spans="1:11" ht="42" customHeight="1">
      <c r="A3165" s="2" t="s">
        <v>7819</v>
      </c>
      <c r="B3165" s="2" t="s">
        <v>7820</v>
      </c>
      <c r="C3165" s="2" t="s">
        <v>31</v>
      </c>
      <c r="D3165" s="2" t="s">
        <v>32</v>
      </c>
      <c r="E3165" s="5">
        <v>-30905</v>
      </c>
      <c r="F3165" s="3" t="s">
        <v>901</v>
      </c>
      <c r="G3165" s="3" t="s">
        <v>71</v>
      </c>
      <c r="H3165" s="2" t="s">
        <v>21</v>
      </c>
      <c r="I3165" s="2" t="s">
        <v>7821</v>
      </c>
      <c r="J3165" s="3" t="str">
        <f>HYPERLINK("https://www.boe.es/gazeta/dias/1815/05/20/pdfs/GMD-1815-61.pdf#page=7","Abrir facsímil")</f>
        <v>Abrir facsímil</v>
      </c>
      <c r="K3165" s="3" t="s">
        <v>23</v>
      </c>
    </row>
    <row r="3166" spans="1:11" ht="42" customHeight="1">
      <c r="A3166" s="2" t="s">
        <v>7822</v>
      </c>
      <c r="B3166" s="2" t="s">
        <v>7823</v>
      </c>
      <c r="C3166" s="2" t="s">
        <v>31</v>
      </c>
      <c r="D3166" s="2" t="s">
        <v>32</v>
      </c>
      <c r="E3166" s="5">
        <v>-30893</v>
      </c>
      <c r="F3166" s="3" t="s">
        <v>132</v>
      </c>
      <c r="G3166" s="3" t="s">
        <v>155</v>
      </c>
      <c r="H3166" s="2" t="s">
        <v>72</v>
      </c>
      <c r="I3166" s="2" t="s">
        <v>7824</v>
      </c>
      <c r="J3166" s="3" t="str">
        <f>HYPERLINK("https://www.boe.es/gazeta/dias/1815/06/01/pdfs/GMD-1815-66.pdf#page=6","Abrir facsímil")</f>
        <v>Abrir facsímil</v>
      </c>
      <c r="K3166" s="3" t="s">
        <v>74</v>
      </c>
    </row>
    <row r="3167" spans="1:11" ht="42" customHeight="1">
      <c r="A3167" s="2" t="s">
        <v>7825</v>
      </c>
      <c r="B3167" s="2" t="s">
        <v>7826</v>
      </c>
      <c r="C3167" s="2" t="s">
        <v>31</v>
      </c>
      <c r="D3167" s="2" t="s">
        <v>32</v>
      </c>
      <c r="E3167" s="5">
        <v>-30839</v>
      </c>
      <c r="F3167" s="3" t="s">
        <v>616</v>
      </c>
      <c r="G3167" s="3" t="s">
        <v>27</v>
      </c>
      <c r="H3167" s="2" t="s">
        <v>21</v>
      </c>
      <c r="I3167" s="2" t="s">
        <v>7827</v>
      </c>
      <c r="J3167" s="3" t="str">
        <f>HYPERLINK("https://www.boe.es/gazeta/dias/1815/07/25/pdfs/GMD-1815-91.pdf#page=6","Abrir facsímil")</f>
        <v>Abrir facsímil</v>
      </c>
      <c r="K3167" s="3" t="s">
        <v>23</v>
      </c>
    </row>
    <row r="3168" spans="1:11" ht="42" customHeight="1">
      <c r="A3168" s="2" t="s">
        <v>7828</v>
      </c>
      <c r="B3168" s="2" t="s">
        <v>7829</v>
      </c>
      <c r="C3168" s="2" t="s">
        <v>31</v>
      </c>
      <c r="D3168" s="2" t="s">
        <v>32</v>
      </c>
      <c r="E3168" s="5">
        <v>-30767</v>
      </c>
      <c r="F3168" s="3" t="s">
        <v>228</v>
      </c>
      <c r="G3168" s="3" t="s">
        <v>52</v>
      </c>
      <c r="H3168" s="2" t="s">
        <v>72</v>
      </c>
      <c r="I3168" s="2" t="s">
        <v>7830</v>
      </c>
      <c r="J3168" s="3" t="str">
        <f>HYPERLINK("https://www.boe.es/gazeta/dias/1815/10/05/pdfs/GMD-1815-125.pdf#page=11","Abrir facsímil")</f>
        <v>Abrir facsímil</v>
      </c>
      <c r="K3168" s="3" t="s">
        <v>74</v>
      </c>
    </row>
    <row r="3169" spans="1:11" ht="42" customHeight="1">
      <c r="A3169" s="2" t="s">
        <v>7831</v>
      </c>
      <c r="B3169" s="2" t="s">
        <v>7832</v>
      </c>
      <c r="C3169" s="2" t="s">
        <v>31</v>
      </c>
      <c r="D3169" s="2" t="s">
        <v>32</v>
      </c>
      <c r="E3169" s="5">
        <v>-31038</v>
      </c>
      <c r="F3169" s="3" t="s">
        <v>395</v>
      </c>
      <c r="G3169" s="3" t="s">
        <v>27</v>
      </c>
      <c r="H3169" s="2" t="s">
        <v>72</v>
      </c>
      <c r="I3169" s="2" t="s">
        <v>7833</v>
      </c>
      <c r="J3169" s="3" t="str">
        <f>HYPERLINK("https://www.boe.es/gazeta/dias/1815/01/07/pdfs/GMD-1815-3.pdf#page=6","Abrir facsímil")</f>
        <v>Abrir facsímil</v>
      </c>
      <c r="K3169" s="3" t="s">
        <v>74</v>
      </c>
    </row>
    <row r="3170" spans="1:11" ht="42" customHeight="1">
      <c r="A3170" s="2" t="s">
        <v>7834</v>
      </c>
      <c r="B3170" s="2" t="s">
        <v>7835</v>
      </c>
      <c r="C3170" s="2" t="s">
        <v>49</v>
      </c>
      <c r="D3170" s="2" t="s">
        <v>50</v>
      </c>
      <c r="E3170" s="5">
        <v>-30741</v>
      </c>
      <c r="F3170" s="3" t="s">
        <v>1000</v>
      </c>
      <c r="G3170" s="3" t="s">
        <v>38</v>
      </c>
      <c r="H3170" s="2" t="s">
        <v>72</v>
      </c>
      <c r="I3170" s="2" t="s">
        <v>7836</v>
      </c>
      <c r="J3170" s="3" t="str">
        <f>HYPERLINK("https://www.boe.es/gazeta/dias/1815/10/31/pdfs/GMD-1815-136.pdf#page=8","Abrir facsímil")</f>
        <v>Abrir facsímil</v>
      </c>
      <c r="K3170" s="3" t="s">
        <v>74</v>
      </c>
    </row>
    <row r="3171" spans="1:11" ht="42" customHeight="1">
      <c r="A3171" s="2" t="s">
        <v>7837</v>
      </c>
      <c r="B3171" s="2" t="s">
        <v>7838</v>
      </c>
      <c r="C3171" s="2" t="s">
        <v>49</v>
      </c>
      <c r="D3171" s="2" t="s">
        <v>50</v>
      </c>
      <c r="E3171" s="5">
        <v>-30839</v>
      </c>
      <c r="F3171" s="3" t="s">
        <v>616</v>
      </c>
      <c r="G3171" s="3" t="s">
        <v>71</v>
      </c>
      <c r="H3171" s="2" t="s">
        <v>72</v>
      </c>
      <c r="I3171" s="2" t="s">
        <v>7839</v>
      </c>
      <c r="J3171" s="3" t="str">
        <f>HYPERLINK("https://www.boe.es/gazeta/dias/1815/07/25/pdfs/GMD-1815-91.pdf#page=7","Abrir facsímil")</f>
        <v>Abrir facsímil</v>
      </c>
      <c r="K3171" s="3" t="s">
        <v>74</v>
      </c>
    </row>
    <row r="3172" spans="1:11" ht="42" customHeight="1">
      <c r="A3172" s="2" t="s">
        <v>7840</v>
      </c>
      <c r="B3172" s="2" t="s">
        <v>7841</v>
      </c>
      <c r="C3172" s="2" t="s">
        <v>49</v>
      </c>
      <c r="D3172" s="2" t="s">
        <v>50</v>
      </c>
      <c r="E3172" s="5">
        <v>-30870</v>
      </c>
      <c r="F3172" s="3" t="s">
        <v>122</v>
      </c>
      <c r="G3172" s="3" t="s">
        <v>88</v>
      </c>
      <c r="H3172" s="2" t="s">
        <v>72</v>
      </c>
      <c r="I3172" s="2" t="s">
        <v>7842</v>
      </c>
      <c r="J3172" s="3" t="str">
        <f>HYPERLINK("https://www.boe.es/gazeta/dias/1815/06/24/pdfs/GMD-1815-76.pdf#page=10","Abrir facsímil")</f>
        <v>Abrir facsímil</v>
      </c>
      <c r="K3172" s="3" t="s">
        <v>74</v>
      </c>
    </row>
    <row r="3173" spans="1:11" ht="42" customHeight="1">
      <c r="A3173" s="2" t="s">
        <v>7843</v>
      </c>
      <c r="B3173" s="2" t="s">
        <v>7844</v>
      </c>
      <c r="C3173" s="2" t="s">
        <v>49</v>
      </c>
      <c r="D3173" s="2" t="s">
        <v>50</v>
      </c>
      <c r="E3173" s="5">
        <v>-30865</v>
      </c>
      <c r="F3173" s="3" t="s">
        <v>163</v>
      </c>
      <c r="G3173" s="3" t="s">
        <v>27</v>
      </c>
      <c r="H3173" s="2" t="s">
        <v>72</v>
      </c>
      <c r="I3173" s="2" t="s">
        <v>7845</v>
      </c>
      <c r="J3173" s="3" t="str">
        <f>HYPERLINK("https://www.boe.es/gazeta/dias/1815/06/29/pdfs/GMD-1815-78.pdf#page=6","Abrir facsímil")</f>
        <v>Abrir facsímil</v>
      </c>
      <c r="K3173" s="3" t="s">
        <v>74</v>
      </c>
    </row>
    <row r="3174" spans="1:11" ht="42" customHeight="1">
      <c r="A3174" s="2" t="s">
        <v>7846</v>
      </c>
      <c r="B3174" s="2" t="s">
        <v>7847</v>
      </c>
      <c r="C3174" s="2" t="s">
        <v>17</v>
      </c>
      <c r="D3174" s="2" t="s">
        <v>18</v>
      </c>
      <c r="E3174" s="5">
        <v>-30804</v>
      </c>
      <c r="F3174" s="3" t="s">
        <v>891</v>
      </c>
      <c r="G3174" s="3" t="s">
        <v>38</v>
      </c>
      <c r="H3174" s="2" t="s">
        <v>72</v>
      </c>
      <c r="I3174" s="2" t="s">
        <v>7848</v>
      </c>
      <c r="J3174" s="3" t="str">
        <f>HYPERLINK("https://www.boe.es/gazeta/dias/1815/08/29/pdfs/GMD-1815-106.pdf#page=8","Abrir facsímil")</f>
        <v>Abrir facsímil</v>
      </c>
      <c r="K3174" s="3" t="s">
        <v>74</v>
      </c>
    </row>
    <row r="3175" spans="1:11" ht="42" customHeight="1">
      <c r="A3175" s="2" t="s">
        <v>7849</v>
      </c>
      <c r="B3175" s="2" t="s">
        <v>7849</v>
      </c>
      <c r="C3175" s="2" t="s">
        <v>195</v>
      </c>
      <c r="D3175" s="2" t="s">
        <v>50</v>
      </c>
      <c r="E3175" s="5">
        <v>-30874</v>
      </c>
      <c r="F3175" s="3" t="s">
        <v>208</v>
      </c>
      <c r="G3175" s="3" t="s">
        <v>71</v>
      </c>
      <c r="H3175" s="2" t="s">
        <v>72</v>
      </c>
      <c r="I3175" s="2" t="s">
        <v>7850</v>
      </c>
      <c r="J3175" s="3" t="str">
        <f>HYPERLINK("https://www.boe.es/gazeta/dias/1815/06/20/pdfs/GMD-1815-74.pdf#page=7","Abrir facsímil")</f>
        <v>Abrir facsímil</v>
      </c>
      <c r="K3175" s="3" t="s">
        <v>74</v>
      </c>
    </row>
    <row r="3176" spans="1:11" ht="42" customHeight="1">
      <c r="A3176" s="2" t="s">
        <v>7849</v>
      </c>
      <c r="B3176" s="2" t="s">
        <v>7849</v>
      </c>
      <c r="C3176" s="2" t="s">
        <v>17</v>
      </c>
      <c r="D3176" s="2" t="s">
        <v>18</v>
      </c>
      <c r="E3176" s="5">
        <v>-30842</v>
      </c>
      <c r="F3176" s="3" t="s">
        <v>126</v>
      </c>
      <c r="G3176" s="3" t="s">
        <v>88</v>
      </c>
      <c r="H3176" s="2" t="s">
        <v>72</v>
      </c>
      <c r="I3176" s="2" t="s">
        <v>7851</v>
      </c>
      <c r="J3176" s="3" t="str">
        <f>HYPERLINK("https://www.boe.es/gazeta/dias/1815/07/22/pdfs/GMD-1815-90.pdf#page=10","Abrir facsímil")</f>
        <v>Abrir facsímil</v>
      </c>
      <c r="K3176" s="3" t="s">
        <v>74</v>
      </c>
    </row>
    <row r="3177" spans="1:11" ht="42" customHeight="1">
      <c r="A3177" s="2" t="s">
        <v>7852</v>
      </c>
      <c r="B3177" s="2" t="s">
        <v>7853</v>
      </c>
      <c r="C3177" s="2" t="s">
        <v>31</v>
      </c>
      <c r="D3177" s="2" t="s">
        <v>32</v>
      </c>
      <c r="E3177" s="5">
        <v>-31028</v>
      </c>
      <c r="F3177" s="3" t="s">
        <v>517</v>
      </c>
      <c r="G3177" s="3" t="s">
        <v>88</v>
      </c>
      <c r="H3177" s="2" t="s">
        <v>72</v>
      </c>
      <c r="I3177" s="2" t="s">
        <v>7854</v>
      </c>
      <c r="J3177" s="3" t="str">
        <f>HYPERLINK("https://www.boe.es/gazeta/dias/1815/01/17/pdfs/GMD-1815-7.pdf#page=10","Abrir facsímil")</f>
        <v>Abrir facsímil</v>
      </c>
      <c r="K3177" s="3" t="s">
        <v>74</v>
      </c>
    </row>
    <row r="3178" spans="1:11" ht="42" customHeight="1">
      <c r="A3178" s="2" t="s">
        <v>7855</v>
      </c>
      <c r="B3178" s="2" t="s">
        <v>7856</v>
      </c>
      <c r="C3178" s="2" t="s">
        <v>49</v>
      </c>
      <c r="D3178" s="2" t="s">
        <v>50</v>
      </c>
      <c r="E3178" s="5">
        <v>-30865</v>
      </c>
      <c r="F3178" s="3" t="s">
        <v>163</v>
      </c>
      <c r="G3178" s="3" t="s">
        <v>71</v>
      </c>
      <c r="H3178" s="2" t="s">
        <v>72</v>
      </c>
      <c r="I3178" s="2" t="s">
        <v>7857</v>
      </c>
      <c r="J3178" s="3" t="str">
        <f>HYPERLINK("https://www.boe.es/gazeta/dias/1815/06/29/pdfs/GMD-1815-78.pdf#page=7","Abrir facsímil")</f>
        <v>Abrir facsímil</v>
      </c>
      <c r="K3178" s="3" t="s">
        <v>74</v>
      </c>
    </row>
    <row r="3179" spans="1:11" ht="42" customHeight="1">
      <c r="A3179" s="2" t="s">
        <v>7858</v>
      </c>
      <c r="B3179" s="2" t="s">
        <v>7859</v>
      </c>
      <c r="C3179" s="2" t="s">
        <v>49</v>
      </c>
      <c r="D3179" s="2" t="s">
        <v>50</v>
      </c>
      <c r="E3179" s="5">
        <v>-30958</v>
      </c>
      <c r="F3179" s="3" t="s">
        <v>297</v>
      </c>
      <c r="G3179" s="3" t="s">
        <v>27</v>
      </c>
      <c r="H3179" s="2" t="s">
        <v>72</v>
      </c>
      <c r="I3179" s="2" t="s">
        <v>7860</v>
      </c>
      <c r="J3179" s="3" t="str">
        <f>HYPERLINK("https://www.boe.es/gazeta/dias/1815/03/28/pdfs/GMD-1815-37.pdf#page=6","Abrir facsímil")</f>
        <v>Abrir facsímil</v>
      </c>
      <c r="K3179" s="3" t="s">
        <v>74</v>
      </c>
    </row>
    <row r="3180" spans="1:11" ht="42" customHeight="1">
      <c r="A3180" s="2" t="s">
        <v>7861</v>
      </c>
      <c r="B3180" s="2" t="s">
        <v>7861</v>
      </c>
      <c r="C3180" s="2" t="s">
        <v>49</v>
      </c>
      <c r="D3180" s="2" t="s">
        <v>50</v>
      </c>
      <c r="E3180" s="5">
        <v>-30886</v>
      </c>
      <c r="F3180" s="3" t="s">
        <v>140</v>
      </c>
      <c r="G3180" s="3" t="s">
        <v>38</v>
      </c>
      <c r="H3180" s="2" t="s">
        <v>72</v>
      </c>
      <c r="I3180" s="2" t="s">
        <v>7862</v>
      </c>
      <c r="J3180" s="3" t="str">
        <f>HYPERLINK("https://www.boe.es/gazeta/dias/1815/06/08/pdfs/GMD-1815-69.pdf#page=8","Abrir facsímil")</f>
        <v>Abrir facsímil</v>
      </c>
      <c r="K3180" s="3" t="s">
        <v>74</v>
      </c>
    </row>
    <row r="3181" spans="1:11" ht="42" customHeight="1">
      <c r="A3181" s="2" t="s">
        <v>7861</v>
      </c>
      <c r="B3181" s="2" t="s">
        <v>7861</v>
      </c>
      <c r="C3181" s="2" t="s">
        <v>31</v>
      </c>
      <c r="D3181" s="2" t="s">
        <v>32</v>
      </c>
      <c r="E3181" s="5">
        <v>-30870</v>
      </c>
      <c r="F3181" s="3" t="s">
        <v>122</v>
      </c>
      <c r="G3181" s="3" t="s">
        <v>38</v>
      </c>
      <c r="H3181" s="2" t="s">
        <v>72</v>
      </c>
      <c r="I3181" s="2" t="s">
        <v>7863</v>
      </c>
      <c r="J3181" s="3" t="str">
        <f>HYPERLINK("https://www.boe.es/gazeta/dias/1815/06/24/pdfs/GMD-1815-76.pdf#page=8","Abrir facsímil")</f>
        <v>Abrir facsímil</v>
      </c>
      <c r="K3181" s="3" t="s">
        <v>74</v>
      </c>
    </row>
    <row r="3182" spans="1:11" ht="42" customHeight="1">
      <c r="A3182" s="2" t="s">
        <v>7861</v>
      </c>
      <c r="B3182" s="2" t="s">
        <v>7861</v>
      </c>
      <c r="C3182" s="2" t="s">
        <v>17</v>
      </c>
      <c r="D3182" s="2" t="s">
        <v>18</v>
      </c>
      <c r="E3182" s="5">
        <v>-30751</v>
      </c>
      <c r="F3182" s="3" t="s">
        <v>819</v>
      </c>
      <c r="G3182" s="3" t="s">
        <v>820</v>
      </c>
      <c r="H3182" s="2" t="s">
        <v>72</v>
      </c>
      <c r="I3182" s="2" t="s">
        <v>7864</v>
      </c>
      <c r="J3182" s="3" t="str">
        <f>HYPERLINK("https://www.boe.es/gazeta/dias/1815/10/21/pdfs/GMD-1815-132.pdf#page=4","Abrir facsímil")</f>
        <v>Abrir facsímil</v>
      </c>
      <c r="K3182" s="3" t="s">
        <v>74</v>
      </c>
    </row>
    <row r="3183" spans="1:11" ht="42" customHeight="1">
      <c r="A3183" s="2" t="s">
        <v>7865</v>
      </c>
      <c r="B3183" s="2" t="s">
        <v>7866</v>
      </c>
      <c r="C3183" s="2" t="s">
        <v>49</v>
      </c>
      <c r="D3183" s="2" t="s">
        <v>50</v>
      </c>
      <c r="E3183" s="5">
        <v>-30835</v>
      </c>
      <c r="F3183" s="3" t="s">
        <v>544</v>
      </c>
      <c r="G3183" s="3" t="s">
        <v>88</v>
      </c>
      <c r="H3183" s="2" t="s">
        <v>72</v>
      </c>
      <c r="I3183" s="2" t="s">
        <v>7867</v>
      </c>
      <c r="J3183" s="3" t="str">
        <f>HYPERLINK("https://www.boe.es/gazeta/dias/1815/07/29/pdfs/GMD-1815-93.pdf#page=10","Abrir facsímil")</f>
        <v>Abrir facsímil</v>
      </c>
      <c r="K3183" s="3" t="s">
        <v>74</v>
      </c>
    </row>
    <row r="3184" spans="1:11" ht="42" customHeight="1">
      <c r="A3184" s="2" t="s">
        <v>7868</v>
      </c>
      <c r="B3184" s="2" t="s">
        <v>7869</v>
      </c>
      <c r="C3184" s="2" t="s">
        <v>49</v>
      </c>
      <c r="D3184" s="2" t="s">
        <v>50</v>
      </c>
      <c r="E3184" s="5">
        <v>-30832</v>
      </c>
      <c r="F3184" s="3" t="s">
        <v>266</v>
      </c>
      <c r="G3184" s="3" t="s">
        <v>88</v>
      </c>
      <c r="H3184" s="2" t="s">
        <v>72</v>
      </c>
      <c r="I3184" s="2" t="s">
        <v>7870</v>
      </c>
      <c r="J3184" s="3" t="str">
        <f>HYPERLINK("https://www.boe.es/gazeta/dias/1815/08/01/pdfs/GMD-1815-94.pdf#page=10","Abrir facsímil")</f>
        <v>Abrir facsímil</v>
      </c>
      <c r="K3184" s="3" t="s">
        <v>74</v>
      </c>
    </row>
    <row r="3185" spans="1:11" ht="42" customHeight="1">
      <c r="A3185" s="2" t="s">
        <v>7871</v>
      </c>
      <c r="B3185" s="2" t="s">
        <v>7871</v>
      </c>
      <c r="C3185" s="2" t="s">
        <v>17</v>
      </c>
      <c r="D3185" s="2" t="s">
        <v>18</v>
      </c>
      <c r="E3185" s="5">
        <v>-30732</v>
      </c>
      <c r="F3185" s="3" t="s">
        <v>554</v>
      </c>
      <c r="G3185" s="3" t="s">
        <v>377</v>
      </c>
      <c r="H3185" s="2" t="s">
        <v>72</v>
      </c>
      <c r="I3185" s="2" t="s">
        <v>7872</v>
      </c>
      <c r="J3185" s="3" t="str">
        <f>HYPERLINK("https://www.boe.es/gazeta/dias/1815/11/09/pdfs/GMD-1815-140.pdf#page=2","Abrir facsímil")</f>
        <v>Abrir facsímil</v>
      </c>
      <c r="K3185" s="3" t="s">
        <v>74</v>
      </c>
    </row>
    <row r="3186" spans="1:11" ht="42" customHeight="1">
      <c r="A3186" s="2" t="s">
        <v>7873</v>
      </c>
      <c r="B3186" s="2" t="s">
        <v>7873</v>
      </c>
      <c r="C3186" s="2" t="s">
        <v>81</v>
      </c>
      <c r="D3186" s="2" t="s">
        <v>50</v>
      </c>
      <c r="E3186" s="5">
        <v>-30979</v>
      </c>
      <c r="F3186" s="3" t="s">
        <v>56</v>
      </c>
      <c r="G3186" s="3" t="s">
        <v>38</v>
      </c>
      <c r="H3186" s="2" t="s">
        <v>72</v>
      </c>
      <c r="I3186" s="2" t="s">
        <v>7874</v>
      </c>
      <c r="J3186" s="3" t="str">
        <f>HYPERLINK("https://www.boe.es/gazeta/dias/1815/03/07/pdfs/GMD-1815-28.pdf#page=8","Abrir facsímil")</f>
        <v>Abrir facsímil</v>
      </c>
      <c r="K3186" s="3" t="s">
        <v>74</v>
      </c>
    </row>
    <row r="3187" spans="1:11" ht="42" customHeight="1">
      <c r="A3187" s="2" t="s">
        <v>7875</v>
      </c>
      <c r="B3187" s="2" t="s">
        <v>7876</v>
      </c>
      <c r="C3187" s="2" t="s">
        <v>49</v>
      </c>
      <c r="D3187" s="2" t="s">
        <v>50</v>
      </c>
      <c r="E3187" s="5">
        <v>-30870</v>
      </c>
      <c r="F3187" s="3" t="s">
        <v>122</v>
      </c>
      <c r="G3187" s="3" t="s">
        <v>88</v>
      </c>
      <c r="H3187" s="2" t="s">
        <v>72</v>
      </c>
      <c r="I3187" s="2" t="s">
        <v>7877</v>
      </c>
      <c r="J3187" s="3" t="str">
        <f>HYPERLINK("https://www.boe.es/gazeta/dias/1815/06/24/pdfs/GMD-1815-76.pdf#page=10","Abrir facsímil")</f>
        <v>Abrir facsímil</v>
      </c>
      <c r="K3187" s="3" t="s">
        <v>74</v>
      </c>
    </row>
    <row r="3188" spans="1:11" ht="42" customHeight="1">
      <c r="A3188" s="2" t="s">
        <v>7878</v>
      </c>
      <c r="B3188" s="2" t="s">
        <v>7879</v>
      </c>
      <c r="C3188" s="2" t="s">
        <v>31</v>
      </c>
      <c r="D3188" s="2" t="s">
        <v>32</v>
      </c>
      <c r="E3188" s="5">
        <v>-31017</v>
      </c>
      <c r="F3188" s="3" t="s">
        <v>456</v>
      </c>
      <c r="G3188" s="3" t="s">
        <v>2373</v>
      </c>
      <c r="H3188" s="2" t="s">
        <v>21</v>
      </c>
      <c r="I3188" s="2" t="s">
        <v>7880</v>
      </c>
      <c r="J3188" s="3" t="str">
        <f>HYPERLINK("https://www.boe.es/gazeta/dias/1815/01/28/pdfs/GMD-1815-12.pdf#page=7","Abrir facsímil")</f>
        <v>Abrir facsímil</v>
      </c>
      <c r="K3188" s="3" t="s">
        <v>23</v>
      </c>
    </row>
    <row r="3189" spans="1:11" ht="42" customHeight="1">
      <c r="A3189" s="2" t="s">
        <v>7881</v>
      </c>
      <c r="B3189" s="2" t="s">
        <v>7882</v>
      </c>
      <c r="C3189" s="2" t="s">
        <v>17</v>
      </c>
      <c r="D3189" s="2" t="s">
        <v>18</v>
      </c>
      <c r="E3189" s="5">
        <v>-30963</v>
      </c>
      <c r="F3189" s="3" t="s">
        <v>879</v>
      </c>
      <c r="G3189" s="3" t="s">
        <v>38</v>
      </c>
      <c r="H3189" s="2" t="s">
        <v>72</v>
      </c>
      <c r="I3189" s="2" t="s">
        <v>7883</v>
      </c>
      <c r="J3189" s="3" t="str">
        <f>HYPERLINK("https://www.boe.es/gazeta/dias/1815/03/23/pdfs/GMD-1815-35.pdf#page=8","Abrir facsímil")</f>
        <v>Abrir facsímil</v>
      </c>
      <c r="K3189" s="3" t="s">
        <v>74</v>
      </c>
    </row>
    <row r="3190" spans="1:11" ht="42" customHeight="1">
      <c r="A3190" s="2" t="s">
        <v>7884</v>
      </c>
      <c r="B3190" s="2" t="s">
        <v>7884</v>
      </c>
      <c r="C3190" s="2" t="s">
        <v>17</v>
      </c>
      <c r="D3190" s="2" t="s">
        <v>18</v>
      </c>
      <c r="E3190" s="5">
        <v>-30944</v>
      </c>
      <c r="F3190" s="3" t="s">
        <v>412</v>
      </c>
      <c r="G3190" s="3" t="s">
        <v>410</v>
      </c>
      <c r="H3190" s="2" t="s">
        <v>72</v>
      </c>
      <c r="I3190" s="2" t="s">
        <v>7885</v>
      </c>
      <c r="J3190" s="3" t="str">
        <f>HYPERLINK("https://www.boe.es/gazeta/dias/1815/04/11/pdfs/GMD-1815-44.pdf#page=1","Abrir facsímil")</f>
        <v>Abrir facsímil</v>
      </c>
      <c r="K3190" s="3" t="s">
        <v>74</v>
      </c>
    </row>
    <row r="3191" spans="1:11" ht="42" customHeight="1">
      <c r="A3191" s="2" t="s">
        <v>7886</v>
      </c>
      <c r="B3191" s="2" t="s">
        <v>7887</v>
      </c>
      <c r="C3191" s="2" t="s">
        <v>31</v>
      </c>
      <c r="D3191" s="2" t="s">
        <v>32</v>
      </c>
      <c r="E3191" s="5">
        <v>-30954</v>
      </c>
      <c r="F3191" s="3" t="s">
        <v>409</v>
      </c>
      <c r="G3191" s="3" t="s">
        <v>71</v>
      </c>
      <c r="H3191" s="2" t="s">
        <v>72</v>
      </c>
      <c r="I3191" s="2" t="s">
        <v>7888</v>
      </c>
      <c r="J3191" s="3" t="str">
        <f>HYPERLINK("https://www.boe.es/gazeta/dias/1815/04/01/pdfs/GMD-1815-39.pdf#page=7","Abrir facsímil")</f>
        <v>Abrir facsímil</v>
      </c>
      <c r="K3191" s="3" t="s">
        <v>74</v>
      </c>
    </row>
    <row r="3192" spans="1:11" ht="42" customHeight="1">
      <c r="A3192" s="2" t="s">
        <v>7889</v>
      </c>
      <c r="B3192" s="2" t="s">
        <v>7890</v>
      </c>
      <c r="C3192" s="2" t="s">
        <v>897</v>
      </c>
      <c r="D3192" s="2" t="s">
        <v>50</v>
      </c>
      <c r="E3192" s="5">
        <v>-30940</v>
      </c>
      <c r="F3192" s="3" t="s">
        <v>610</v>
      </c>
      <c r="G3192" s="3" t="s">
        <v>38</v>
      </c>
      <c r="H3192" s="2" t="s">
        <v>72</v>
      </c>
      <c r="I3192" s="2" t="s">
        <v>7891</v>
      </c>
      <c r="J3192" s="3" t="str">
        <f>HYPERLINK("https://www.boe.es/gazeta/dias/1815/04/15/pdfs/GMD-1815-46.pdf#page=8","Abrir facsímil")</f>
        <v>Abrir facsímil</v>
      </c>
      <c r="K3192" s="3" t="s">
        <v>74</v>
      </c>
    </row>
    <row r="3193" spans="1:11" ht="42" customHeight="1">
      <c r="A3193" s="2" t="s">
        <v>7892</v>
      </c>
      <c r="B3193" s="2" t="s">
        <v>7892</v>
      </c>
      <c r="C3193" s="2" t="s">
        <v>31</v>
      </c>
      <c r="D3193" s="2" t="s">
        <v>32</v>
      </c>
      <c r="E3193" s="5">
        <v>-30921</v>
      </c>
      <c r="F3193" s="3" t="s">
        <v>191</v>
      </c>
      <c r="G3193" s="3" t="s">
        <v>410</v>
      </c>
      <c r="H3193" s="2" t="s">
        <v>72</v>
      </c>
      <c r="I3193" s="2" t="s">
        <v>7893</v>
      </c>
      <c r="J3193" s="3" t="str">
        <f>HYPERLINK("https://www.boe.es/gazeta/dias/1815/05/04/pdfs/GMD-1815-54.pdf#page=1","Abrir facsímil")</f>
        <v>Abrir facsímil</v>
      </c>
      <c r="K3193" s="3" t="s">
        <v>74</v>
      </c>
    </row>
    <row r="3194" spans="1:11" ht="42" customHeight="1">
      <c r="A3194" s="2" t="s">
        <v>7894</v>
      </c>
      <c r="B3194" s="2" t="s">
        <v>7895</v>
      </c>
      <c r="C3194" s="2" t="s">
        <v>31</v>
      </c>
      <c r="D3194" s="2" t="s">
        <v>32</v>
      </c>
      <c r="E3194" s="5">
        <v>-30940</v>
      </c>
      <c r="F3194" s="3" t="s">
        <v>610</v>
      </c>
      <c r="G3194" s="3" t="s">
        <v>38</v>
      </c>
      <c r="H3194" s="2" t="s">
        <v>21</v>
      </c>
      <c r="I3194" s="2" t="s">
        <v>7896</v>
      </c>
      <c r="J3194" s="3" t="str">
        <f>HYPERLINK("https://www.boe.es/gazeta/dias/1815/04/15/pdfs/GMD-1815-46.pdf#page=8","Abrir facsímil")</f>
        <v>Abrir facsímil</v>
      </c>
      <c r="K3194" s="3" t="s">
        <v>23</v>
      </c>
    </row>
    <row r="3195" spans="1:11" ht="42" customHeight="1">
      <c r="A3195" s="2" t="s">
        <v>7897</v>
      </c>
      <c r="B3195" s="2" t="s">
        <v>7898</v>
      </c>
      <c r="C3195" s="2" t="s">
        <v>61</v>
      </c>
      <c r="D3195" s="2" t="s">
        <v>50</v>
      </c>
      <c r="E3195" s="5">
        <v>-30879</v>
      </c>
      <c r="F3195" s="3" t="s">
        <v>754</v>
      </c>
      <c r="G3195" s="3" t="s">
        <v>276</v>
      </c>
      <c r="H3195" s="2" t="s">
        <v>21</v>
      </c>
      <c r="I3195" s="2" t="s">
        <v>7899</v>
      </c>
      <c r="J3195" s="3" t="str">
        <f>HYPERLINK("https://www.boe.es/gazeta/dias/1815/06/15/pdfs/GMD-1815-72.pdf#page=12","Abrir facsímil")</f>
        <v>Abrir facsímil</v>
      </c>
      <c r="K3195" s="3" t="s">
        <v>23</v>
      </c>
    </row>
    <row r="3196" spans="1:11" ht="42" customHeight="1">
      <c r="A3196" s="2" t="s">
        <v>7900</v>
      </c>
      <c r="B3196" s="2" t="s">
        <v>7901</v>
      </c>
      <c r="C3196" s="2" t="s">
        <v>17</v>
      </c>
      <c r="D3196" s="2" t="s">
        <v>18</v>
      </c>
      <c r="E3196" s="5">
        <v>-30972</v>
      </c>
      <c r="F3196" s="3" t="s">
        <v>1382</v>
      </c>
      <c r="G3196" s="3" t="s">
        <v>20</v>
      </c>
      <c r="H3196" s="2" t="s">
        <v>21</v>
      </c>
      <c r="I3196" s="2" t="s">
        <v>7902</v>
      </c>
      <c r="J3196" s="3" t="str">
        <f>HYPERLINK("https://www.boe.es/gazeta/dias/1815/03/14/pdfs/GMD-1815-31.pdf#page=4","Abrir facsímil")</f>
        <v>Abrir facsímil</v>
      </c>
      <c r="K3196" s="3" t="s">
        <v>23</v>
      </c>
    </row>
    <row r="3197" spans="1:11" ht="42" customHeight="1">
      <c r="A3197" s="2" t="s">
        <v>7903</v>
      </c>
      <c r="B3197" s="2" t="s">
        <v>7904</v>
      </c>
      <c r="C3197" s="2" t="s">
        <v>49</v>
      </c>
      <c r="D3197" s="2" t="s">
        <v>50</v>
      </c>
      <c r="E3197" s="5">
        <v>-30886</v>
      </c>
      <c r="F3197" s="3" t="s">
        <v>140</v>
      </c>
      <c r="G3197" s="3" t="s">
        <v>88</v>
      </c>
      <c r="H3197" s="2" t="s">
        <v>21</v>
      </c>
      <c r="I3197" s="2" t="s">
        <v>7905</v>
      </c>
      <c r="J3197" s="3" t="str">
        <f>HYPERLINK("https://www.boe.es/gazeta/dias/1815/06/08/pdfs/GMD-1815-69.pdf#page=10","Abrir facsímil")</f>
        <v>Abrir facsímil</v>
      </c>
      <c r="K3197" s="3" t="s">
        <v>23</v>
      </c>
    </row>
    <row r="3198" spans="1:11" ht="42" customHeight="1">
      <c r="A3198" s="2" t="s">
        <v>7906</v>
      </c>
      <c r="B3198" s="2" t="s">
        <v>7907</v>
      </c>
      <c r="C3198" s="2" t="s">
        <v>195</v>
      </c>
      <c r="D3198" s="2" t="s">
        <v>50</v>
      </c>
      <c r="E3198" s="5">
        <v>-30888</v>
      </c>
      <c r="F3198" s="3" t="s">
        <v>368</v>
      </c>
      <c r="G3198" s="3" t="s">
        <v>224</v>
      </c>
      <c r="H3198" s="2" t="s">
        <v>21</v>
      </c>
      <c r="I3198" s="2" t="s">
        <v>7908</v>
      </c>
      <c r="J3198" s="3" t="str">
        <f>HYPERLINK("https://www.boe.es/gazeta/dias/1815/06/06/pdfs/GMD-1815-68.pdf#page=9","Abrir facsímil")</f>
        <v>Abrir facsímil</v>
      </c>
      <c r="K3198" s="3" t="s">
        <v>23</v>
      </c>
    </row>
    <row r="3199" spans="1:11" ht="42" customHeight="1">
      <c r="A3199" s="2" t="s">
        <v>7909</v>
      </c>
      <c r="B3199" s="2" t="s">
        <v>7909</v>
      </c>
      <c r="C3199" s="2" t="s">
        <v>31</v>
      </c>
      <c r="D3199" s="2" t="s">
        <v>32</v>
      </c>
      <c r="E3199" s="5">
        <v>-31028</v>
      </c>
      <c r="F3199" s="3" t="s">
        <v>517</v>
      </c>
      <c r="G3199" s="3" t="s">
        <v>88</v>
      </c>
      <c r="H3199" s="2" t="s">
        <v>72</v>
      </c>
      <c r="I3199" s="2" t="s">
        <v>7910</v>
      </c>
      <c r="J3199" s="3" t="str">
        <f>HYPERLINK("https://www.boe.es/gazeta/dias/1815/01/17/pdfs/GMD-1815-7.pdf#page=10","Abrir facsímil")</f>
        <v>Abrir facsímil</v>
      </c>
      <c r="K3199" s="3" t="s">
        <v>74</v>
      </c>
    </row>
    <row r="3200" spans="1:11" ht="42" customHeight="1">
      <c r="A3200" s="2" t="s">
        <v>7909</v>
      </c>
      <c r="B3200" s="2" t="s">
        <v>7909</v>
      </c>
      <c r="C3200" s="2" t="s">
        <v>195</v>
      </c>
      <c r="D3200" s="2" t="s">
        <v>50</v>
      </c>
      <c r="E3200" s="5">
        <v>-30963</v>
      </c>
      <c r="F3200" s="3" t="s">
        <v>879</v>
      </c>
      <c r="G3200" s="3" t="s">
        <v>71</v>
      </c>
      <c r="H3200" s="2" t="s">
        <v>72</v>
      </c>
      <c r="I3200" s="2" t="s">
        <v>7911</v>
      </c>
      <c r="J3200" s="3" t="str">
        <f>HYPERLINK("https://www.boe.es/gazeta/dias/1815/03/23/pdfs/GMD-1815-35.pdf#page=7","Abrir facsímil")</f>
        <v>Abrir facsímil</v>
      </c>
      <c r="K3200" s="3" t="s">
        <v>74</v>
      </c>
    </row>
    <row r="3201" spans="1:11" ht="42" customHeight="1">
      <c r="A3201" s="2" t="s">
        <v>7909</v>
      </c>
      <c r="B3201" s="2" t="s">
        <v>7909</v>
      </c>
      <c r="C3201" s="2" t="s">
        <v>31</v>
      </c>
      <c r="D3201" s="2" t="s">
        <v>32</v>
      </c>
      <c r="E3201" s="5">
        <v>-30916</v>
      </c>
      <c r="F3201" s="3" t="s">
        <v>147</v>
      </c>
      <c r="G3201" s="3" t="s">
        <v>148</v>
      </c>
      <c r="H3201" s="2" t="s">
        <v>72</v>
      </c>
      <c r="I3201" s="2" t="s">
        <v>7912</v>
      </c>
      <c r="J3201" s="3" t="str">
        <f>HYPERLINK("https://www.boe.es/gazeta/dias/1815/05/09/pdfs/GMD-1815-56.pdf#page=7","Abrir facsímil")</f>
        <v>Abrir facsímil</v>
      </c>
      <c r="K3201" s="3" t="s">
        <v>74</v>
      </c>
    </row>
    <row r="3202" spans="1:11" ht="42" customHeight="1">
      <c r="A3202" s="2" t="s">
        <v>7909</v>
      </c>
      <c r="B3202" s="2" t="s">
        <v>7909</v>
      </c>
      <c r="C3202" s="2" t="s">
        <v>17</v>
      </c>
      <c r="D3202" s="2" t="s">
        <v>18</v>
      </c>
      <c r="E3202" s="5">
        <v>-30916</v>
      </c>
      <c r="F3202" s="3" t="s">
        <v>147</v>
      </c>
      <c r="G3202" s="3" t="s">
        <v>52</v>
      </c>
      <c r="H3202" s="2" t="s">
        <v>72</v>
      </c>
      <c r="I3202" s="2" t="s">
        <v>7913</v>
      </c>
      <c r="J3202" s="3" t="str">
        <f>HYPERLINK("https://www.boe.es/gazeta/dias/1815/05/09/pdfs/GMD-1815-56.pdf#page=11","Abrir facsímil")</f>
        <v>Abrir facsímil</v>
      </c>
      <c r="K3202" s="3" t="s">
        <v>74</v>
      </c>
    </row>
    <row r="3203" spans="1:11" ht="42" customHeight="1">
      <c r="A3203" s="2" t="s">
        <v>7909</v>
      </c>
      <c r="B3203" s="2" t="s">
        <v>7909</v>
      </c>
      <c r="C3203" s="2" t="s">
        <v>31</v>
      </c>
      <c r="D3203" s="2" t="s">
        <v>32</v>
      </c>
      <c r="E3203" s="5">
        <v>-30898</v>
      </c>
      <c r="F3203" s="3" t="s">
        <v>212</v>
      </c>
      <c r="G3203" s="3" t="s">
        <v>27</v>
      </c>
      <c r="H3203" s="2" t="s">
        <v>72</v>
      </c>
      <c r="I3203" s="2" t="s">
        <v>7914</v>
      </c>
      <c r="J3203" s="3" t="str">
        <f>HYPERLINK("https://www.boe.es/gazeta/dias/1815/05/27/pdfs/GMD-1815-64.pdf#page=6","Abrir facsímil")</f>
        <v>Abrir facsímil</v>
      </c>
      <c r="K3203" s="3" t="s">
        <v>74</v>
      </c>
    </row>
    <row r="3204" spans="1:11" ht="42" customHeight="1">
      <c r="A3204" s="2" t="s">
        <v>7909</v>
      </c>
      <c r="B3204" s="2" t="s">
        <v>7909</v>
      </c>
      <c r="C3204" s="2" t="s">
        <v>195</v>
      </c>
      <c r="D3204" s="2" t="s">
        <v>50</v>
      </c>
      <c r="E3204" s="5">
        <v>-30874</v>
      </c>
      <c r="F3204" s="3" t="s">
        <v>208</v>
      </c>
      <c r="G3204" s="3" t="s">
        <v>71</v>
      </c>
      <c r="H3204" s="2" t="s">
        <v>72</v>
      </c>
      <c r="I3204" s="2" t="s">
        <v>7915</v>
      </c>
      <c r="J3204" s="3" t="str">
        <f>HYPERLINK("https://www.boe.es/gazeta/dias/1815/06/20/pdfs/GMD-1815-74.pdf#page=7","Abrir facsímil")</f>
        <v>Abrir facsímil</v>
      </c>
      <c r="K3204" s="3" t="s">
        <v>74</v>
      </c>
    </row>
    <row r="3205" spans="1:11" ht="42" customHeight="1">
      <c r="A3205" s="2" t="s">
        <v>7909</v>
      </c>
      <c r="B3205" s="2" t="s">
        <v>7909</v>
      </c>
      <c r="C3205" s="2" t="s">
        <v>31</v>
      </c>
      <c r="D3205" s="2" t="s">
        <v>32</v>
      </c>
      <c r="E3205" s="5">
        <v>-30874</v>
      </c>
      <c r="F3205" s="3" t="s">
        <v>208</v>
      </c>
      <c r="G3205" s="3" t="s">
        <v>224</v>
      </c>
      <c r="H3205" s="2" t="s">
        <v>72</v>
      </c>
      <c r="I3205" s="2" t="s">
        <v>7916</v>
      </c>
      <c r="J3205" s="3" t="str">
        <f>HYPERLINK("https://www.boe.es/gazeta/dias/1815/06/20/pdfs/GMD-1815-74.pdf#page=9","Abrir facsímil")</f>
        <v>Abrir facsímil</v>
      </c>
      <c r="K3205" s="3" t="s">
        <v>74</v>
      </c>
    </row>
    <row r="3206" spans="1:11" ht="42" customHeight="1">
      <c r="A3206" s="2" t="s">
        <v>7909</v>
      </c>
      <c r="B3206" s="2" t="s">
        <v>7909</v>
      </c>
      <c r="C3206" s="2" t="s">
        <v>49</v>
      </c>
      <c r="D3206" s="2" t="s">
        <v>50</v>
      </c>
      <c r="E3206" s="5">
        <v>-30865</v>
      </c>
      <c r="F3206" s="3" t="s">
        <v>163</v>
      </c>
      <c r="G3206" s="3" t="s">
        <v>71</v>
      </c>
      <c r="H3206" s="2" t="s">
        <v>72</v>
      </c>
      <c r="I3206" s="2" t="s">
        <v>7917</v>
      </c>
      <c r="J3206" s="3" t="str">
        <f>HYPERLINK("https://www.boe.es/gazeta/dias/1815/06/29/pdfs/GMD-1815-78.pdf#page=7","Abrir facsímil")</f>
        <v>Abrir facsímil</v>
      </c>
      <c r="K3206" s="3" t="s">
        <v>74</v>
      </c>
    </row>
    <row r="3207" spans="1:11" ht="42" customHeight="1">
      <c r="A3207" s="2" t="s">
        <v>7909</v>
      </c>
      <c r="B3207" s="2" t="s">
        <v>7909</v>
      </c>
      <c r="C3207" s="2" t="s">
        <v>31</v>
      </c>
      <c r="D3207" s="2" t="s">
        <v>32</v>
      </c>
      <c r="E3207" s="5">
        <v>-30807</v>
      </c>
      <c r="F3207" s="3" t="s">
        <v>586</v>
      </c>
      <c r="G3207" s="3" t="s">
        <v>20</v>
      </c>
      <c r="H3207" s="2" t="s">
        <v>72</v>
      </c>
      <c r="I3207" s="2" t="s">
        <v>7918</v>
      </c>
      <c r="J3207" s="3" t="str">
        <f>HYPERLINK("https://www.boe.es/gazeta/dias/1815/08/26/pdfs/GMD-1815-105.pdf#page=4","Abrir facsímil")</f>
        <v>Abrir facsímil</v>
      </c>
      <c r="K3207" s="3" t="s">
        <v>74</v>
      </c>
    </row>
    <row r="3208" spans="1:11" ht="42" customHeight="1">
      <c r="A3208" s="2" t="s">
        <v>7909</v>
      </c>
      <c r="B3208" s="2" t="s">
        <v>7909</v>
      </c>
      <c r="C3208" s="2" t="s">
        <v>31</v>
      </c>
      <c r="D3208" s="2" t="s">
        <v>32</v>
      </c>
      <c r="E3208" s="5">
        <v>-30795</v>
      </c>
      <c r="F3208" s="3" t="s">
        <v>172</v>
      </c>
      <c r="G3208" s="3" t="s">
        <v>71</v>
      </c>
      <c r="H3208" s="2" t="s">
        <v>72</v>
      </c>
      <c r="I3208" s="2" t="s">
        <v>7919</v>
      </c>
      <c r="J3208" s="3" t="str">
        <f>HYPERLINK("https://www.boe.es/gazeta/dias/1815/09/07/pdfs/GMD-1815-111.pdf#page=7","Abrir facsímil")</f>
        <v>Abrir facsímil</v>
      </c>
      <c r="K3208" s="3" t="s">
        <v>74</v>
      </c>
    </row>
    <row r="3209" spans="1:11" ht="42" customHeight="1">
      <c r="A3209" s="2" t="s">
        <v>7909</v>
      </c>
      <c r="B3209" s="2" t="s">
        <v>7909</v>
      </c>
      <c r="C3209" s="2" t="s">
        <v>31</v>
      </c>
      <c r="D3209" s="2" t="s">
        <v>32</v>
      </c>
      <c r="E3209" s="5">
        <v>-30783</v>
      </c>
      <c r="F3209" s="3" t="s">
        <v>423</v>
      </c>
      <c r="G3209" s="3" t="s">
        <v>71</v>
      </c>
      <c r="H3209" s="2" t="s">
        <v>72</v>
      </c>
      <c r="I3209" s="2" t="s">
        <v>7920</v>
      </c>
      <c r="J3209" s="3" t="str">
        <f>HYPERLINK("https://www.boe.es/gazeta/dias/1815/09/19/pdfs/GMD-1815-116.pdf#page=7","Abrir facsímil")</f>
        <v>Abrir facsímil</v>
      </c>
      <c r="K3209" s="3" t="s">
        <v>74</v>
      </c>
    </row>
    <row r="3210" spans="1:11" ht="42" customHeight="1">
      <c r="A3210" s="2" t="s">
        <v>7909</v>
      </c>
      <c r="B3210" s="2" t="s">
        <v>7909</v>
      </c>
      <c r="C3210" s="2" t="s">
        <v>31</v>
      </c>
      <c r="D3210" s="2" t="s">
        <v>32</v>
      </c>
      <c r="E3210" s="5">
        <v>-30741</v>
      </c>
      <c r="F3210" s="3" t="s">
        <v>1000</v>
      </c>
      <c r="G3210" s="3" t="s">
        <v>38</v>
      </c>
      <c r="H3210" s="2" t="s">
        <v>72</v>
      </c>
      <c r="I3210" s="2" t="s">
        <v>7921</v>
      </c>
      <c r="J3210" s="3" t="str">
        <f>HYPERLINK("https://www.boe.es/gazeta/dias/1815/10/31/pdfs/GMD-1815-136.pdf#page=8","Abrir facsímil")</f>
        <v>Abrir facsímil</v>
      </c>
      <c r="K3210" s="3" t="s">
        <v>74</v>
      </c>
    </row>
    <row r="3211" spans="1:11" ht="42" customHeight="1">
      <c r="A3211" s="2" t="s">
        <v>7909</v>
      </c>
      <c r="B3211" s="2" t="s">
        <v>7909</v>
      </c>
      <c r="C3211" s="2" t="s">
        <v>17</v>
      </c>
      <c r="D3211" s="2" t="s">
        <v>18</v>
      </c>
      <c r="E3211" s="5">
        <v>-30723</v>
      </c>
      <c r="F3211" s="3" t="s">
        <v>77</v>
      </c>
      <c r="G3211" s="3" t="s">
        <v>38</v>
      </c>
      <c r="H3211" s="2" t="s">
        <v>72</v>
      </c>
      <c r="I3211" s="2" t="s">
        <v>7922</v>
      </c>
      <c r="J3211" s="3" t="str">
        <f>HYPERLINK("https://www.boe.es/gazeta/dias/1815/11/18/pdfs/GMD-1815-144.pdf#page=8","Abrir facsímil")</f>
        <v>Abrir facsímil</v>
      </c>
      <c r="K3211" s="3" t="s">
        <v>74</v>
      </c>
    </row>
    <row r="3212" spans="1:11" ht="42" customHeight="1">
      <c r="A3212" s="2" t="s">
        <v>7909</v>
      </c>
      <c r="B3212" s="2" t="s">
        <v>7909</v>
      </c>
      <c r="C3212" s="2" t="s">
        <v>31</v>
      </c>
      <c r="D3212" s="2" t="s">
        <v>32</v>
      </c>
      <c r="E3212" s="5">
        <v>-30716</v>
      </c>
      <c r="F3212" s="3" t="s">
        <v>589</v>
      </c>
      <c r="G3212" s="3" t="s">
        <v>27</v>
      </c>
      <c r="H3212" s="2" t="s">
        <v>72</v>
      </c>
      <c r="I3212" s="2" t="s">
        <v>7923</v>
      </c>
      <c r="J3212" s="3" t="str">
        <f>HYPERLINK("https://www.boe.es/gazeta/dias/1815/11/25/pdfs/GMD-1815-147.pdf#page=6","Abrir facsímil")</f>
        <v>Abrir facsímil</v>
      </c>
      <c r="K3212" s="3" t="s">
        <v>74</v>
      </c>
    </row>
    <row r="3213" spans="1:11" ht="42" customHeight="1">
      <c r="A3213" s="2" t="s">
        <v>7924</v>
      </c>
      <c r="B3213" s="2" t="s">
        <v>7925</v>
      </c>
      <c r="C3213" s="2" t="s">
        <v>17</v>
      </c>
      <c r="D3213" s="2" t="s">
        <v>18</v>
      </c>
      <c r="E3213" s="5">
        <v>-30996</v>
      </c>
      <c r="F3213" s="3" t="s">
        <v>289</v>
      </c>
      <c r="G3213" s="3" t="s">
        <v>27</v>
      </c>
      <c r="H3213" s="2" t="s">
        <v>72</v>
      </c>
      <c r="I3213" s="2" t="s">
        <v>7926</v>
      </c>
      <c r="J3213" s="3" t="str">
        <f>HYPERLINK("https://www.boe.es/gazeta/dias/1815/02/18/pdfs/GMD-1815-21.pdf#page=6","Abrir facsímil")</f>
        <v>Abrir facsímil</v>
      </c>
      <c r="K3213" s="3" t="s">
        <v>74</v>
      </c>
    </row>
    <row r="3214" spans="1:11" ht="42" customHeight="1">
      <c r="A3214" s="2" t="s">
        <v>7927</v>
      </c>
      <c r="B3214" s="2" t="s">
        <v>7928</v>
      </c>
      <c r="C3214" s="2" t="s">
        <v>17</v>
      </c>
      <c r="D3214" s="2" t="s">
        <v>18</v>
      </c>
      <c r="E3214" s="5">
        <v>-30893</v>
      </c>
      <c r="F3214" s="3" t="s">
        <v>132</v>
      </c>
      <c r="G3214" s="3" t="s">
        <v>71</v>
      </c>
      <c r="H3214" s="2" t="s">
        <v>72</v>
      </c>
      <c r="I3214" s="2" t="s">
        <v>7929</v>
      </c>
      <c r="J3214" s="3" t="str">
        <f>HYPERLINK("https://www.boe.es/gazeta/dias/1815/06/01/pdfs/GMD-1815-66.pdf#page=7","Abrir facsímil")</f>
        <v>Abrir facsímil</v>
      </c>
      <c r="K3214" s="3" t="s">
        <v>74</v>
      </c>
    </row>
    <row r="3215" spans="1:11" ht="42" customHeight="1">
      <c r="A3215" s="2" t="s">
        <v>7930</v>
      </c>
      <c r="B3215" s="2" t="s">
        <v>7931</v>
      </c>
      <c r="C3215" s="2" t="s">
        <v>17</v>
      </c>
      <c r="D3215" s="2" t="s">
        <v>18</v>
      </c>
      <c r="E3215" s="5">
        <v>-30907</v>
      </c>
      <c r="F3215" s="3" t="s">
        <v>301</v>
      </c>
      <c r="G3215" s="3" t="s">
        <v>3011</v>
      </c>
      <c r="H3215" s="2" t="s">
        <v>72</v>
      </c>
      <c r="I3215" s="2" t="s">
        <v>7932</v>
      </c>
      <c r="J3215" s="3" t="str">
        <f>HYPERLINK("https://www.boe.es/gazeta/dias/1815/05/18/pdfs/GMD-1815-60.pdf#page=8","Abrir facsímil")</f>
        <v>Abrir facsímil</v>
      </c>
      <c r="K3215" s="3" t="s">
        <v>74</v>
      </c>
    </row>
    <row r="3216" spans="1:11" ht="42" customHeight="1">
      <c r="A3216" s="2" t="s">
        <v>7933</v>
      </c>
      <c r="B3216" s="2" t="s">
        <v>7934</v>
      </c>
      <c r="C3216" s="2" t="s">
        <v>195</v>
      </c>
      <c r="D3216" s="2" t="s">
        <v>50</v>
      </c>
      <c r="E3216" s="5">
        <v>-31003</v>
      </c>
      <c r="F3216" s="3" t="s">
        <v>405</v>
      </c>
      <c r="G3216" s="3" t="s">
        <v>27</v>
      </c>
      <c r="H3216" s="2" t="s">
        <v>72</v>
      </c>
      <c r="I3216" s="2" t="s">
        <v>7935</v>
      </c>
      <c r="J3216" s="3" t="str">
        <f>HYPERLINK("https://www.boe.es/gazeta/dias/1815/02/11/pdfs/GMD-1815-18.pdf#page=6","Abrir facsímil")</f>
        <v>Abrir facsímil</v>
      </c>
      <c r="K3216" s="3" t="s">
        <v>74</v>
      </c>
    </row>
    <row r="3217" spans="1:11" ht="42" customHeight="1">
      <c r="A3217" s="2" t="s">
        <v>7936</v>
      </c>
      <c r="B3217" s="2" t="s">
        <v>7937</v>
      </c>
      <c r="C3217" s="2" t="s">
        <v>17</v>
      </c>
      <c r="D3217" s="2" t="s">
        <v>18</v>
      </c>
      <c r="E3217" s="5">
        <v>-30914</v>
      </c>
      <c r="F3217" s="3" t="s">
        <v>338</v>
      </c>
      <c r="G3217" s="3" t="s">
        <v>88</v>
      </c>
      <c r="H3217" s="2" t="s">
        <v>72</v>
      </c>
      <c r="I3217" s="2" t="s">
        <v>7938</v>
      </c>
      <c r="J3217" s="3" t="str">
        <f>HYPERLINK("https://www.boe.es/gazeta/dias/1815/05/11/pdfs/GMD-1815-57.pdf#page=10","Abrir facsímil")</f>
        <v>Abrir facsímil</v>
      </c>
      <c r="K3217" s="3" t="s">
        <v>74</v>
      </c>
    </row>
    <row r="3218" spans="1:11" ht="42" customHeight="1">
      <c r="A3218" s="2" t="s">
        <v>7939</v>
      </c>
      <c r="B3218" s="2" t="s">
        <v>7939</v>
      </c>
      <c r="C3218" s="2" t="s">
        <v>49</v>
      </c>
      <c r="D3218" s="2" t="s">
        <v>50</v>
      </c>
      <c r="E3218" s="5">
        <v>-30818</v>
      </c>
      <c r="F3218" s="3" t="s">
        <v>334</v>
      </c>
      <c r="G3218" s="3" t="s">
        <v>224</v>
      </c>
      <c r="H3218" s="2" t="s">
        <v>72</v>
      </c>
      <c r="I3218" s="2" t="s">
        <v>7940</v>
      </c>
      <c r="J3218" s="3" t="str">
        <f>HYPERLINK("https://www.boe.es/gazeta/dias/1815/08/15/pdfs/GMD-1815-100.pdf#page=9","Abrir facsímil")</f>
        <v>Abrir facsímil</v>
      </c>
      <c r="K3218" s="3" t="s">
        <v>74</v>
      </c>
    </row>
    <row r="3219" spans="1:11" ht="42" customHeight="1">
      <c r="A3219" s="2" t="s">
        <v>7941</v>
      </c>
      <c r="B3219" s="2" t="s">
        <v>7942</v>
      </c>
      <c r="C3219" s="2" t="s">
        <v>49</v>
      </c>
      <c r="D3219" s="2" t="s">
        <v>50</v>
      </c>
      <c r="E3219" s="5">
        <v>-31042</v>
      </c>
      <c r="F3219" s="3" t="s">
        <v>512</v>
      </c>
      <c r="G3219" s="3" t="s">
        <v>20</v>
      </c>
      <c r="H3219" s="2" t="s">
        <v>72</v>
      </c>
      <c r="I3219" s="2" t="s">
        <v>7943</v>
      </c>
      <c r="J3219" s="3" t="str">
        <f>HYPERLINK("https://www.boe.es/gazeta/dias/1815/01/03/pdfs/GMD-1815-1.pdf#page=4","Abrir facsímil")</f>
        <v>Abrir facsímil</v>
      </c>
      <c r="K3219" s="3" t="s">
        <v>74</v>
      </c>
    </row>
    <row r="3220" spans="1:11" ht="42" customHeight="1">
      <c r="A3220" s="2" t="s">
        <v>7944</v>
      </c>
      <c r="B3220" s="2" t="s">
        <v>7945</v>
      </c>
      <c r="C3220" s="2" t="s">
        <v>31</v>
      </c>
      <c r="D3220" s="2" t="s">
        <v>32</v>
      </c>
      <c r="E3220" s="5">
        <v>-30727</v>
      </c>
      <c r="F3220" s="3" t="s">
        <v>262</v>
      </c>
      <c r="G3220" s="3" t="s">
        <v>27</v>
      </c>
      <c r="H3220" s="2" t="s">
        <v>72</v>
      </c>
      <c r="I3220" s="2" t="s">
        <v>7946</v>
      </c>
      <c r="J3220" s="3" t="str">
        <f>HYPERLINK("https://www.boe.es/gazeta/dias/1815/11/14/pdfs/GMD-1815-142.pdf#page=6","Abrir facsímil")</f>
        <v>Abrir facsímil</v>
      </c>
      <c r="K3220" s="3" t="s">
        <v>74</v>
      </c>
    </row>
    <row r="3221" spans="1:11" ht="42" customHeight="1">
      <c r="A3221" s="2" t="s">
        <v>7947</v>
      </c>
      <c r="B3221" s="2" t="s">
        <v>7947</v>
      </c>
      <c r="C3221" s="2" t="s">
        <v>49</v>
      </c>
      <c r="D3221" s="2" t="s">
        <v>50</v>
      </c>
      <c r="E3221" s="5">
        <v>-30774</v>
      </c>
      <c r="F3221" s="3" t="s">
        <v>1143</v>
      </c>
      <c r="G3221" s="3" t="s">
        <v>4416</v>
      </c>
      <c r="H3221" s="2" t="s">
        <v>72</v>
      </c>
      <c r="I3221" s="2" t="s">
        <v>7948</v>
      </c>
      <c r="J3221" s="3" t="str">
        <f>HYPERLINK("https://www.boe.es/gazeta/dias/1815/09/28/pdfs/GMD-1815-121.pdf#page=3","Abrir facsímil")</f>
        <v>Abrir facsímil</v>
      </c>
      <c r="K3221" s="3" t="s">
        <v>74</v>
      </c>
    </row>
    <row r="3222" spans="1:11" ht="42" customHeight="1">
      <c r="A3222" s="2" t="s">
        <v>7949</v>
      </c>
      <c r="B3222" s="2" t="s">
        <v>7950</v>
      </c>
      <c r="C3222" s="2" t="s">
        <v>49</v>
      </c>
      <c r="D3222" s="2" t="s">
        <v>50</v>
      </c>
      <c r="E3222" s="5">
        <v>-30898</v>
      </c>
      <c r="F3222" s="3" t="s">
        <v>212</v>
      </c>
      <c r="G3222" s="3" t="s">
        <v>71</v>
      </c>
      <c r="H3222" s="2" t="s">
        <v>72</v>
      </c>
      <c r="I3222" s="2" t="s">
        <v>7951</v>
      </c>
      <c r="J3222" s="3" t="str">
        <f>HYPERLINK("https://www.boe.es/gazeta/dias/1815/05/27/pdfs/GMD-1815-64.pdf#page=7","Abrir facsímil")</f>
        <v>Abrir facsímil</v>
      </c>
      <c r="K3222" s="3" t="s">
        <v>74</v>
      </c>
    </row>
    <row r="3223" spans="1:11" ht="42" customHeight="1">
      <c r="A3223" s="2" t="s">
        <v>7952</v>
      </c>
      <c r="B3223" s="2" t="s">
        <v>7953</v>
      </c>
      <c r="C3223" s="2" t="s">
        <v>31</v>
      </c>
      <c r="D3223" s="2" t="s">
        <v>32</v>
      </c>
      <c r="E3223" s="5">
        <v>-30898</v>
      </c>
      <c r="F3223" s="3" t="s">
        <v>212</v>
      </c>
      <c r="G3223" s="3" t="s">
        <v>71</v>
      </c>
      <c r="H3223" s="2" t="s">
        <v>72</v>
      </c>
      <c r="I3223" s="2" t="s">
        <v>7954</v>
      </c>
      <c r="J3223" s="3" t="str">
        <f>HYPERLINK("https://www.boe.es/gazeta/dias/1815/05/27/pdfs/GMD-1815-64.pdf#page=7","Abrir facsímil")</f>
        <v>Abrir facsímil</v>
      </c>
      <c r="K3223" s="3" t="s">
        <v>74</v>
      </c>
    </row>
    <row r="3224" spans="1:11" ht="42" customHeight="1">
      <c r="A3224" s="2" t="s">
        <v>7955</v>
      </c>
      <c r="B3224" s="2" t="s">
        <v>7955</v>
      </c>
      <c r="C3224" s="2" t="s">
        <v>17</v>
      </c>
      <c r="D3224" s="2" t="s">
        <v>18</v>
      </c>
      <c r="E3224" s="5">
        <v>-30818</v>
      </c>
      <c r="F3224" s="3" t="s">
        <v>334</v>
      </c>
      <c r="G3224" s="3" t="s">
        <v>97</v>
      </c>
      <c r="H3224" s="2" t="s">
        <v>72</v>
      </c>
      <c r="I3224" s="2" t="s">
        <v>7956</v>
      </c>
      <c r="J3224" s="3" t="str">
        <f>HYPERLINK("https://www.boe.es/gazeta/dias/1815/08/15/pdfs/GMD-1815-100.pdf#page=3","Abrir facsímil")</f>
        <v>Abrir facsímil</v>
      </c>
      <c r="K3224" s="3" t="s">
        <v>74</v>
      </c>
    </row>
    <row r="3225" spans="1:11" ht="42" customHeight="1">
      <c r="A3225" s="2" t="s">
        <v>7957</v>
      </c>
      <c r="B3225" s="2" t="s">
        <v>7957</v>
      </c>
      <c r="C3225" s="2" t="s">
        <v>17</v>
      </c>
      <c r="D3225" s="2" t="s">
        <v>18</v>
      </c>
      <c r="E3225" s="5">
        <v>-30816</v>
      </c>
      <c r="F3225" s="3" t="s">
        <v>1253</v>
      </c>
      <c r="G3225" s="3" t="s">
        <v>57</v>
      </c>
      <c r="H3225" s="2" t="s">
        <v>72</v>
      </c>
      <c r="I3225" s="2" t="s">
        <v>7958</v>
      </c>
      <c r="J3225" s="3" t="str">
        <f>HYPERLINK("https://www.boe.es/gazeta/dias/1815/08/17/pdfs/GMD-1815-101.pdf#page=5","Abrir facsímil")</f>
        <v>Abrir facsímil</v>
      </c>
      <c r="K3225" s="3" t="s">
        <v>74</v>
      </c>
    </row>
    <row r="3226" spans="1:11" ht="42" customHeight="1">
      <c r="A3226" s="2" t="s">
        <v>7959</v>
      </c>
      <c r="B3226" s="2" t="s">
        <v>7959</v>
      </c>
      <c r="C3226" s="2" t="s">
        <v>31</v>
      </c>
      <c r="D3226" s="2" t="s">
        <v>32</v>
      </c>
      <c r="E3226" s="5">
        <v>-30807</v>
      </c>
      <c r="F3226" s="3" t="s">
        <v>586</v>
      </c>
      <c r="G3226" s="3" t="s">
        <v>377</v>
      </c>
      <c r="H3226" s="2" t="s">
        <v>72</v>
      </c>
      <c r="I3226" s="2" t="s">
        <v>7960</v>
      </c>
      <c r="J3226" s="3" t="str">
        <f>HYPERLINK("https://www.boe.es/gazeta/dias/1815/08/26/pdfs/GMD-1815-105.pdf#page=2","Abrir facsímil")</f>
        <v>Abrir facsímil</v>
      </c>
      <c r="K3226" s="3" t="s">
        <v>74</v>
      </c>
    </row>
    <row r="3227" spans="1:11" ht="42" customHeight="1">
      <c r="A3227" s="2" t="s">
        <v>7961</v>
      </c>
      <c r="B3227" s="2" t="s">
        <v>7961</v>
      </c>
      <c r="C3227" s="2" t="s">
        <v>31</v>
      </c>
      <c r="D3227" s="2" t="s">
        <v>32</v>
      </c>
      <c r="E3227" s="5">
        <v>-30783</v>
      </c>
      <c r="F3227" s="3" t="s">
        <v>423</v>
      </c>
      <c r="G3227" s="3" t="s">
        <v>377</v>
      </c>
      <c r="H3227" s="2" t="s">
        <v>72</v>
      </c>
      <c r="I3227" s="2" t="s">
        <v>7962</v>
      </c>
      <c r="J3227" s="3" t="str">
        <f>HYPERLINK("https://www.boe.es/gazeta/dias/1815/09/19/pdfs/GMD-1815-116.pdf#page=2","Abrir facsímil")</f>
        <v>Abrir facsímil</v>
      </c>
      <c r="K3227" s="3" t="s">
        <v>74</v>
      </c>
    </row>
    <row r="3228" spans="1:11" ht="42" customHeight="1">
      <c r="A3228" s="2" t="s">
        <v>7961</v>
      </c>
      <c r="B3228" s="2" t="s">
        <v>7961</v>
      </c>
      <c r="C3228" s="2" t="s">
        <v>49</v>
      </c>
      <c r="D3228" s="2" t="s">
        <v>50</v>
      </c>
      <c r="E3228" s="5">
        <v>-30751</v>
      </c>
      <c r="F3228" s="3" t="s">
        <v>819</v>
      </c>
      <c r="G3228" s="3" t="s">
        <v>820</v>
      </c>
      <c r="H3228" s="2" t="s">
        <v>72</v>
      </c>
      <c r="I3228" s="2" t="s">
        <v>7963</v>
      </c>
      <c r="J3228" s="3" t="str">
        <f>HYPERLINK("https://www.boe.es/gazeta/dias/1815/10/21/pdfs/GMD-1815-132.pdf#page=4","Abrir facsímil")</f>
        <v>Abrir facsímil</v>
      </c>
      <c r="K3228" s="3" t="s">
        <v>74</v>
      </c>
    </row>
    <row r="3229" spans="1:11" ht="42" customHeight="1">
      <c r="A3229" s="2" t="s">
        <v>7961</v>
      </c>
      <c r="B3229" s="2" t="s">
        <v>7961</v>
      </c>
      <c r="C3229" s="2" t="s">
        <v>17</v>
      </c>
      <c r="D3229" s="2" t="s">
        <v>18</v>
      </c>
      <c r="E3229" s="5">
        <v>-30704</v>
      </c>
      <c r="F3229" s="3" t="s">
        <v>1276</v>
      </c>
      <c r="G3229" s="3" t="s">
        <v>57</v>
      </c>
      <c r="H3229" s="2" t="s">
        <v>72</v>
      </c>
      <c r="I3229" s="2" t="s">
        <v>7964</v>
      </c>
      <c r="J3229" s="3" t="str">
        <f>HYPERLINK("https://www.boe.es/gazeta/dias/1815/12/07/pdfs/GMD-1815-152.pdf#page=5","Abrir facsímil")</f>
        <v>Abrir facsímil</v>
      </c>
      <c r="K3229" s="3" t="s">
        <v>74</v>
      </c>
    </row>
    <row r="3230" spans="1:11" ht="42" customHeight="1">
      <c r="A3230" s="2" t="s">
        <v>7965</v>
      </c>
      <c r="B3230" s="2" t="s">
        <v>7965</v>
      </c>
      <c r="C3230" s="2" t="s">
        <v>31</v>
      </c>
      <c r="D3230" s="2" t="s">
        <v>179</v>
      </c>
      <c r="E3230" s="5">
        <v>-30860</v>
      </c>
      <c r="F3230" s="3" t="s">
        <v>180</v>
      </c>
      <c r="G3230" s="3" t="s">
        <v>97</v>
      </c>
      <c r="H3230" s="2" t="s">
        <v>72</v>
      </c>
      <c r="I3230" s="2" t="s">
        <v>7966</v>
      </c>
      <c r="J3230" s="3" t="str">
        <f>HYPERLINK("https://www.boe.es/gazeta/dias/1815/07/04/pdfs/GMD-1815-82E.pdf#page=3","Abrir facsímil")</f>
        <v>Abrir facsímil</v>
      </c>
      <c r="K3230" s="3" t="s">
        <v>74</v>
      </c>
    </row>
    <row r="3231" spans="1:11" ht="42" customHeight="1">
      <c r="A3231" s="2" t="s">
        <v>7967</v>
      </c>
      <c r="B3231" s="2" t="s">
        <v>7968</v>
      </c>
      <c r="C3231" s="2" t="s">
        <v>49</v>
      </c>
      <c r="D3231" s="2" t="s">
        <v>50</v>
      </c>
      <c r="E3231" s="5">
        <v>-31000</v>
      </c>
      <c r="F3231" s="3" t="s">
        <v>70</v>
      </c>
      <c r="G3231" s="3" t="s">
        <v>71</v>
      </c>
      <c r="H3231" s="2" t="s">
        <v>72</v>
      </c>
      <c r="I3231" s="2" t="s">
        <v>7969</v>
      </c>
      <c r="J3231" s="3" t="str">
        <f>HYPERLINK("https://www.boe.es/gazeta/dias/1815/02/14/pdfs/GMD-1815-19.pdf#page=7","Abrir facsímil")</f>
        <v>Abrir facsímil</v>
      </c>
      <c r="K3231" s="3" t="s">
        <v>74</v>
      </c>
    </row>
    <row r="3232" spans="1:11" ht="42" customHeight="1">
      <c r="A3232" s="2" t="s">
        <v>7970</v>
      </c>
      <c r="B3232" s="2" t="s">
        <v>7971</v>
      </c>
      <c r="C3232" s="2" t="s">
        <v>31</v>
      </c>
      <c r="D3232" s="2" t="s">
        <v>32</v>
      </c>
      <c r="E3232" s="5">
        <v>-30977</v>
      </c>
      <c r="F3232" s="3" t="s">
        <v>37</v>
      </c>
      <c r="G3232" s="3" t="s">
        <v>71</v>
      </c>
      <c r="H3232" s="2" t="s">
        <v>72</v>
      </c>
      <c r="I3232" s="2" t="s">
        <v>7972</v>
      </c>
      <c r="J3232" s="3" t="str">
        <f>HYPERLINK("https://www.boe.es/gazeta/dias/1815/03/09/pdfs/GMD-1815-29.pdf#page=7","Abrir facsímil")</f>
        <v>Abrir facsímil</v>
      </c>
      <c r="K3232" s="3" t="s">
        <v>74</v>
      </c>
    </row>
    <row r="3233" spans="1:11" ht="42" customHeight="1">
      <c r="A3233" s="2" t="s">
        <v>7973</v>
      </c>
      <c r="B3233" s="2" t="s">
        <v>7974</v>
      </c>
      <c r="C3233" s="2" t="s">
        <v>49</v>
      </c>
      <c r="D3233" s="2" t="s">
        <v>50</v>
      </c>
      <c r="E3233" s="5">
        <v>-31031</v>
      </c>
      <c r="F3233" s="3" t="s">
        <v>105</v>
      </c>
      <c r="G3233" s="3" t="s">
        <v>106</v>
      </c>
      <c r="H3233" s="2" t="s">
        <v>72</v>
      </c>
      <c r="I3233" s="2" t="s">
        <v>7975</v>
      </c>
      <c r="J3233" s="3" t="str">
        <f>HYPERLINK("https://www.boe.es/gazeta/dias/1815/01/14/pdfs/GMD-1815-6.pdf#page=7","Abrir facsímil")</f>
        <v>Abrir facsímil</v>
      </c>
      <c r="K3233" s="3" t="s">
        <v>74</v>
      </c>
    </row>
    <row r="3234" spans="1:11" ht="42" customHeight="1">
      <c r="A3234" s="2" t="s">
        <v>7976</v>
      </c>
      <c r="B3234" s="2" t="s">
        <v>7977</v>
      </c>
      <c r="C3234" s="2" t="s">
        <v>17</v>
      </c>
      <c r="D3234" s="2" t="s">
        <v>18</v>
      </c>
      <c r="E3234" s="5">
        <v>-30737</v>
      </c>
      <c r="F3234" s="3" t="s">
        <v>1932</v>
      </c>
      <c r="G3234" s="3" t="s">
        <v>27</v>
      </c>
      <c r="H3234" s="2" t="s">
        <v>72</v>
      </c>
      <c r="I3234" s="2" t="s">
        <v>7978</v>
      </c>
      <c r="J3234" s="3" t="str">
        <f>HYPERLINK("https://www.boe.es/gazeta/dias/1815/11/04/pdfs/GMD-1815-138.pdf#page=6","Abrir facsímil")</f>
        <v>Abrir facsímil</v>
      </c>
      <c r="K3234" s="3" t="s">
        <v>74</v>
      </c>
    </row>
    <row r="3235" spans="1:11" ht="42" customHeight="1">
      <c r="A3235" s="2" t="s">
        <v>7979</v>
      </c>
      <c r="B3235" s="2" t="s">
        <v>7980</v>
      </c>
      <c r="C3235" s="2" t="s">
        <v>49</v>
      </c>
      <c r="D3235" s="2" t="s">
        <v>50</v>
      </c>
      <c r="E3235" s="5">
        <v>-30863</v>
      </c>
      <c r="F3235" s="3" t="s">
        <v>110</v>
      </c>
      <c r="G3235" s="3" t="s">
        <v>224</v>
      </c>
      <c r="H3235" s="2" t="s">
        <v>72</v>
      </c>
      <c r="I3235" s="2" t="s">
        <v>7981</v>
      </c>
      <c r="J3235" s="3" t="str">
        <f>HYPERLINK("https://www.boe.es/gazeta/dias/1815/07/01/pdfs/GMD-1815-79.pdf#page=9","Abrir facsímil")</f>
        <v>Abrir facsímil</v>
      </c>
      <c r="K3235" s="3" t="s">
        <v>74</v>
      </c>
    </row>
    <row r="3236" spans="1:11" ht="42" customHeight="1">
      <c r="A3236" s="2" t="s">
        <v>7982</v>
      </c>
      <c r="B3236" s="2" t="s">
        <v>7982</v>
      </c>
      <c r="C3236" s="2" t="s">
        <v>49</v>
      </c>
      <c r="D3236" s="2" t="s">
        <v>50</v>
      </c>
      <c r="E3236" s="5">
        <v>-31040</v>
      </c>
      <c r="F3236" s="3" t="s">
        <v>326</v>
      </c>
      <c r="G3236" s="3" t="s">
        <v>27</v>
      </c>
      <c r="H3236" s="2" t="s">
        <v>72</v>
      </c>
      <c r="I3236" s="2" t="s">
        <v>7983</v>
      </c>
      <c r="J3236" s="3" t="str">
        <f>HYPERLINK("https://www.boe.es/gazeta/dias/1815/01/05/pdfs/GMD-1815-2.pdf#page=6","Abrir facsímil")</f>
        <v>Abrir facsímil</v>
      </c>
      <c r="K3236" s="3" t="s">
        <v>74</v>
      </c>
    </row>
    <row r="3237" spans="1:11" ht="42" customHeight="1">
      <c r="A3237" s="2" t="s">
        <v>7984</v>
      </c>
      <c r="B3237" s="2" t="s">
        <v>7985</v>
      </c>
      <c r="C3237" s="2" t="s">
        <v>195</v>
      </c>
      <c r="D3237" s="2" t="s">
        <v>50</v>
      </c>
      <c r="E3237" s="5">
        <v>-30996</v>
      </c>
      <c r="F3237" s="3" t="s">
        <v>289</v>
      </c>
      <c r="G3237" s="3" t="s">
        <v>27</v>
      </c>
      <c r="H3237" s="2" t="s">
        <v>72</v>
      </c>
      <c r="I3237" s="2" t="s">
        <v>7986</v>
      </c>
      <c r="J3237" s="3" t="str">
        <f>HYPERLINK("https://www.boe.es/gazeta/dias/1815/02/18/pdfs/GMD-1815-21.pdf#page=6","Abrir facsímil")</f>
        <v>Abrir facsímil</v>
      </c>
      <c r="K3237" s="3" t="s">
        <v>74</v>
      </c>
    </row>
    <row r="3238" spans="1:11" ht="42" customHeight="1">
      <c r="A3238" s="2" t="s">
        <v>7987</v>
      </c>
      <c r="B3238" s="2" t="s">
        <v>7988</v>
      </c>
      <c r="C3238" s="2" t="s">
        <v>61</v>
      </c>
      <c r="D3238" s="2" t="s">
        <v>50</v>
      </c>
      <c r="E3238" s="5">
        <v>-30823</v>
      </c>
      <c r="F3238" s="3" t="s">
        <v>305</v>
      </c>
      <c r="G3238" s="3" t="s">
        <v>276</v>
      </c>
      <c r="H3238" s="2" t="s">
        <v>72</v>
      </c>
      <c r="I3238" s="2" t="s">
        <v>7989</v>
      </c>
      <c r="J3238" s="3" t="str">
        <f>HYPERLINK("https://www.boe.es/gazeta/dias/1815/08/10/pdfs/GMD-1815-98.pdf#page=12","Abrir facsímil")</f>
        <v>Abrir facsímil</v>
      </c>
      <c r="K3238" s="3" t="s">
        <v>74</v>
      </c>
    </row>
    <row r="3239" spans="1:11" ht="42" customHeight="1">
      <c r="A3239" s="2" t="s">
        <v>7990</v>
      </c>
      <c r="B3239" s="2" t="s">
        <v>7991</v>
      </c>
      <c r="C3239" s="2" t="s">
        <v>49</v>
      </c>
      <c r="D3239" s="2" t="s">
        <v>50</v>
      </c>
      <c r="E3239" s="5">
        <v>-30886</v>
      </c>
      <c r="F3239" s="3" t="s">
        <v>140</v>
      </c>
      <c r="G3239" s="3" t="s">
        <v>224</v>
      </c>
      <c r="H3239" s="2" t="s">
        <v>72</v>
      </c>
      <c r="I3239" s="2" t="s">
        <v>7992</v>
      </c>
      <c r="J3239" s="3" t="str">
        <f>HYPERLINK("https://www.boe.es/gazeta/dias/1815/06/08/pdfs/GMD-1815-69.pdf#page=9","Abrir facsímil")</f>
        <v>Abrir facsímil</v>
      </c>
      <c r="K3239" s="3" t="s">
        <v>74</v>
      </c>
    </row>
    <row r="3240" spans="1:11" ht="42" customHeight="1">
      <c r="A3240" s="2" t="s">
        <v>7993</v>
      </c>
      <c r="B3240" s="2" t="s">
        <v>7994</v>
      </c>
      <c r="C3240" s="2" t="s">
        <v>61</v>
      </c>
      <c r="D3240" s="2" t="s">
        <v>50</v>
      </c>
      <c r="E3240" s="5">
        <v>-30695</v>
      </c>
      <c r="F3240" s="3" t="s">
        <v>824</v>
      </c>
      <c r="G3240" s="3" t="s">
        <v>38</v>
      </c>
      <c r="H3240" s="2" t="s">
        <v>72</v>
      </c>
      <c r="I3240" s="2" t="s">
        <v>7995</v>
      </c>
      <c r="J3240" s="3" t="str">
        <f>HYPERLINK("https://www.boe.es/gazeta/dias/1815/12/16/pdfs/GMD-1815-156.pdf#page=8","Abrir facsímil")</f>
        <v>Abrir facsímil</v>
      </c>
      <c r="K3240" s="3" t="s">
        <v>74</v>
      </c>
    </row>
    <row r="3241" spans="1:11" ht="42" customHeight="1">
      <c r="A3241" s="2" t="s">
        <v>7996</v>
      </c>
      <c r="B3241" s="2" t="s">
        <v>7997</v>
      </c>
      <c r="C3241" s="2" t="s">
        <v>195</v>
      </c>
      <c r="D3241" s="2" t="s">
        <v>50</v>
      </c>
      <c r="E3241" s="5">
        <v>-30888</v>
      </c>
      <c r="F3241" s="3" t="s">
        <v>368</v>
      </c>
      <c r="G3241" s="3" t="s">
        <v>224</v>
      </c>
      <c r="H3241" s="2" t="s">
        <v>72</v>
      </c>
      <c r="I3241" s="2" t="s">
        <v>7998</v>
      </c>
      <c r="J3241" s="3" t="str">
        <f>HYPERLINK("https://www.boe.es/gazeta/dias/1815/06/06/pdfs/GMD-1815-68.pdf#page=9","Abrir facsímil")</f>
        <v>Abrir facsímil</v>
      </c>
      <c r="K3241" s="3" t="s">
        <v>74</v>
      </c>
    </row>
    <row r="3242" spans="1:11" ht="42" customHeight="1">
      <c r="A3242" s="2" t="s">
        <v>7999</v>
      </c>
      <c r="B3242" s="2" t="s">
        <v>8000</v>
      </c>
      <c r="C3242" s="2" t="s">
        <v>49</v>
      </c>
      <c r="D3242" s="2" t="s">
        <v>50</v>
      </c>
      <c r="E3242" s="5">
        <v>-30790</v>
      </c>
      <c r="F3242" s="3" t="s">
        <v>285</v>
      </c>
      <c r="G3242" s="3" t="s">
        <v>57</v>
      </c>
      <c r="H3242" s="2" t="s">
        <v>72</v>
      </c>
      <c r="I3242" s="2" t="s">
        <v>8001</v>
      </c>
      <c r="J3242" s="3" t="str">
        <f>HYPERLINK("https://www.boe.es/gazeta/dias/1815/09/12/pdfs/GMD-1815-113.pdf#page=5","Abrir facsímil")</f>
        <v>Abrir facsímil</v>
      </c>
      <c r="K3242" s="3" t="s">
        <v>74</v>
      </c>
    </row>
    <row r="3243" spans="1:11" ht="42" customHeight="1">
      <c r="A3243" s="2" t="s">
        <v>8002</v>
      </c>
      <c r="B3243" s="2" t="s">
        <v>8003</v>
      </c>
      <c r="C3243" s="2" t="s">
        <v>31</v>
      </c>
      <c r="D3243" s="2" t="s">
        <v>32</v>
      </c>
      <c r="E3243" s="5">
        <v>-30790</v>
      </c>
      <c r="F3243" s="3" t="s">
        <v>285</v>
      </c>
      <c r="G3243" s="3" t="s">
        <v>20</v>
      </c>
      <c r="H3243" s="2" t="s">
        <v>72</v>
      </c>
      <c r="I3243" s="2" t="s">
        <v>8004</v>
      </c>
      <c r="J3243" s="3" t="str">
        <f>HYPERLINK("https://www.boe.es/gazeta/dias/1815/09/12/pdfs/GMD-1815-113.pdf#page=4","Abrir facsímil")</f>
        <v>Abrir facsímil</v>
      </c>
      <c r="K3243" s="3" t="s">
        <v>74</v>
      </c>
    </row>
    <row r="3244" spans="1:11" ht="42" customHeight="1">
      <c r="A3244" s="2" t="s">
        <v>8005</v>
      </c>
      <c r="B3244" s="2" t="s">
        <v>8005</v>
      </c>
      <c r="C3244" s="2" t="s">
        <v>17</v>
      </c>
      <c r="D3244" s="2" t="s">
        <v>18</v>
      </c>
      <c r="E3244" s="5">
        <v>-30912</v>
      </c>
      <c r="F3244" s="3" t="s">
        <v>579</v>
      </c>
      <c r="G3244" s="3" t="s">
        <v>38</v>
      </c>
      <c r="H3244" s="2" t="s">
        <v>72</v>
      </c>
      <c r="I3244" s="2" t="s">
        <v>8006</v>
      </c>
      <c r="J3244" s="3" t="str">
        <f>HYPERLINK("https://www.boe.es/gazeta/dias/1815/05/13/pdfs/GMD-1815-58.pdf#page=8","Abrir facsímil")</f>
        <v>Abrir facsímil</v>
      </c>
      <c r="K3244" s="3" t="s">
        <v>74</v>
      </c>
    </row>
    <row r="3245" spans="1:11" ht="42" customHeight="1">
      <c r="A3245" s="2" t="s">
        <v>8007</v>
      </c>
      <c r="B3245" s="2" t="s">
        <v>8007</v>
      </c>
      <c r="C3245" s="2" t="s">
        <v>31</v>
      </c>
      <c r="D3245" s="2" t="s">
        <v>32</v>
      </c>
      <c r="E3245" s="5">
        <v>-30741</v>
      </c>
      <c r="F3245" s="3" t="s">
        <v>1000</v>
      </c>
      <c r="G3245" s="3" t="s">
        <v>377</v>
      </c>
      <c r="H3245" s="2" t="s">
        <v>72</v>
      </c>
      <c r="I3245" s="2" t="s">
        <v>8008</v>
      </c>
      <c r="J3245" s="3" t="str">
        <f>HYPERLINK("https://www.boe.es/gazeta/dias/1815/10/31/pdfs/GMD-1815-136.pdf#page=2","Abrir facsímil")</f>
        <v>Abrir facsímil</v>
      </c>
      <c r="K3245" s="3" t="s">
        <v>74</v>
      </c>
    </row>
    <row r="3246" spans="1:11" ht="42" customHeight="1">
      <c r="A3246" s="2" t="s">
        <v>8009</v>
      </c>
      <c r="B3246" s="2" t="s">
        <v>8010</v>
      </c>
      <c r="C3246" s="2" t="s">
        <v>31</v>
      </c>
      <c r="D3246" s="2" t="s">
        <v>32</v>
      </c>
      <c r="E3246" s="5">
        <v>-30979</v>
      </c>
      <c r="F3246" s="3" t="s">
        <v>56</v>
      </c>
      <c r="G3246" s="3" t="s">
        <v>57</v>
      </c>
      <c r="H3246" s="2" t="s">
        <v>72</v>
      </c>
      <c r="I3246" s="2" t="s">
        <v>8011</v>
      </c>
      <c r="J3246" s="3" t="str">
        <f>HYPERLINK("https://www.boe.es/gazeta/dias/1815/03/07/pdfs/GMD-1815-28.pdf#page=5","Abrir facsímil")</f>
        <v>Abrir facsímil</v>
      </c>
      <c r="K3246" s="3" t="s">
        <v>74</v>
      </c>
    </row>
    <row r="3247" spans="1:11" ht="42" customHeight="1">
      <c r="A3247" s="2" t="s">
        <v>8012</v>
      </c>
      <c r="B3247" s="2" t="s">
        <v>8013</v>
      </c>
      <c r="C3247" s="2" t="s">
        <v>31</v>
      </c>
      <c r="D3247" s="2" t="s">
        <v>32</v>
      </c>
      <c r="E3247" s="5">
        <v>-30734</v>
      </c>
      <c r="F3247" s="3" t="s">
        <v>376</v>
      </c>
      <c r="G3247" s="3" t="s">
        <v>71</v>
      </c>
      <c r="H3247" s="2" t="s">
        <v>72</v>
      </c>
      <c r="I3247" s="2" t="s">
        <v>8014</v>
      </c>
      <c r="J3247" s="3" t="str">
        <f>HYPERLINK("https://www.boe.es/gazeta/dias/1815/11/07/pdfs/GMD-1815-139.pdf#page=7","Abrir facsímil")</f>
        <v>Abrir facsímil</v>
      </c>
      <c r="K3247" s="3" t="s">
        <v>74</v>
      </c>
    </row>
    <row r="3248" spans="1:11" ht="42" customHeight="1">
      <c r="A3248" s="2" t="s">
        <v>8015</v>
      </c>
      <c r="B3248" s="2" t="s">
        <v>8015</v>
      </c>
      <c r="C3248" s="2" t="s">
        <v>31</v>
      </c>
      <c r="D3248" s="2" t="s">
        <v>32</v>
      </c>
      <c r="E3248" s="5">
        <v>-30961</v>
      </c>
      <c r="F3248" s="3" t="s">
        <v>1176</v>
      </c>
      <c r="G3248" s="3" t="s">
        <v>377</v>
      </c>
      <c r="H3248" s="2" t="s">
        <v>72</v>
      </c>
      <c r="I3248" s="2" t="s">
        <v>8016</v>
      </c>
      <c r="J3248" s="3" t="str">
        <f>HYPERLINK("https://www.boe.es/gazeta/dias/1815/03/25/pdfs/GMD-1815-36.pdf#page=2","Abrir facsímil")</f>
        <v>Abrir facsímil</v>
      </c>
      <c r="K3248" s="3" t="s">
        <v>74</v>
      </c>
    </row>
    <row r="3249" spans="1:11" ht="42" customHeight="1">
      <c r="A3249" s="2" t="s">
        <v>8015</v>
      </c>
      <c r="B3249" s="2" t="s">
        <v>8015</v>
      </c>
      <c r="C3249" s="2" t="s">
        <v>31</v>
      </c>
      <c r="D3249" s="2" t="s">
        <v>32</v>
      </c>
      <c r="E3249" s="5">
        <v>-30928</v>
      </c>
      <c r="F3249" s="3" t="s">
        <v>330</v>
      </c>
      <c r="G3249" s="3" t="s">
        <v>377</v>
      </c>
      <c r="H3249" s="2" t="s">
        <v>72</v>
      </c>
      <c r="I3249" s="2" t="s">
        <v>8017</v>
      </c>
      <c r="J3249" s="3" t="str">
        <f>HYPERLINK("https://www.boe.es/gazeta/dias/1815/04/27/pdfs/GMD-1815-51.pdf#page=2","Abrir facsímil")</f>
        <v>Abrir facsímil</v>
      </c>
      <c r="K3249" s="3" t="s">
        <v>74</v>
      </c>
    </row>
    <row r="3250" spans="1:11" ht="42" customHeight="1">
      <c r="A3250" s="2" t="s">
        <v>8015</v>
      </c>
      <c r="B3250" s="2" t="s">
        <v>8015</v>
      </c>
      <c r="C3250" s="2" t="s">
        <v>31</v>
      </c>
      <c r="D3250" s="2" t="s">
        <v>32</v>
      </c>
      <c r="E3250" s="5">
        <v>-30718</v>
      </c>
      <c r="F3250" s="3" t="s">
        <v>3115</v>
      </c>
      <c r="G3250" s="3" t="s">
        <v>6058</v>
      </c>
      <c r="H3250" s="2" t="s">
        <v>72</v>
      </c>
      <c r="I3250" s="2" t="s">
        <v>8018</v>
      </c>
      <c r="J3250" s="3" t="str">
        <f>HYPERLINK("https://www.boe.es/gazeta/dias/1815/11/23/pdfs/GMD-1815-146.pdf#page=4","Abrir facsímil")</f>
        <v>Abrir facsímil</v>
      </c>
      <c r="K3250" s="3" t="s">
        <v>74</v>
      </c>
    </row>
    <row r="3251" spans="1:11" ht="42" customHeight="1">
      <c r="A3251" s="2" t="s">
        <v>8019</v>
      </c>
      <c r="B3251" s="2" t="s">
        <v>8019</v>
      </c>
      <c r="C3251" s="2" t="s">
        <v>31</v>
      </c>
      <c r="D3251" s="2" t="s">
        <v>32</v>
      </c>
      <c r="E3251" s="5">
        <v>-30814</v>
      </c>
      <c r="F3251" s="3" t="s">
        <v>644</v>
      </c>
      <c r="G3251" s="3" t="s">
        <v>2047</v>
      </c>
      <c r="H3251" s="2" t="s">
        <v>72</v>
      </c>
      <c r="I3251" s="2" t="s">
        <v>8020</v>
      </c>
      <c r="J3251" s="3" t="str">
        <f>HYPERLINK("https://www.boe.es/gazeta/dias/1815/08/19/pdfs/GMD-1815-102.pdf#page=4","Abrir facsímil")</f>
        <v>Abrir facsímil</v>
      </c>
      <c r="K3251" s="3" t="s">
        <v>74</v>
      </c>
    </row>
    <row r="3252" spans="1:11" ht="42" customHeight="1">
      <c r="A3252" s="2" t="s">
        <v>8021</v>
      </c>
      <c r="B3252" s="2" t="s">
        <v>8021</v>
      </c>
      <c r="C3252" s="2" t="s">
        <v>31</v>
      </c>
      <c r="D3252" s="2" t="s">
        <v>32</v>
      </c>
      <c r="E3252" s="5">
        <v>-30767</v>
      </c>
      <c r="F3252" s="3" t="s">
        <v>228</v>
      </c>
      <c r="G3252" s="3" t="s">
        <v>8022</v>
      </c>
      <c r="H3252" s="2" t="s">
        <v>72</v>
      </c>
      <c r="I3252" s="2" t="s">
        <v>8023</v>
      </c>
      <c r="J3252" s="3" t="str">
        <f>HYPERLINK("https://www.boe.es/gazeta/dias/1815/10/05/pdfs/GMD-1815-125.pdf#page=3","Abrir facsímil")</f>
        <v>Abrir facsímil</v>
      </c>
      <c r="K3252" s="3" t="s">
        <v>74</v>
      </c>
    </row>
    <row r="3253" spans="1:11" ht="42" customHeight="1">
      <c r="A3253" s="2" t="s">
        <v>8024</v>
      </c>
      <c r="B3253" s="2" t="s">
        <v>8024</v>
      </c>
      <c r="C3253" s="2" t="s">
        <v>31</v>
      </c>
      <c r="D3253" s="2" t="s">
        <v>179</v>
      </c>
      <c r="E3253" s="5">
        <v>-30860</v>
      </c>
      <c r="F3253" s="3" t="s">
        <v>180</v>
      </c>
      <c r="G3253" s="3" t="s">
        <v>20</v>
      </c>
      <c r="H3253" s="2" t="s">
        <v>72</v>
      </c>
      <c r="I3253" s="2" t="s">
        <v>8025</v>
      </c>
      <c r="J3253" s="3" t="str">
        <f>HYPERLINK("https://www.boe.es/gazeta/dias/1815/07/04/pdfs/GMD-1815-82E.pdf#page=4","Abrir facsímil")</f>
        <v>Abrir facsímil</v>
      </c>
      <c r="K3253" s="3" t="s">
        <v>74</v>
      </c>
    </row>
    <row r="3254" spans="1:11" ht="42" customHeight="1">
      <c r="A3254" s="2" t="s">
        <v>8024</v>
      </c>
      <c r="B3254" s="2" t="s">
        <v>8024</v>
      </c>
      <c r="C3254" s="2" t="s">
        <v>31</v>
      </c>
      <c r="D3254" s="2" t="s">
        <v>32</v>
      </c>
      <c r="E3254" s="5">
        <v>-30835</v>
      </c>
      <c r="F3254" s="3" t="s">
        <v>544</v>
      </c>
      <c r="G3254" s="3" t="s">
        <v>20</v>
      </c>
      <c r="H3254" s="2" t="s">
        <v>72</v>
      </c>
      <c r="I3254" s="2" t="s">
        <v>8026</v>
      </c>
      <c r="J3254" s="3" t="str">
        <f>HYPERLINK("https://www.boe.es/gazeta/dias/1815/07/29/pdfs/GMD-1815-93.pdf#page=4","Abrir facsímil")</f>
        <v>Abrir facsímil</v>
      </c>
      <c r="K3254" s="3" t="s">
        <v>74</v>
      </c>
    </row>
    <row r="3255" spans="1:11" ht="42" customHeight="1">
      <c r="A3255" s="2" t="s">
        <v>8024</v>
      </c>
      <c r="B3255" s="2" t="s">
        <v>8024</v>
      </c>
      <c r="C3255" s="2" t="s">
        <v>31</v>
      </c>
      <c r="D3255" s="2" t="s">
        <v>32</v>
      </c>
      <c r="E3255" s="5">
        <v>-30825</v>
      </c>
      <c r="F3255" s="3" t="s">
        <v>669</v>
      </c>
      <c r="G3255" s="3" t="s">
        <v>20</v>
      </c>
      <c r="H3255" s="2" t="s">
        <v>72</v>
      </c>
      <c r="I3255" s="2" t="s">
        <v>8027</v>
      </c>
      <c r="J3255" s="3" t="str">
        <f>HYPERLINK("https://www.boe.es/gazeta/dias/1815/08/08/pdfs/GMD-1815-97.pdf#page=4","Abrir facsímil")</f>
        <v>Abrir facsímil</v>
      </c>
      <c r="K3255" s="3" t="s">
        <v>74</v>
      </c>
    </row>
    <row r="3256" spans="1:11" ht="42" customHeight="1">
      <c r="A3256" s="2" t="s">
        <v>8024</v>
      </c>
      <c r="B3256" s="2" t="s">
        <v>8024</v>
      </c>
      <c r="C3256" s="2" t="s">
        <v>31</v>
      </c>
      <c r="D3256" s="2" t="s">
        <v>32</v>
      </c>
      <c r="E3256" s="5">
        <v>-30814</v>
      </c>
      <c r="F3256" s="3" t="s">
        <v>644</v>
      </c>
      <c r="G3256" s="3" t="s">
        <v>8028</v>
      </c>
      <c r="H3256" s="2" t="s">
        <v>72</v>
      </c>
      <c r="I3256" s="2" t="s">
        <v>8029</v>
      </c>
      <c r="J3256" s="3" t="str">
        <f>HYPERLINK("https://www.boe.es/gazeta/dias/1815/08/19/pdfs/GMD-1815-102.pdf#page=3","Abrir facsímil")</f>
        <v>Abrir facsímil</v>
      </c>
      <c r="K3256" s="3" t="s">
        <v>74</v>
      </c>
    </row>
    <row r="3257" spans="1:11" ht="42" customHeight="1">
      <c r="A3257" s="2" t="s">
        <v>8024</v>
      </c>
      <c r="B3257" s="2" t="s">
        <v>8024</v>
      </c>
      <c r="C3257" s="2" t="s">
        <v>31</v>
      </c>
      <c r="D3257" s="2" t="s">
        <v>32</v>
      </c>
      <c r="E3257" s="5">
        <v>-30723</v>
      </c>
      <c r="F3257" s="3" t="s">
        <v>77</v>
      </c>
      <c r="G3257" s="3" t="s">
        <v>97</v>
      </c>
      <c r="H3257" s="2" t="s">
        <v>72</v>
      </c>
      <c r="I3257" s="2" t="s">
        <v>8030</v>
      </c>
      <c r="J3257" s="3" t="str">
        <f>HYPERLINK("https://www.boe.es/gazeta/dias/1815/11/18/pdfs/GMD-1815-144.pdf#page=3","Abrir facsímil")</f>
        <v>Abrir facsímil</v>
      </c>
      <c r="K3257" s="3" t="s">
        <v>74</v>
      </c>
    </row>
    <row r="3258" spans="1:11" ht="42" customHeight="1">
      <c r="A3258" s="2" t="s">
        <v>8024</v>
      </c>
      <c r="B3258" s="2" t="s">
        <v>8024</v>
      </c>
      <c r="C3258" s="2" t="s">
        <v>31</v>
      </c>
      <c r="D3258" s="2" t="s">
        <v>32</v>
      </c>
      <c r="E3258" s="5">
        <v>-30690</v>
      </c>
      <c r="F3258" s="3" t="s">
        <v>1449</v>
      </c>
      <c r="G3258" s="3" t="s">
        <v>8031</v>
      </c>
      <c r="H3258" s="2" t="s">
        <v>72</v>
      </c>
      <c r="I3258" s="2" t="s">
        <v>8032</v>
      </c>
      <c r="J3258" s="3" t="str">
        <f>HYPERLINK("https://www.boe.es/gazeta/dias/1815/12/21/pdfs/GMD-1815-158.pdf#page=4","Abrir facsímil")</f>
        <v>Abrir facsímil</v>
      </c>
      <c r="K3258" s="3" t="s">
        <v>74</v>
      </c>
    </row>
    <row r="3259" spans="1:11" ht="42" customHeight="1">
      <c r="A3259" s="2" t="s">
        <v>8033</v>
      </c>
      <c r="B3259" s="2" t="s">
        <v>8034</v>
      </c>
      <c r="C3259" s="2" t="s">
        <v>49</v>
      </c>
      <c r="D3259" s="2" t="s">
        <v>50</v>
      </c>
      <c r="E3259" s="5">
        <v>-31000</v>
      </c>
      <c r="F3259" s="3" t="s">
        <v>70</v>
      </c>
      <c r="G3259" s="3" t="s">
        <v>847</v>
      </c>
      <c r="H3259" s="2" t="s">
        <v>72</v>
      </c>
      <c r="I3259" s="2" t="s">
        <v>8035</v>
      </c>
      <c r="J3259" s="3" t="str">
        <f>HYPERLINK("https://www.boe.es/gazeta/dias/1815/02/14/pdfs/GMD-1815-19.pdf#page=6","Abrir facsímil")</f>
        <v>Abrir facsímil</v>
      </c>
      <c r="K3259" s="3" t="s">
        <v>74</v>
      </c>
    </row>
    <row r="3260" spans="1:11" ht="42" customHeight="1">
      <c r="A3260" s="2" t="s">
        <v>8036</v>
      </c>
      <c r="B3260" s="2" t="s">
        <v>8037</v>
      </c>
      <c r="C3260" s="2" t="s">
        <v>17</v>
      </c>
      <c r="D3260" s="2" t="s">
        <v>18</v>
      </c>
      <c r="E3260" s="5">
        <v>-30818</v>
      </c>
      <c r="F3260" s="3" t="s">
        <v>334</v>
      </c>
      <c r="G3260" s="3" t="s">
        <v>88</v>
      </c>
      <c r="H3260" s="2" t="s">
        <v>72</v>
      </c>
      <c r="I3260" s="2" t="s">
        <v>8038</v>
      </c>
      <c r="J3260" s="3" t="str">
        <f>HYPERLINK("https://www.boe.es/gazeta/dias/1815/08/15/pdfs/GMD-1815-100.pdf#page=10","Abrir facsímil")</f>
        <v>Abrir facsímil</v>
      </c>
      <c r="K3260" s="3" t="s">
        <v>74</v>
      </c>
    </row>
    <row r="3261" spans="1:11" ht="42" customHeight="1">
      <c r="A3261" s="2" t="s">
        <v>8039</v>
      </c>
      <c r="B3261" s="2" t="s">
        <v>8040</v>
      </c>
      <c r="C3261" s="2" t="s">
        <v>49</v>
      </c>
      <c r="D3261" s="2" t="s">
        <v>50</v>
      </c>
      <c r="E3261" s="5">
        <v>-30835</v>
      </c>
      <c r="F3261" s="3" t="s">
        <v>544</v>
      </c>
      <c r="G3261" s="3" t="s">
        <v>224</v>
      </c>
      <c r="H3261" s="2" t="s">
        <v>72</v>
      </c>
      <c r="I3261" s="2" t="s">
        <v>8041</v>
      </c>
      <c r="J3261" s="3" t="str">
        <f>HYPERLINK("https://www.boe.es/gazeta/dias/1815/07/29/pdfs/GMD-1815-93.pdf#page=9","Abrir facsímil")</f>
        <v>Abrir facsímil</v>
      </c>
      <c r="K3261" s="3" t="s">
        <v>74</v>
      </c>
    </row>
    <row r="3262" spans="1:11" ht="42" customHeight="1">
      <c r="A3262" s="2" t="s">
        <v>8042</v>
      </c>
      <c r="B3262" s="2" t="s">
        <v>8043</v>
      </c>
      <c r="C3262" s="2" t="s">
        <v>49</v>
      </c>
      <c r="D3262" s="2" t="s">
        <v>50</v>
      </c>
      <c r="E3262" s="5">
        <v>-30832</v>
      </c>
      <c r="F3262" s="3" t="s">
        <v>266</v>
      </c>
      <c r="G3262" s="3" t="s">
        <v>224</v>
      </c>
      <c r="H3262" s="2" t="s">
        <v>72</v>
      </c>
      <c r="I3262" s="2" t="s">
        <v>8044</v>
      </c>
      <c r="J3262" s="3" t="str">
        <f>HYPERLINK("https://www.boe.es/gazeta/dias/1815/08/01/pdfs/GMD-1815-94.pdf#page=9","Abrir facsímil")</f>
        <v>Abrir facsímil</v>
      </c>
      <c r="K3262" s="3" t="s">
        <v>74</v>
      </c>
    </row>
    <row r="3263" spans="1:11" ht="42" customHeight="1">
      <c r="A3263" s="2" t="s">
        <v>8045</v>
      </c>
      <c r="B3263" s="2" t="s">
        <v>8046</v>
      </c>
      <c r="C3263" s="2" t="s">
        <v>49</v>
      </c>
      <c r="D3263" s="2" t="s">
        <v>50</v>
      </c>
      <c r="E3263" s="5">
        <v>-30830</v>
      </c>
      <c r="F3263" s="3" t="s">
        <v>33</v>
      </c>
      <c r="G3263" s="3" t="s">
        <v>52</v>
      </c>
      <c r="H3263" s="2" t="s">
        <v>72</v>
      </c>
      <c r="I3263" s="2" t="s">
        <v>8047</v>
      </c>
      <c r="J3263" s="3" t="str">
        <f>HYPERLINK("https://www.boe.es/gazeta/dias/1815/08/03/pdfs/GMD-1815-95.pdf#page=11","Abrir facsímil")</f>
        <v>Abrir facsímil</v>
      </c>
      <c r="K3263" s="3" t="s">
        <v>74</v>
      </c>
    </row>
    <row r="3264" spans="1:11" ht="42" customHeight="1">
      <c r="A3264" s="2" t="s">
        <v>8048</v>
      </c>
      <c r="B3264" s="2" t="s">
        <v>8049</v>
      </c>
      <c r="C3264" s="2" t="s">
        <v>49</v>
      </c>
      <c r="D3264" s="2" t="s">
        <v>50</v>
      </c>
      <c r="E3264" s="5">
        <v>-30916</v>
      </c>
      <c r="F3264" s="3" t="s">
        <v>147</v>
      </c>
      <c r="G3264" s="3" t="s">
        <v>38</v>
      </c>
      <c r="H3264" s="2" t="s">
        <v>72</v>
      </c>
      <c r="I3264" s="2" t="s">
        <v>8050</v>
      </c>
      <c r="J3264" s="3" t="str">
        <f>HYPERLINK("https://www.boe.es/gazeta/dias/1815/05/09/pdfs/GMD-1815-56.pdf#page=8","Abrir facsímil")</f>
        <v>Abrir facsímil</v>
      </c>
      <c r="K3264" s="3" t="s">
        <v>74</v>
      </c>
    </row>
    <row r="3265" spans="1:11" ht="42" customHeight="1">
      <c r="A3265" s="2" t="s">
        <v>8051</v>
      </c>
      <c r="B3265" s="2" t="s">
        <v>8052</v>
      </c>
      <c r="C3265" s="2" t="s">
        <v>31</v>
      </c>
      <c r="D3265" s="2" t="s">
        <v>32</v>
      </c>
      <c r="E3265" s="5">
        <v>-30818</v>
      </c>
      <c r="F3265" s="3" t="s">
        <v>334</v>
      </c>
      <c r="G3265" s="3" t="s">
        <v>88</v>
      </c>
      <c r="H3265" s="2" t="s">
        <v>72</v>
      </c>
      <c r="I3265" s="2" t="s">
        <v>8053</v>
      </c>
      <c r="J3265" s="3" t="str">
        <f>HYPERLINK("https://www.boe.es/gazeta/dias/1815/08/15/pdfs/GMD-1815-100.pdf#page=10","Abrir facsímil")</f>
        <v>Abrir facsímil</v>
      </c>
      <c r="K3265" s="3" t="s">
        <v>74</v>
      </c>
    </row>
    <row r="3266" spans="1:11" ht="42" customHeight="1">
      <c r="A3266" s="2" t="s">
        <v>8054</v>
      </c>
      <c r="B3266" s="2" t="s">
        <v>8055</v>
      </c>
      <c r="C3266" s="2" t="s">
        <v>49</v>
      </c>
      <c r="D3266" s="2" t="s">
        <v>50</v>
      </c>
      <c r="E3266" s="5">
        <v>-30870</v>
      </c>
      <c r="F3266" s="3" t="s">
        <v>122</v>
      </c>
      <c r="G3266" s="3" t="s">
        <v>88</v>
      </c>
      <c r="H3266" s="2" t="s">
        <v>72</v>
      </c>
      <c r="I3266" s="2" t="s">
        <v>8056</v>
      </c>
      <c r="J3266" s="3" t="str">
        <f>HYPERLINK("https://www.boe.es/gazeta/dias/1815/06/24/pdfs/GMD-1815-76.pdf#page=10","Abrir facsímil")</f>
        <v>Abrir facsímil</v>
      </c>
      <c r="K3266" s="3" t="s">
        <v>74</v>
      </c>
    </row>
    <row r="3267" spans="1:11" ht="42" customHeight="1">
      <c r="A3267" s="2" t="s">
        <v>8057</v>
      </c>
      <c r="B3267" s="2" t="s">
        <v>8058</v>
      </c>
      <c r="C3267" s="2" t="s">
        <v>31</v>
      </c>
      <c r="D3267" s="2" t="s">
        <v>32</v>
      </c>
      <c r="E3267" s="5">
        <v>-30725</v>
      </c>
      <c r="F3267" s="3" t="s">
        <v>1535</v>
      </c>
      <c r="G3267" s="3" t="s">
        <v>5348</v>
      </c>
      <c r="H3267" s="2" t="s">
        <v>72</v>
      </c>
      <c r="I3267" s="2" t="s">
        <v>8059</v>
      </c>
      <c r="J3267" s="3" t="str">
        <f>HYPERLINK("https://www.boe.es/gazeta/dias/1815/11/16/pdfs/GMD-1815-143.pdf#page=7","Abrir facsímil")</f>
        <v>Abrir facsímil</v>
      </c>
      <c r="K3267" s="3" t="s">
        <v>74</v>
      </c>
    </row>
    <row r="3268" spans="1:11" ht="42" customHeight="1">
      <c r="A3268" s="2" t="s">
        <v>8060</v>
      </c>
      <c r="B3268" s="2" t="s">
        <v>8061</v>
      </c>
      <c r="C3268" s="2" t="s">
        <v>49</v>
      </c>
      <c r="D3268" s="2" t="s">
        <v>50</v>
      </c>
      <c r="E3268" s="5">
        <v>-30720</v>
      </c>
      <c r="F3268" s="3" t="s">
        <v>373</v>
      </c>
      <c r="G3268" s="3" t="s">
        <v>88</v>
      </c>
      <c r="H3268" s="2" t="s">
        <v>72</v>
      </c>
      <c r="I3268" s="2" t="s">
        <v>8062</v>
      </c>
      <c r="J3268" s="3" t="str">
        <f>HYPERLINK("https://www.boe.es/gazeta/dias/1815/11/21/pdfs/GMD-1815-145.pdf#page=10","Abrir facsímil")</f>
        <v>Abrir facsímil</v>
      </c>
      <c r="K3268" s="3" t="s">
        <v>74</v>
      </c>
    </row>
    <row r="3269" spans="1:11" ht="42" customHeight="1">
      <c r="A3269" s="2" t="s">
        <v>8063</v>
      </c>
      <c r="B3269" s="2" t="s">
        <v>8064</v>
      </c>
      <c r="C3269" s="2" t="s">
        <v>49</v>
      </c>
      <c r="D3269" s="2" t="s">
        <v>50</v>
      </c>
      <c r="E3269" s="5">
        <v>-30893</v>
      </c>
      <c r="F3269" s="3" t="s">
        <v>132</v>
      </c>
      <c r="G3269" s="3" t="s">
        <v>155</v>
      </c>
      <c r="H3269" s="2" t="s">
        <v>72</v>
      </c>
      <c r="I3269" s="2" t="s">
        <v>8065</v>
      </c>
      <c r="J3269" s="3" t="str">
        <f>HYPERLINK("https://www.boe.es/gazeta/dias/1815/06/01/pdfs/GMD-1815-66.pdf#page=6","Abrir facsímil")</f>
        <v>Abrir facsímil</v>
      </c>
      <c r="K3269" s="3" t="s">
        <v>74</v>
      </c>
    </row>
    <row r="3270" spans="1:11" ht="42" customHeight="1">
      <c r="A3270" s="2" t="s">
        <v>8066</v>
      </c>
      <c r="B3270" s="2" t="s">
        <v>8067</v>
      </c>
      <c r="C3270" s="2" t="s">
        <v>195</v>
      </c>
      <c r="D3270" s="2" t="s">
        <v>50</v>
      </c>
      <c r="E3270" s="5">
        <v>-30991</v>
      </c>
      <c r="F3270" s="3" t="s">
        <v>318</v>
      </c>
      <c r="G3270" s="3" t="s">
        <v>319</v>
      </c>
      <c r="H3270" s="2" t="s">
        <v>72</v>
      </c>
      <c r="I3270" s="2" t="s">
        <v>8068</v>
      </c>
      <c r="J3270" s="3" t="str">
        <f>HYPERLINK("https://www.boe.es/gazeta/dias/1815/02/23/pdfs/GMD-1815-23.pdf#page=6","Abrir facsímil")</f>
        <v>Abrir facsímil</v>
      </c>
      <c r="K3270" s="3" t="s">
        <v>74</v>
      </c>
    </row>
    <row r="3271" spans="1:11" ht="42" customHeight="1">
      <c r="A3271" s="2" t="s">
        <v>8069</v>
      </c>
      <c r="B3271" s="2" t="s">
        <v>8069</v>
      </c>
      <c r="C3271" s="2" t="s">
        <v>31</v>
      </c>
      <c r="D3271" s="2" t="s">
        <v>32</v>
      </c>
      <c r="E3271" s="5">
        <v>-30916</v>
      </c>
      <c r="F3271" s="3" t="s">
        <v>147</v>
      </c>
      <c r="G3271" s="3" t="s">
        <v>410</v>
      </c>
      <c r="H3271" s="2" t="s">
        <v>72</v>
      </c>
      <c r="I3271" s="2" t="s">
        <v>8070</v>
      </c>
      <c r="J3271" s="3" t="str">
        <f>HYPERLINK("https://www.boe.es/gazeta/dias/1815/05/09/pdfs/GMD-1815-56.pdf#page=1","Abrir facsímil")</f>
        <v>Abrir facsímil</v>
      </c>
      <c r="K3271" s="3" t="s">
        <v>74</v>
      </c>
    </row>
    <row r="3272" spans="1:11" ht="42" customHeight="1">
      <c r="A3272" s="2" t="s">
        <v>8071</v>
      </c>
      <c r="B3272" s="2" t="s">
        <v>8072</v>
      </c>
      <c r="C3272" s="2" t="s">
        <v>195</v>
      </c>
      <c r="D3272" s="2" t="s">
        <v>50</v>
      </c>
      <c r="E3272" s="5">
        <v>-30732</v>
      </c>
      <c r="F3272" s="3" t="s">
        <v>554</v>
      </c>
      <c r="G3272" s="3" t="s">
        <v>38</v>
      </c>
      <c r="H3272" s="2" t="s">
        <v>72</v>
      </c>
      <c r="I3272" s="2" t="s">
        <v>8073</v>
      </c>
      <c r="J3272" s="3" t="str">
        <f>HYPERLINK("https://www.boe.es/gazeta/dias/1815/11/09/pdfs/GMD-1815-140.pdf#page=8","Abrir facsímil")</f>
        <v>Abrir facsímil</v>
      </c>
      <c r="K3272" s="3" t="s">
        <v>74</v>
      </c>
    </row>
    <row r="3273" spans="1:11" ht="42" customHeight="1">
      <c r="A3273" s="2" t="s">
        <v>8074</v>
      </c>
      <c r="B3273" s="2" t="s">
        <v>8075</v>
      </c>
      <c r="C3273" s="2" t="s">
        <v>31</v>
      </c>
      <c r="D3273" s="2" t="s">
        <v>32</v>
      </c>
      <c r="E3273" s="5">
        <v>-30958</v>
      </c>
      <c r="F3273" s="3" t="s">
        <v>297</v>
      </c>
      <c r="G3273" s="3" t="s">
        <v>57</v>
      </c>
      <c r="H3273" s="2" t="s">
        <v>72</v>
      </c>
      <c r="I3273" s="2" t="s">
        <v>8076</v>
      </c>
      <c r="J3273" s="3" t="str">
        <f>HYPERLINK("https://www.boe.es/gazeta/dias/1815/03/28/pdfs/GMD-1815-37.pdf#page=5","Abrir facsímil")</f>
        <v>Abrir facsímil</v>
      </c>
      <c r="K3273" s="3" t="s">
        <v>74</v>
      </c>
    </row>
    <row r="3274" spans="1:11" ht="42" customHeight="1">
      <c r="A3274" s="2" t="s">
        <v>8077</v>
      </c>
      <c r="B3274" s="2" t="s">
        <v>8078</v>
      </c>
      <c r="C3274" s="2" t="s">
        <v>49</v>
      </c>
      <c r="D3274" s="2" t="s">
        <v>50</v>
      </c>
      <c r="E3274" s="5">
        <v>-30863</v>
      </c>
      <c r="F3274" s="3" t="s">
        <v>110</v>
      </c>
      <c r="G3274" s="3" t="s">
        <v>224</v>
      </c>
      <c r="H3274" s="2" t="s">
        <v>72</v>
      </c>
      <c r="I3274" s="2" t="s">
        <v>8079</v>
      </c>
      <c r="J3274" s="3" t="str">
        <f>HYPERLINK("https://www.boe.es/gazeta/dias/1815/07/01/pdfs/GMD-1815-79.pdf#page=9","Abrir facsímil")</f>
        <v>Abrir facsímil</v>
      </c>
      <c r="K3274" s="3" t="s">
        <v>74</v>
      </c>
    </row>
    <row r="3275" spans="1:11" ht="42" customHeight="1">
      <c r="A3275" s="2" t="s">
        <v>8080</v>
      </c>
      <c r="B3275" s="2" t="s">
        <v>8081</v>
      </c>
      <c r="C3275" s="2" t="s">
        <v>31</v>
      </c>
      <c r="D3275" s="2" t="s">
        <v>32</v>
      </c>
      <c r="E3275" s="5">
        <v>-30716</v>
      </c>
      <c r="F3275" s="3" t="s">
        <v>589</v>
      </c>
      <c r="G3275" s="3" t="s">
        <v>27</v>
      </c>
      <c r="H3275" s="2" t="s">
        <v>72</v>
      </c>
      <c r="I3275" s="2" t="s">
        <v>8082</v>
      </c>
      <c r="J3275" s="3" t="str">
        <f>HYPERLINK("https://www.boe.es/gazeta/dias/1815/11/25/pdfs/GMD-1815-147.pdf#page=6","Abrir facsímil")</f>
        <v>Abrir facsímil</v>
      </c>
      <c r="K3275" s="3" t="s">
        <v>74</v>
      </c>
    </row>
    <row r="3276" spans="1:11" ht="42" customHeight="1">
      <c r="A3276" s="2" t="s">
        <v>8083</v>
      </c>
      <c r="B3276" s="2" t="s">
        <v>8084</v>
      </c>
      <c r="C3276" s="2" t="s">
        <v>49</v>
      </c>
      <c r="D3276" s="2" t="s">
        <v>50</v>
      </c>
      <c r="E3276" s="5">
        <v>-30886</v>
      </c>
      <c r="F3276" s="3" t="s">
        <v>140</v>
      </c>
      <c r="G3276" s="3" t="s">
        <v>38</v>
      </c>
      <c r="H3276" s="2" t="s">
        <v>72</v>
      </c>
      <c r="I3276" s="2" t="s">
        <v>8085</v>
      </c>
      <c r="J3276" s="3" t="str">
        <f>HYPERLINK("https://www.boe.es/gazeta/dias/1815/06/08/pdfs/GMD-1815-69.pdf#page=8","Abrir facsímil")</f>
        <v>Abrir facsímil</v>
      </c>
      <c r="K3276" s="3" t="s">
        <v>74</v>
      </c>
    </row>
    <row r="3277" spans="1:11" ht="42" customHeight="1">
      <c r="A3277" s="2" t="s">
        <v>8086</v>
      </c>
      <c r="B3277" s="2" t="s">
        <v>8087</v>
      </c>
      <c r="C3277" s="2" t="s">
        <v>31</v>
      </c>
      <c r="D3277" s="2" t="s">
        <v>32</v>
      </c>
      <c r="E3277" s="5">
        <v>-30916</v>
      </c>
      <c r="F3277" s="3" t="s">
        <v>147</v>
      </c>
      <c r="G3277" s="3" t="s">
        <v>38</v>
      </c>
      <c r="H3277" s="2" t="s">
        <v>72</v>
      </c>
      <c r="I3277" s="2" t="s">
        <v>8088</v>
      </c>
      <c r="J3277" s="3" t="str">
        <f>HYPERLINK("https://www.boe.es/gazeta/dias/1815/05/09/pdfs/GMD-1815-56.pdf#page=8","Abrir facsímil")</f>
        <v>Abrir facsímil</v>
      </c>
      <c r="K3277" s="3" t="s">
        <v>74</v>
      </c>
    </row>
    <row r="3278" spans="1:11" ht="42" customHeight="1">
      <c r="A3278" s="2" t="s">
        <v>8089</v>
      </c>
      <c r="B3278" s="2" t="s">
        <v>8089</v>
      </c>
      <c r="C3278" s="2" t="s">
        <v>31</v>
      </c>
      <c r="D3278" s="2" t="s">
        <v>32</v>
      </c>
      <c r="E3278" s="5">
        <v>-30937</v>
      </c>
      <c r="F3278" s="3" t="s">
        <v>322</v>
      </c>
      <c r="G3278" s="3" t="s">
        <v>20</v>
      </c>
      <c r="H3278" s="2" t="s">
        <v>72</v>
      </c>
      <c r="I3278" s="2" t="s">
        <v>8090</v>
      </c>
      <c r="J3278" s="3" t="str">
        <f>HYPERLINK("https://www.boe.es/gazeta/dias/1815/04/18/pdfs/GMD-1815-47.pdf#page=4","Abrir facsímil")</f>
        <v>Abrir facsímil</v>
      </c>
      <c r="K3278" s="3" t="s">
        <v>74</v>
      </c>
    </row>
    <row r="3279" spans="1:11" ht="42" customHeight="1">
      <c r="A3279" s="2" t="s">
        <v>8091</v>
      </c>
      <c r="B3279" s="2" t="s">
        <v>8091</v>
      </c>
      <c r="C3279" s="2" t="s">
        <v>31</v>
      </c>
      <c r="D3279" s="2" t="s">
        <v>32</v>
      </c>
      <c r="E3279" s="5">
        <v>-30923</v>
      </c>
      <c r="F3279" s="3" t="s">
        <v>524</v>
      </c>
      <c r="G3279" s="3" t="s">
        <v>71</v>
      </c>
      <c r="H3279" s="2" t="s">
        <v>72</v>
      </c>
      <c r="I3279" s="2" t="s">
        <v>8092</v>
      </c>
      <c r="J3279" s="3" t="str">
        <f>HYPERLINK("https://www.boe.es/gazeta/dias/1815/05/02/pdfs/GMD-1815-53.pdf#page=7","Abrir facsímil")</f>
        <v>Abrir facsímil</v>
      </c>
      <c r="K3279" s="3" t="s">
        <v>74</v>
      </c>
    </row>
    <row r="3280" spans="1:11" ht="42" customHeight="1">
      <c r="A3280" s="2" t="s">
        <v>8093</v>
      </c>
      <c r="B3280" s="2" t="s">
        <v>8094</v>
      </c>
      <c r="C3280" s="2" t="s">
        <v>195</v>
      </c>
      <c r="D3280" s="2" t="s">
        <v>50</v>
      </c>
      <c r="E3280" s="5">
        <v>-30874</v>
      </c>
      <c r="F3280" s="3" t="s">
        <v>208</v>
      </c>
      <c r="G3280" s="3" t="s">
        <v>71</v>
      </c>
      <c r="H3280" s="2" t="s">
        <v>72</v>
      </c>
      <c r="I3280" s="2" t="s">
        <v>8095</v>
      </c>
      <c r="J3280" s="3" t="str">
        <f>HYPERLINK("https://www.boe.es/gazeta/dias/1815/06/20/pdfs/GMD-1815-74.pdf#page=7","Abrir facsímil")</f>
        <v>Abrir facsímil</v>
      </c>
      <c r="K3280" s="3" t="s">
        <v>74</v>
      </c>
    </row>
    <row r="3281" spans="1:11" ht="42" customHeight="1">
      <c r="A3281" s="2" t="s">
        <v>8096</v>
      </c>
      <c r="B3281" s="2" t="s">
        <v>8097</v>
      </c>
      <c r="C3281" s="2" t="s">
        <v>49</v>
      </c>
      <c r="D3281" s="2" t="s">
        <v>50</v>
      </c>
      <c r="E3281" s="5">
        <v>-31040</v>
      </c>
      <c r="F3281" s="3" t="s">
        <v>326</v>
      </c>
      <c r="G3281" s="3" t="s">
        <v>38</v>
      </c>
      <c r="H3281" s="2" t="s">
        <v>72</v>
      </c>
      <c r="I3281" s="2" t="s">
        <v>8098</v>
      </c>
      <c r="J3281" s="3" t="str">
        <f>HYPERLINK("https://www.boe.es/gazeta/dias/1815/01/05/pdfs/GMD-1815-2.pdf#page=8","Abrir facsímil")</f>
        <v>Abrir facsímil</v>
      </c>
      <c r="K3281" s="3" t="s">
        <v>74</v>
      </c>
    </row>
    <row r="3282" spans="1:11" ht="42" customHeight="1">
      <c r="A3282" s="2" t="s">
        <v>8099</v>
      </c>
      <c r="B3282" s="2" t="s">
        <v>8100</v>
      </c>
      <c r="C3282" s="2" t="s">
        <v>897</v>
      </c>
      <c r="D3282" s="2" t="s">
        <v>50</v>
      </c>
      <c r="E3282" s="5">
        <v>-30746</v>
      </c>
      <c r="F3282" s="3" t="s">
        <v>3203</v>
      </c>
      <c r="G3282" s="3" t="s">
        <v>7425</v>
      </c>
      <c r="H3282" s="2" t="s">
        <v>21</v>
      </c>
      <c r="I3282" s="2" t="s">
        <v>8101</v>
      </c>
      <c r="J3282" s="3" t="str">
        <f>HYPERLINK("https://www.boe.es/gazeta/dias/1815/10/26/pdfs/GMD-1815-134.pdf#page=8","Abrir facsímil")</f>
        <v>Abrir facsímil</v>
      </c>
      <c r="K3282" s="3" t="s">
        <v>23</v>
      </c>
    </row>
    <row r="3283" spans="1:11" ht="42" customHeight="1">
      <c r="A3283" s="2" t="s">
        <v>8102</v>
      </c>
      <c r="B3283" s="2" t="s">
        <v>8102</v>
      </c>
      <c r="C3283" s="2" t="s">
        <v>31</v>
      </c>
      <c r="D3283" s="2" t="s">
        <v>32</v>
      </c>
      <c r="E3283" s="5">
        <v>-30933</v>
      </c>
      <c r="F3283" s="3" t="s">
        <v>725</v>
      </c>
      <c r="G3283" s="3" t="s">
        <v>27</v>
      </c>
      <c r="H3283" s="2" t="s">
        <v>72</v>
      </c>
      <c r="I3283" s="2" t="s">
        <v>8103</v>
      </c>
      <c r="J3283" s="3" t="str">
        <f>HYPERLINK("https://www.boe.es/gazeta/dias/1815/04/22/pdfs/GMD-1815-49.pdf#page=6","Abrir facsímil")</f>
        <v>Abrir facsímil</v>
      </c>
      <c r="K3283" s="3" t="s">
        <v>74</v>
      </c>
    </row>
    <row r="3284" spans="1:11" ht="42" customHeight="1">
      <c r="A3284" s="2" t="s">
        <v>8104</v>
      </c>
      <c r="B3284" s="2" t="s">
        <v>8104</v>
      </c>
      <c r="C3284" s="2" t="s">
        <v>31</v>
      </c>
      <c r="D3284" s="2" t="s">
        <v>32</v>
      </c>
      <c r="E3284" s="5">
        <v>-30823</v>
      </c>
      <c r="F3284" s="3" t="s">
        <v>305</v>
      </c>
      <c r="G3284" s="3" t="s">
        <v>97</v>
      </c>
      <c r="H3284" s="2" t="s">
        <v>72</v>
      </c>
      <c r="I3284" s="2" t="s">
        <v>8105</v>
      </c>
      <c r="J3284" s="3" t="str">
        <f>HYPERLINK("https://www.boe.es/gazeta/dias/1815/08/10/pdfs/GMD-1815-98.pdf#page=3","Abrir facsímil")</f>
        <v>Abrir facsímil</v>
      </c>
      <c r="K3284" s="3" t="s">
        <v>74</v>
      </c>
    </row>
    <row r="3285" spans="1:11" ht="42" customHeight="1">
      <c r="A3285" s="2" t="s">
        <v>8106</v>
      </c>
      <c r="B3285" s="2" t="s">
        <v>8107</v>
      </c>
      <c r="C3285" s="2" t="s">
        <v>17</v>
      </c>
      <c r="D3285" s="2" t="s">
        <v>18</v>
      </c>
      <c r="E3285" s="5">
        <v>-30949</v>
      </c>
      <c r="F3285" s="3" t="s">
        <v>420</v>
      </c>
      <c r="G3285" s="3" t="s">
        <v>57</v>
      </c>
      <c r="H3285" s="2" t="s">
        <v>72</v>
      </c>
      <c r="I3285" s="2" t="s">
        <v>8108</v>
      </c>
      <c r="J3285" s="3" t="str">
        <f>HYPERLINK("https://www.boe.es/gazeta/dias/1815/04/06/pdfs/GMD-1815-42.pdf#page=5","Abrir facsímil")</f>
        <v>Abrir facsímil</v>
      </c>
      <c r="K3285" s="3" t="s">
        <v>74</v>
      </c>
    </row>
    <row r="3286" spans="1:11" ht="42" customHeight="1">
      <c r="A3286" s="2" t="s">
        <v>8109</v>
      </c>
      <c r="B3286" s="2" t="s">
        <v>8110</v>
      </c>
      <c r="C3286" s="2" t="s">
        <v>131</v>
      </c>
      <c r="D3286" s="2" t="s">
        <v>50</v>
      </c>
      <c r="E3286" s="5">
        <v>-30965</v>
      </c>
      <c r="F3286" s="3" t="s">
        <v>1679</v>
      </c>
      <c r="G3286" s="3" t="s">
        <v>38</v>
      </c>
      <c r="H3286" s="2" t="s">
        <v>72</v>
      </c>
      <c r="I3286" s="2" t="s">
        <v>8111</v>
      </c>
      <c r="J3286" s="3" t="str">
        <f>HYPERLINK("https://www.boe.es/gazeta/dias/1815/03/21/pdfs/GMD-1815-34.pdf#page=8","Abrir facsímil")</f>
        <v>Abrir facsímil</v>
      </c>
      <c r="K3286" s="3" t="s">
        <v>74</v>
      </c>
    </row>
    <row r="3287" spans="1:11" ht="42" customHeight="1">
      <c r="A3287" s="2" t="s">
        <v>8109</v>
      </c>
      <c r="B3287" s="2" t="s">
        <v>8110</v>
      </c>
      <c r="C3287" s="2" t="s">
        <v>17</v>
      </c>
      <c r="D3287" s="2" t="s">
        <v>18</v>
      </c>
      <c r="E3287" s="5">
        <v>-30933</v>
      </c>
      <c r="F3287" s="3" t="s">
        <v>725</v>
      </c>
      <c r="G3287" s="3" t="s">
        <v>3007</v>
      </c>
      <c r="H3287" s="2" t="s">
        <v>72</v>
      </c>
      <c r="I3287" s="2" t="s">
        <v>8112</v>
      </c>
      <c r="J3287" s="3" t="str">
        <f>HYPERLINK("https://www.boe.es/gazeta/dias/1815/04/22/pdfs/GMD-1815-49.pdf#page=8","Abrir facsímil")</f>
        <v>Abrir facsímil</v>
      </c>
      <c r="K3287" s="3" t="s">
        <v>74</v>
      </c>
    </row>
    <row r="3288" spans="1:11" ht="42" customHeight="1">
      <c r="A3288" s="2" t="s">
        <v>8109</v>
      </c>
      <c r="B3288" s="2" t="s">
        <v>8110</v>
      </c>
      <c r="C3288" s="2" t="s">
        <v>131</v>
      </c>
      <c r="D3288" s="2" t="s">
        <v>50</v>
      </c>
      <c r="E3288" s="5">
        <v>-30923</v>
      </c>
      <c r="F3288" s="3" t="s">
        <v>524</v>
      </c>
      <c r="G3288" s="3" t="s">
        <v>1289</v>
      </c>
      <c r="H3288" s="2" t="s">
        <v>72</v>
      </c>
      <c r="I3288" s="2" t="s">
        <v>8113</v>
      </c>
      <c r="J3288" s="3" t="str">
        <f>HYPERLINK("https://www.boe.es/gazeta/dias/1815/05/02/pdfs/GMD-1815-53.pdf#page=11","Abrir facsímil")</f>
        <v>Abrir facsímil</v>
      </c>
      <c r="K3288" s="3" t="s">
        <v>74</v>
      </c>
    </row>
    <row r="3289" spans="1:11" ht="42" customHeight="1">
      <c r="A3289" s="2" t="s">
        <v>8114</v>
      </c>
      <c r="B3289" s="2" t="s">
        <v>8115</v>
      </c>
      <c r="C3289" s="2" t="s">
        <v>17</v>
      </c>
      <c r="D3289" s="2" t="s">
        <v>18</v>
      </c>
      <c r="E3289" s="5">
        <v>-30751</v>
      </c>
      <c r="F3289" s="3" t="s">
        <v>819</v>
      </c>
      <c r="G3289" s="3" t="s">
        <v>38</v>
      </c>
      <c r="H3289" s="2" t="s">
        <v>72</v>
      </c>
      <c r="I3289" s="2" t="s">
        <v>8116</v>
      </c>
      <c r="J3289" s="3" t="str">
        <f>HYPERLINK("https://www.boe.es/gazeta/dias/1815/10/21/pdfs/GMD-1815-132.pdf#page=8","Abrir facsímil")</f>
        <v>Abrir facsímil</v>
      </c>
      <c r="K3289" s="3" t="s">
        <v>74</v>
      </c>
    </row>
    <row r="3290" spans="1:11" ht="42" customHeight="1">
      <c r="A3290" s="2" t="s">
        <v>8117</v>
      </c>
      <c r="B3290" s="2" t="s">
        <v>8118</v>
      </c>
      <c r="C3290" s="2" t="s">
        <v>195</v>
      </c>
      <c r="D3290" s="2" t="s">
        <v>50</v>
      </c>
      <c r="E3290" s="5">
        <v>-30874</v>
      </c>
      <c r="F3290" s="3" t="s">
        <v>208</v>
      </c>
      <c r="G3290" s="3" t="s">
        <v>71</v>
      </c>
      <c r="H3290" s="2" t="s">
        <v>21</v>
      </c>
      <c r="I3290" s="2" t="s">
        <v>8119</v>
      </c>
      <c r="J3290" s="3" t="str">
        <f>HYPERLINK("https://www.boe.es/gazeta/dias/1815/06/20/pdfs/GMD-1815-74.pdf#page=7","Abrir facsímil")</f>
        <v>Abrir facsímil</v>
      </c>
      <c r="K3290" s="3" t="s">
        <v>23</v>
      </c>
    </row>
    <row r="3291" spans="1:11" ht="42" customHeight="1">
      <c r="A3291" s="2" t="s">
        <v>8120</v>
      </c>
      <c r="B3291" s="2" t="s">
        <v>8121</v>
      </c>
      <c r="C3291" s="2" t="s">
        <v>195</v>
      </c>
      <c r="D3291" s="2" t="s">
        <v>50</v>
      </c>
      <c r="E3291" s="5">
        <v>-30888</v>
      </c>
      <c r="F3291" s="3" t="s">
        <v>368</v>
      </c>
      <c r="G3291" s="3" t="s">
        <v>38</v>
      </c>
      <c r="H3291" s="2" t="s">
        <v>72</v>
      </c>
      <c r="I3291" s="2" t="s">
        <v>8122</v>
      </c>
      <c r="J3291" s="3" t="str">
        <f>HYPERLINK("https://www.boe.es/gazeta/dias/1815/06/06/pdfs/GMD-1815-68.pdf#page=8","Abrir facsímil")</f>
        <v>Abrir facsímil</v>
      </c>
      <c r="K3291" s="3" t="s">
        <v>74</v>
      </c>
    </row>
    <row r="3292" spans="1:11" ht="42" customHeight="1">
      <c r="A3292" s="2" t="s">
        <v>8123</v>
      </c>
      <c r="B3292" s="2" t="s">
        <v>8123</v>
      </c>
      <c r="C3292" s="2" t="s">
        <v>17</v>
      </c>
      <c r="D3292" s="2" t="s">
        <v>18</v>
      </c>
      <c r="E3292" s="5">
        <v>-31038</v>
      </c>
      <c r="F3292" s="3" t="s">
        <v>395</v>
      </c>
      <c r="G3292" s="3" t="s">
        <v>27</v>
      </c>
      <c r="H3292" s="2" t="s">
        <v>72</v>
      </c>
      <c r="I3292" s="2" t="s">
        <v>8124</v>
      </c>
      <c r="J3292" s="3" t="str">
        <f>HYPERLINK("https://www.boe.es/gazeta/dias/1815/01/07/pdfs/GMD-1815-3.pdf#page=6","Abrir facsímil")</f>
        <v>Abrir facsímil</v>
      </c>
      <c r="K3292" s="3" t="s">
        <v>74</v>
      </c>
    </row>
    <row r="3293" spans="1:11" ht="42" customHeight="1">
      <c r="A3293" s="2" t="s">
        <v>8123</v>
      </c>
      <c r="B3293" s="2" t="s">
        <v>8123</v>
      </c>
      <c r="C3293" s="2" t="s">
        <v>31</v>
      </c>
      <c r="D3293" s="2" t="s">
        <v>32</v>
      </c>
      <c r="E3293" s="5">
        <v>-31019</v>
      </c>
      <c r="F3293" s="3" t="s">
        <v>1094</v>
      </c>
      <c r="G3293" s="3" t="s">
        <v>88</v>
      </c>
      <c r="H3293" s="2" t="s">
        <v>72</v>
      </c>
      <c r="I3293" s="2" t="s">
        <v>8125</v>
      </c>
      <c r="J3293" s="3" t="str">
        <f>HYPERLINK("https://www.boe.es/gazeta/dias/1815/01/26/pdfs/GMD-1815-11.pdf#page=10","Abrir facsímil")</f>
        <v>Abrir facsímil</v>
      </c>
      <c r="K3293" s="3" t="s">
        <v>74</v>
      </c>
    </row>
    <row r="3294" spans="1:11" ht="42" customHeight="1">
      <c r="A3294" s="2" t="s">
        <v>8123</v>
      </c>
      <c r="B3294" s="2" t="s">
        <v>8123</v>
      </c>
      <c r="C3294" s="2" t="s">
        <v>195</v>
      </c>
      <c r="D3294" s="2" t="s">
        <v>50</v>
      </c>
      <c r="E3294" s="5">
        <v>-31010</v>
      </c>
      <c r="F3294" s="3" t="s">
        <v>1098</v>
      </c>
      <c r="G3294" s="3" t="s">
        <v>38</v>
      </c>
      <c r="H3294" s="2" t="s">
        <v>72</v>
      </c>
      <c r="I3294" s="2" t="s">
        <v>8126</v>
      </c>
      <c r="J3294" s="3" t="str">
        <f>HYPERLINK("https://www.boe.es/gazeta/dias/1815/02/04/pdfs/GMD-1815-15.pdf#page=8","Abrir facsímil")</f>
        <v>Abrir facsímil</v>
      </c>
      <c r="K3294" s="3" t="s">
        <v>74</v>
      </c>
    </row>
    <row r="3295" spans="1:11" ht="42" customHeight="1">
      <c r="A3295" s="2" t="s">
        <v>8123</v>
      </c>
      <c r="B3295" s="2" t="s">
        <v>8123</v>
      </c>
      <c r="C3295" s="2" t="s">
        <v>894</v>
      </c>
      <c r="D3295" s="2" t="s">
        <v>18</v>
      </c>
      <c r="E3295" s="5">
        <v>-31003</v>
      </c>
      <c r="F3295" s="3" t="s">
        <v>405</v>
      </c>
      <c r="G3295" s="3" t="s">
        <v>1136</v>
      </c>
      <c r="H3295" s="2" t="s">
        <v>72</v>
      </c>
      <c r="I3295" s="2" t="s">
        <v>8127</v>
      </c>
      <c r="J3295" s="3" t="str">
        <f>HYPERLINK("https://www.boe.es/gazeta/dias/1815/02/11/pdfs/GMD-1815-18.pdf#page=7","Abrir facsímil")</f>
        <v>Abrir facsímil</v>
      </c>
      <c r="K3295" s="3" t="s">
        <v>74</v>
      </c>
    </row>
    <row r="3296" spans="1:11" ht="42" customHeight="1">
      <c r="A3296" s="2" t="s">
        <v>8123</v>
      </c>
      <c r="B3296" s="2" t="s">
        <v>8123</v>
      </c>
      <c r="C3296" s="2" t="s">
        <v>17</v>
      </c>
      <c r="D3296" s="2" t="s">
        <v>18</v>
      </c>
      <c r="E3296" s="5">
        <v>-30982</v>
      </c>
      <c r="F3296" s="3" t="s">
        <v>220</v>
      </c>
      <c r="G3296" s="3" t="s">
        <v>38</v>
      </c>
      <c r="H3296" s="2" t="s">
        <v>72</v>
      </c>
      <c r="I3296" s="2" t="s">
        <v>8128</v>
      </c>
      <c r="J3296" s="3" t="str">
        <f>HYPERLINK("https://www.boe.es/gazeta/dias/1815/03/04/pdfs/GMD-1815-27.pdf#page=8","Abrir facsímil")</f>
        <v>Abrir facsímil</v>
      </c>
      <c r="K3296" s="3" t="s">
        <v>74</v>
      </c>
    </row>
    <row r="3297" spans="1:11" ht="42" customHeight="1">
      <c r="A3297" s="2" t="s">
        <v>8123</v>
      </c>
      <c r="B3297" s="2" t="s">
        <v>8123</v>
      </c>
      <c r="C3297" s="2" t="s">
        <v>31</v>
      </c>
      <c r="D3297" s="2" t="s">
        <v>32</v>
      </c>
      <c r="E3297" s="5">
        <v>-30979</v>
      </c>
      <c r="F3297" s="3" t="s">
        <v>56</v>
      </c>
      <c r="G3297" s="3" t="s">
        <v>27</v>
      </c>
      <c r="H3297" s="2" t="s">
        <v>72</v>
      </c>
      <c r="I3297" s="2" t="s">
        <v>8129</v>
      </c>
      <c r="J3297" s="3" t="str">
        <f>HYPERLINK("https://www.boe.es/gazeta/dias/1815/03/07/pdfs/GMD-1815-28.pdf#page=6","Abrir facsímil")</f>
        <v>Abrir facsímil</v>
      </c>
      <c r="K3297" s="3" t="s">
        <v>74</v>
      </c>
    </row>
    <row r="3298" spans="1:11" ht="42" customHeight="1">
      <c r="A3298" s="2" t="s">
        <v>8123</v>
      </c>
      <c r="B3298" s="2" t="s">
        <v>8123</v>
      </c>
      <c r="C3298" s="2" t="s">
        <v>31</v>
      </c>
      <c r="D3298" s="2" t="s">
        <v>32</v>
      </c>
      <c r="E3298" s="5">
        <v>-30958</v>
      </c>
      <c r="F3298" s="3" t="s">
        <v>297</v>
      </c>
      <c r="G3298" s="3" t="s">
        <v>57</v>
      </c>
      <c r="H3298" s="2" t="s">
        <v>72</v>
      </c>
      <c r="I3298" s="2" t="s">
        <v>8130</v>
      </c>
      <c r="J3298" s="3" t="str">
        <f>HYPERLINK("https://www.boe.es/gazeta/dias/1815/03/28/pdfs/GMD-1815-37.pdf#page=5","Abrir facsímil")</f>
        <v>Abrir facsímil</v>
      </c>
      <c r="K3298" s="3" t="s">
        <v>74</v>
      </c>
    </row>
    <row r="3299" spans="1:11" ht="42" customHeight="1">
      <c r="A3299" s="2" t="s">
        <v>8123</v>
      </c>
      <c r="B3299" s="2" t="s">
        <v>8123</v>
      </c>
      <c r="C3299" s="2" t="s">
        <v>195</v>
      </c>
      <c r="D3299" s="2" t="s">
        <v>50</v>
      </c>
      <c r="E3299" s="5">
        <v>-30930</v>
      </c>
      <c r="F3299" s="3" t="s">
        <v>51</v>
      </c>
      <c r="G3299" s="3" t="s">
        <v>276</v>
      </c>
      <c r="H3299" s="2" t="s">
        <v>72</v>
      </c>
      <c r="I3299" s="2" t="s">
        <v>8131</v>
      </c>
      <c r="J3299" s="3" t="str">
        <f>HYPERLINK("https://www.boe.es/gazeta/dias/1815/04/25/pdfs/GMD-1815-50.pdf#page=12","Abrir facsímil")</f>
        <v>Abrir facsímil</v>
      </c>
      <c r="K3299" s="3" t="s">
        <v>74</v>
      </c>
    </row>
    <row r="3300" spans="1:11" ht="42" customHeight="1">
      <c r="A3300" s="2" t="s">
        <v>8123</v>
      </c>
      <c r="B3300" s="2" t="s">
        <v>8123</v>
      </c>
      <c r="C3300" s="2" t="s">
        <v>195</v>
      </c>
      <c r="D3300" s="2" t="s">
        <v>50</v>
      </c>
      <c r="E3300" s="5">
        <v>-30923</v>
      </c>
      <c r="F3300" s="3" t="s">
        <v>524</v>
      </c>
      <c r="G3300" s="3" t="s">
        <v>88</v>
      </c>
      <c r="H3300" s="2" t="s">
        <v>72</v>
      </c>
      <c r="I3300" s="2" t="s">
        <v>8132</v>
      </c>
      <c r="J3300" s="3" t="str">
        <f>HYPERLINK("https://www.boe.es/gazeta/dias/1815/05/02/pdfs/GMD-1815-53.pdf#page=10","Abrir facsímil")</f>
        <v>Abrir facsímil</v>
      </c>
      <c r="K3300" s="3" t="s">
        <v>74</v>
      </c>
    </row>
    <row r="3301" spans="1:11" ht="42" customHeight="1">
      <c r="A3301" s="2" t="s">
        <v>8123</v>
      </c>
      <c r="B3301" s="2" t="s">
        <v>8123</v>
      </c>
      <c r="C3301" s="2" t="s">
        <v>31</v>
      </c>
      <c r="D3301" s="2" t="s">
        <v>32</v>
      </c>
      <c r="E3301" s="5">
        <v>-30907</v>
      </c>
      <c r="F3301" s="3" t="s">
        <v>301</v>
      </c>
      <c r="G3301" s="3" t="s">
        <v>71</v>
      </c>
      <c r="H3301" s="2" t="s">
        <v>72</v>
      </c>
      <c r="I3301" s="2" t="s">
        <v>8133</v>
      </c>
      <c r="J3301" s="3" t="str">
        <f>HYPERLINK("https://www.boe.es/gazeta/dias/1815/05/18/pdfs/GMD-1815-60.pdf#page=7","Abrir facsímil")</f>
        <v>Abrir facsímil</v>
      </c>
      <c r="K3301" s="3" t="s">
        <v>74</v>
      </c>
    </row>
    <row r="3302" spans="1:11" ht="42" customHeight="1">
      <c r="A3302" s="2" t="s">
        <v>8123</v>
      </c>
      <c r="B3302" s="2" t="s">
        <v>8123</v>
      </c>
      <c r="C3302" s="2" t="s">
        <v>31</v>
      </c>
      <c r="D3302" s="2" t="s">
        <v>32</v>
      </c>
      <c r="E3302" s="5">
        <v>-30893</v>
      </c>
      <c r="F3302" s="3" t="s">
        <v>132</v>
      </c>
      <c r="G3302" s="3" t="s">
        <v>71</v>
      </c>
      <c r="H3302" s="2" t="s">
        <v>72</v>
      </c>
      <c r="I3302" s="2" t="s">
        <v>8134</v>
      </c>
      <c r="J3302" s="3" t="str">
        <f>HYPERLINK("https://www.boe.es/gazeta/dias/1815/06/01/pdfs/GMD-1815-66.pdf#page=7","Abrir facsímil")</f>
        <v>Abrir facsímil</v>
      </c>
      <c r="K3302" s="3" t="s">
        <v>74</v>
      </c>
    </row>
    <row r="3303" spans="1:11" ht="42" customHeight="1">
      <c r="A3303" s="2" t="s">
        <v>8123</v>
      </c>
      <c r="B3303" s="2" t="s">
        <v>8123</v>
      </c>
      <c r="C3303" s="2" t="s">
        <v>31</v>
      </c>
      <c r="D3303" s="2" t="s">
        <v>32</v>
      </c>
      <c r="E3303" s="5">
        <v>-30888</v>
      </c>
      <c r="F3303" s="3" t="s">
        <v>368</v>
      </c>
      <c r="G3303" s="3" t="s">
        <v>276</v>
      </c>
      <c r="H3303" s="2" t="s">
        <v>72</v>
      </c>
      <c r="I3303" s="2" t="s">
        <v>8135</v>
      </c>
      <c r="J3303" s="3" t="str">
        <f>HYPERLINK("https://www.boe.es/gazeta/dias/1815/06/06/pdfs/GMD-1815-68.pdf#page=12","Abrir facsímil")</f>
        <v>Abrir facsímil</v>
      </c>
      <c r="K3303" s="3" t="s">
        <v>74</v>
      </c>
    </row>
    <row r="3304" spans="1:11" ht="42" customHeight="1">
      <c r="A3304" s="2" t="s">
        <v>8123</v>
      </c>
      <c r="B3304" s="2" t="s">
        <v>8123</v>
      </c>
      <c r="C3304" s="2" t="s">
        <v>195</v>
      </c>
      <c r="D3304" s="2" t="s">
        <v>50</v>
      </c>
      <c r="E3304" s="5">
        <v>-30874</v>
      </c>
      <c r="F3304" s="3" t="s">
        <v>208</v>
      </c>
      <c r="G3304" s="3" t="s">
        <v>71</v>
      </c>
      <c r="H3304" s="2" t="s">
        <v>72</v>
      </c>
      <c r="I3304" s="2" t="s">
        <v>8136</v>
      </c>
      <c r="J3304" s="3" t="str">
        <f>HYPERLINK("https://www.boe.es/gazeta/dias/1815/06/20/pdfs/GMD-1815-74.pdf#page=7","Abrir facsímil")</f>
        <v>Abrir facsímil</v>
      </c>
      <c r="K3304" s="3" t="s">
        <v>74</v>
      </c>
    </row>
    <row r="3305" spans="1:11" ht="42" customHeight="1">
      <c r="A3305" s="2" t="s">
        <v>8123</v>
      </c>
      <c r="B3305" s="2" t="s">
        <v>8123</v>
      </c>
      <c r="C3305" s="2" t="s">
        <v>49</v>
      </c>
      <c r="D3305" s="2" t="s">
        <v>50</v>
      </c>
      <c r="E3305" s="5">
        <v>-30865</v>
      </c>
      <c r="F3305" s="3" t="s">
        <v>163</v>
      </c>
      <c r="G3305" s="3" t="s">
        <v>27</v>
      </c>
      <c r="H3305" s="2" t="s">
        <v>72</v>
      </c>
      <c r="I3305" s="2" t="s">
        <v>8137</v>
      </c>
      <c r="J3305" s="3" t="str">
        <f>HYPERLINK("https://www.boe.es/gazeta/dias/1815/06/29/pdfs/GMD-1815-78.pdf#page=6","Abrir facsímil")</f>
        <v>Abrir facsímil</v>
      </c>
      <c r="K3305" s="3" t="s">
        <v>74</v>
      </c>
    </row>
    <row r="3306" spans="1:11" ht="42" customHeight="1">
      <c r="A3306" s="2" t="s">
        <v>8123</v>
      </c>
      <c r="B3306" s="2" t="s">
        <v>8123</v>
      </c>
      <c r="C3306" s="2" t="s">
        <v>49</v>
      </c>
      <c r="D3306" s="2" t="s">
        <v>50</v>
      </c>
      <c r="E3306" s="5">
        <v>-30863</v>
      </c>
      <c r="F3306" s="3" t="s">
        <v>110</v>
      </c>
      <c r="G3306" s="3" t="s">
        <v>224</v>
      </c>
      <c r="H3306" s="2" t="s">
        <v>72</v>
      </c>
      <c r="I3306" s="2" t="s">
        <v>8138</v>
      </c>
      <c r="J3306" s="3" t="str">
        <f>HYPERLINK("https://www.boe.es/gazeta/dias/1815/07/01/pdfs/GMD-1815-79.pdf#page=9","Abrir facsímil")</f>
        <v>Abrir facsímil</v>
      </c>
      <c r="K3306" s="3" t="s">
        <v>74</v>
      </c>
    </row>
    <row r="3307" spans="1:11" ht="42" customHeight="1">
      <c r="A3307" s="2" t="s">
        <v>8123</v>
      </c>
      <c r="B3307" s="2" t="s">
        <v>8123</v>
      </c>
      <c r="C3307" s="2" t="s">
        <v>49</v>
      </c>
      <c r="D3307" s="2" t="s">
        <v>50</v>
      </c>
      <c r="E3307" s="5">
        <v>-30835</v>
      </c>
      <c r="F3307" s="3" t="s">
        <v>544</v>
      </c>
      <c r="G3307" s="3" t="s">
        <v>88</v>
      </c>
      <c r="H3307" s="2" t="s">
        <v>72</v>
      </c>
      <c r="I3307" s="2" t="s">
        <v>8139</v>
      </c>
      <c r="J3307" s="3" t="str">
        <f>HYPERLINK("https://www.boe.es/gazeta/dias/1815/07/29/pdfs/GMD-1815-93.pdf#page=10","Abrir facsímil")</f>
        <v>Abrir facsímil</v>
      </c>
      <c r="K3307" s="3" t="s">
        <v>74</v>
      </c>
    </row>
    <row r="3308" spans="1:11" ht="42" customHeight="1">
      <c r="A3308" s="2" t="s">
        <v>8123</v>
      </c>
      <c r="B3308" s="2" t="s">
        <v>8123</v>
      </c>
      <c r="C3308" s="2" t="s">
        <v>49</v>
      </c>
      <c r="D3308" s="2" t="s">
        <v>50</v>
      </c>
      <c r="E3308" s="5">
        <v>-30832</v>
      </c>
      <c r="F3308" s="3" t="s">
        <v>266</v>
      </c>
      <c r="G3308" s="3" t="s">
        <v>88</v>
      </c>
      <c r="H3308" s="2" t="s">
        <v>72</v>
      </c>
      <c r="I3308" s="2" t="s">
        <v>8140</v>
      </c>
      <c r="J3308" s="3" t="str">
        <f>HYPERLINK("https://www.boe.es/gazeta/dias/1815/08/01/pdfs/GMD-1815-94.pdf#page=10","Abrir facsímil")</f>
        <v>Abrir facsímil</v>
      </c>
      <c r="K3308" s="3" t="s">
        <v>74</v>
      </c>
    </row>
    <row r="3309" spans="1:11" ht="42" customHeight="1">
      <c r="A3309" s="2" t="s">
        <v>8123</v>
      </c>
      <c r="B3309" s="2" t="s">
        <v>8123</v>
      </c>
      <c r="C3309" s="2" t="s">
        <v>49</v>
      </c>
      <c r="D3309" s="2" t="s">
        <v>50</v>
      </c>
      <c r="E3309" s="5">
        <v>-30832</v>
      </c>
      <c r="F3309" s="3" t="s">
        <v>266</v>
      </c>
      <c r="G3309" s="3" t="s">
        <v>224</v>
      </c>
      <c r="H3309" s="2" t="s">
        <v>72</v>
      </c>
      <c r="I3309" s="2" t="s">
        <v>8141</v>
      </c>
      <c r="J3309" s="3" t="str">
        <f>HYPERLINK("https://www.boe.es/gazeta/dias/1815/08/01/pdfs/GMD-1815-94.pdf#page=9","Abrir facsímil")</f>
        <v>Abrir facsímil</v>
      </c>
      <c r="K3309" s="3" t="s">
        <v>74</v>
      </c>
    </row>
    <row r="3310" spans="1:11" ht="42" customHeight="1">
      <c r="A3310" s="2" t="s">
        <v>8123</v>
      </c>
      <c r="B3310" s="2" t="s">
        <v>8123</v>
      </c>
      <c r="C3310" s="2" t="s">
        <v>49</v>
      </c>
      <c r="D3310" s="2" t="s">
        <v>50</v>
      </c>
      <c r="E3310" s="5">
        <v>-30830</v>
      </c>
      <c r="F3310" s="3" t="s">
        <v>33</v>
      </c>
      <c r="G3310" s="3" t="s">
        <v>52</v>
      </c>
      <c r="H3310" s="2" t="s">
        <v>72</v>
      </c>
      <c r="I3310" s="2" t="s">
        <v>8142</v>
      </c>
      <c r="J3310" s="3" t="str">
        <f>HYPERLINK("https://www.boe.es/gazeta/dias/1815/08/03/pdfs/GMD-1815-95.pdf#page=11","Abrir facsímil")</f>
        <v>Abrir facsímil</v>
      </c>
      <c r="K3310" s="3" t="s">
        <v>74</v>
      </c>
    </row>
    <row r="3311" spans="1:11" ht="42" customHeight="1">
      <c r="A3311" s="2" t="s">
        <v>8123</v>
      </c>
      <c r="B3311" s="2" t="s">
        <v>8123</v>
      </c>
      <c r="C3311" s="2" t="s">
        <v>131</v>
      </c>
      <c r="D3311" s="2" t="s">
        <v>50</v>
      </c>
      <c r="E3311" s="5">
        <v>-30744</v>
      </c>
      <c r="F3311" s="3" t="s">
        <v>391</v>
      </c>
      <c r="G3311" s="3" t="s">
        <v>38</v>
      </c>
      <c r="H3311" s="2" t="s">
        <v>72</v>
      </c>
      <c r="I3311" s="2" t="s">
        <v>8143</v>
      </c>
      <c r="J3311" s="3" t="str">
        <f>HYPERLINK("https://www.boe.es/gazeta/dias/1815/10/28/pdfs/GMD-1815-135.pdf#page=8","Abrir facsímil")</f>
        <v>Abrir facsímil</v>
      </c>
      <c r="K3311" s="3" t="s">
        <v>74</v>
      </c>
    </row>
    <row r="3312" spans="1:11" ht="42" customHeight="1">
      <c r="A3312" s="2" t="s">
        <v>8123</v>
      </c>
      <c r="B3312" s="2" t="s">
        <v>8123</v>
      </c>
      <c r="C3312" s="2" t="s">
        <v>81</v>
      </c>
      <c r="D3312" s="2" t="s">
        <v>50</v>
      </c>
      <c r="E3312" s="5">
        <v>-30702</v>
      </c>
      <c r="F3312" s="3" t="s">
        <v>196</v>
      </c>
      <c r="G3312" s="3" t="s">
        <v>38</v>
      </c>
      <c r="H3312" s="2" t="s">
        <v>72</v>
      </c>
      <c r="I3312" s="2" t="s">
        <v>8144</v>
      </c>
      <c r="J3312" s="3" t="str">
        <f>HYPERLINK("https://www.boe.es/gazeta/dias/1815/12/09/pdfs/GMD-1815-153.pdf#page=8","Abrir facsímil")</f>
        <v>Abrir facsímil</v>
      </c>
      <c r="K3312" s="3" t="s">
        <v>74</v>
      </c>
    </row>
    <row r="3313" spans="1:11" ht="42" customHeight="1">
      <c r="A3313" s="2" t="s">
        <v>8145</v>
      </c>
      <c r="B3313" s="2" t="s">
        <v>8146</v>
      </c>
      <c r="C3313" s="2" t="s">
        <v>31</v>
      </c>
      <c r="D3313" s="2" t="s">
        <v>32</v>
      </c>
      <c r="E3313" s="5">
        <v>-30984</v>
      </c>
      <c r="F3313" s="3" t="s">
        <v>748</v>
      </c>
      <c r="G3313" s="3" t="s">
        <v>4039</v>
      </c>
      <c r="H3313" s="2" t="s">
        <v>72</v>
      </c>
      <c r="I3313" s="2" t="s">
        <v>8147</v>
      </c>
      <c r="J3313" s="3" t="str">
        <f>HYPERLINK("https://www.boe.es/gazeta/dias/1815/03/02/pdfs/GMD-1815-26.pdf#page=7","Abrir facsímil")</f>
        <v>Abrir facsímil</v>
      </c>
      <c r="K3313" s="3" t="s">
        <v>74</v>
      </c>
    </row>
    <row r="3314" spans="1:11" ht="42" customHeight="1">
      <c r="A3314" s="2" t="s">
        <v>8148</v>
      </c>
      <c r="B3314" s="2" t="s">
        <v>8149</v>
      </c>
      <c r="C3314" s="2" t="s">
        <v>17</v>
      </c>
      <c r="D3314" s="2" t="s">
        <v>18</v>
      </c>
      <c r="E3314" s="5">
        <v>-30947</v>
      </c>
      <c r="F3314" s="3" t="s">
        <v>159</v>
      </c>
      <c r="G3314" s="3" t="s">
        <v>71</v>
      </c>
      <c r="H3314" s="2" t="s">
        <v>72</v>
      </c>
      <c r="I3314" s="2" t="s">
        <v>8150</v>
      </c>
      <c r="J3314" s="3" t="str">
        <f>HYPERLINK("https://www.boe.es/gazeta/dias/1815/04/08/pdfs/GMD-1815-43.pdf#page=7","Abrir facsímil")</f>
        <v>Abrir facsímil</v>
      </c>
      <c r="K3314" s="3" t="s">
        <v>74</v>
      </c>
    </row>
    <row r="3315" spans="1:11" ht="42" customHeight="1">
      <c r="A3315" s="2" t="s">
        <v>8148</v>
      </c>
      <c r="B3315" s="2" t="s">
        <v>8149</v>
      </c>
      <c r="C3315" s="2" t="s">
        <v>49</v>
      </c>
      <c r="D3315" s="2" t="s">
        <v>50</v>
      </c>
      <c r="E3315" s="5">
        <v>-30839</v>
      </c>
      <c r="F3315" s="3" t="s">
        <v>616</v>
      </c>
      <c r="G3315" s="3" t="s">
        <v>71</v>
      </c>
      <c r="H3315" s="2" t="s">
        <v>72</v>
      </c>
      <c r="I3315" s="2" t="s">
        <v>8151</v>
      </c>
      <c r="J3315" s="3" t="str">
        <f>HYPERLINK("https://www.boe.es/gazeta/dias/1815/07/25/pdfs/GMD-1815-91.pdf#page=7","Abrir facsímil")</f>
        <v>Abrir facsímil</v>
      </c>
      <c r="K3315" s="3" t="s">
        <v>74</v>
      </c>
    </row>
    <row r="3316" spans="1:11" ht="42" customHeight="1">
      <c r="A3316" s="2" t="s">
        <v>8152</v>
      </c>
      <c r="B3316" s="2" t="s">
        <v>8153</v>
      </c>
      <c r="C3316" s="2" t="s">
        <v>195</v>
      </c>
      <c r="D3316" s="2" t="s">
        <v>50</v>
      </c>
      <c r="E3316" s="5">
        <v>-30718</v>
      </c>
      <c r="F3316" s="3" t="s">
        <v>3115</v>
      </c>
      <c r="G3316" s="3" t="s">
        <v>38</v>
      </c>
      <c r="H3316" s="2" t="s">
        <v>72</v>
      </c>
      <c r="I3316" s="2" t="s">
        <v>8154</v>
      </c>
      <c r="J3316" s="3" t="str">
        <f>HYPERLINK("https://www.boe.es/gazeta/dias/1815/11/23/pdfs/GMD-1815-146.pdf#page=8","Abrir facsímil")</f>
        <v>Abrir facsímil</v>
      </c>
      <c r="K3316" s="3" t="s">
        <v>74</v>
      </c>
    </row>
    <row r="3317" spans="1:11" ht="42" customHeight="1">
      <c r="A3317" s="2" t="s">
        <v>8152</v>
      </c>
      <c r="B3317" s="2" t="s">
        <v>8153</v>
      </c>
      <c r="C3317" s="2" t="s">
        <v>61</v>
      </c>
      <c r="D3317" s="2" t="s">
        <v>50</v>
      </c>
      <c r="E3317" s="5">
        <v>-30711</v>
      </c>
      <c r="F3317" s="3" t="s">
        <v>438</v>
      </c>
      <c r="G3317" s="3" t="s">
        <v>38</v>
      </c>
      <c r="H3317" s="2" t="s">
        <v>72</v>
      </c>
      <c r="I3317" s="2" t="s">
        <v>8155</v>
      </c>
      <c r="J3317" s="3" t="str">
        <f>HYPERLINK("https://www.boe.es/gazeta/dias/1815/11/30/pdfs/GMD-1815-149.pdf#page=8","Abrir facsímil")</f>
        <v>Abrir facsímil</v>
      </c>
      <c r="K3317" s="3" t="s">
        <v>74</v>
      </c>
    </row>
    <row r="3318" spans="1:11" ht="42" customHeight="1">
      <c r="A3318" s="2" t="s">
        <v>8156</v>
      </c>
      <c r="B3318" s="2" t="s">
        <v>8156</v>
      </c>
      <c r="C3318" s="2" t="s">
        <v>49</v>
      </c>
      <c r="D3318" s="2" t="s">
        <v>50</v>
      </c>
      <c r="E3318" s="5">
        <v>-31031</v>
      </c>
      <c r="F3318" s="3" t="s">
        <v>105</v>
      </c>
      <c r="G3318" s="3" t="s">
        <v>106</v>
      </c>
      <c r="H3318" s="2" t="s">
        <v>72</v>
      </c>
      <c r="I3318" s="2" t="s">
        <v>8157</v>
      </c>
      <c r="J3318" s="3" t="str">
        <f>HYPERLINK("https://www.boe.es/gazeta/dias/1815/01/14/pdfs/GMD-1815-6.pdf#page=7","Abrir facsímil")</f>
        <v>Abrir facsímil</v>
      </c>
      <c r="K3318" s="3" t="s">
        <v>74</v>
      </c>
    </row>
    <row r="3319" spans="1:11" ht="42" customHeight="1">
      <c r="A3319" s="2" t="s">
        <v>8158</v>
      </c>
      <c r="B3319" s="2" t="s">
        <v>8158</v>
      </c>
      <c r="C3319" s="2" t="s">
        <v>49</v>
      </c>
      <c r="D3319" s="2" t="s">
        <v>50</v>
      </c>
      <c r="E3319" s="5">
        <v>-30863</v>
      </c>
      <c r="F3319" s="3" t="s">
        <v>110</v>
      </c>
      <c r="G3319" s="3" t="s">
        <v>224</v>
      </c>
      <c r="H3319" s="2" t="s">
        <v>72</v>
      </c>
      <c r="I3319" s="2" t="s">
        <v>8159</v>
      </c>
      <c r="J3319" s="3" t="str">
        <f>HYPERLINK("https://www.boe.es/gazeta/dias/1815/07/01/pdfs/GMD-1815-79.pdf#page=9","Abrir facsímil")</f>
        <v>Abrir facsímil</v>
      </c>
      <c r="K3319" s="3" t="s">
        <v>74</v>
      </c>
    </row>
    <row r="3320" spans="1:11" ht="42" customHeight="1">
      <c r="A3320" s="2" t="s">
        <v>8160</v>
      </c>
      <c r="B3320" s="2" t="s">
        <v>8161</v>
      </c>
      <c r="C3320" s="2" t="s">
        <v>49</v>
      </c>
      <c r="D3320" s="2" t="s">
        <v>50</v>
      </c>
      <c r="E3320" s="5">
        <v>-30804</v>
      </c>
      <c r="F3320" s="3" t="s">
        <v>891</v>
      </c>
      <c r="G3320" s="3" t="s">
        <v>38</v>
      </c>
      <c r="H3320" s="2" t="s">
        <v>72</v>
      </c>
      <c r="I3320" s="2" t="s">
        <v>8162</v>
      </c>
      <c r="J3320" s="3" t="str">
        <f>HYPERLINK("https://www.boe.es/gazeta/dias/1815/08/29/pdfs/GMD-1815-106.pdf#page=8","Abrir facsímil")</f>
        <v>Abrir facsímil</v>
      </c>
      <c r="K3320" s="3" t="s">
        <v>74</v>
      </c>
    </row>
    <row r="3321" spans="1:11" ht="42" customHeight="1">
      <c r="A3321" s="2" t="s">
        <v>8163</v>
      </c>
      <c r="B3321" s="2" t="s">
        <v>8164</v>
      </c>
      <c r="C3321" s="2" t="s">
        <v>49</v>
      </c>
      <c r="D3321" s="2" t="s">
        <v>50</v>
      </c>
      <c r="E3321" s="5">
        <v>-30734</v>
      </c>
      <c r="F3321" s="3" t="s">
        <v>376</v>
      </c>
      <c r="G3321" s="3" t="s">
        <v>57</v>
      </c>
      <c r="H3321" s="2" t="s">
        <v>72</v>
      </c>
      <c r="I3321" s="2" t="s">
        <v>8165</v>
      </c>
      <c r="J3321" s="3" t="str">
        <f>HYPERLINK("https://www.boe.es/gazeta/dias/1815/11/07/pdfs/GMD-1815-139.pdf#page=5","Abrir facsímil")</f>
        <v>Abrir facsímil</v>
      </c>
      <c r="K3321" s="3" t="s">
        <v>74</v>
      </c>
    </row>
    <row r="3322" spans="1:11" ht="42" customHeight="1">
      <c r="A3322" s="2" t="s">
        <v>8166</v>
      </c>
      <c r="B3322" s="2" t="s">
        <v>8166</v>
      </c>
      <c r="C3322" s="2" t="s">
        <v>49</v>
      </c>
      <c r="D3322" s="2" t="s">
        <v>50</v>
      </c>
      <c r="E3322" s="5">
        <v>-30720</v>
      </c>
      <c r="F3322" s="3" t="s">
        <v>373</v>
      </c>
      <c r="G3322" s="3" t="s">
        <v>52</v>
      </c>
      <c r="H3322" s="2" t="s">
        <v>72</v>
      </c>
      <c r="I3322" s="2" t="s">
        <v>8167</v>
      </c>
      <c r="J3322" s="3" t="str">
        <f>HYPERLINK("https://www.boe.es/gazeta/dias/1815/11/21/pdfs/GMD-1815-145.pdf#page=11","Abrir facsímil")</f>
        <v>Abrir facsímil</v>
      </c>
      <c r="K3322" s="3" t="s">
        <v>74</v>
      </c>
    </row>
    <row r="3323" spans="1:11" ht="42" customHeight="1">
      <c r="A3323" s="2" t="s">
        <v>8168</v>
      </c>
      <c r="B3323" s="2" t="s">
        <v>8168</v>
      </c>
      <c r="C3323" s="2" t="s">
        <v>31</v>
      </c>
      <c r="D3323" s="2" t="s">
        <v>32</v>
      </c>
      <c r="E3323" s="5">
        <v>-30797</v>
      </c>
      <c r="F3323" s="3" t="s">
        <v>248</v>
      </c>
      <c r="G3323" s="3" t="s">
        <v>377</v>
      </c>
      <c r="H3323" s="2" t="s">
        <v>72</v>
      </c>
      <c r="I3323" s="2" t="s">
        <v>8169</v>
      </c>
      <c r="J3323" s="3" t="str">
        <f>HYPERLINK("https://www.boe.es/gazeta/dias/1815/09/05/pdfs/GMD-1815-110.pdf#page=2","Abrir facsímil")</f>
        <v>Abrir facsímil</v>
      </c>
      <c r="K3323" s="3" t="s">
        <v>74</v>
      </c>
    </row>
    <row r="3324" spans="1:11" ht="42" customHeight="1">
      <c r="A3324" s="2" t="s">
        <v>8170</v>
      </c>
      <c r="B3324" s="2" t="s">
        <v>8170</v>
      </c>
      <c r="C3324" s="2" t="s">
        <v>195</v>
      </c>
      <c r="D3324" s="2" t="s">
        <v>50</v>
      </c>
      <c r="E3324" s="5">
        <v>-30807</v>
      </c>
      <c r="F3324" s="3" t="s">
        <v>586</v>
      </c>
      <c r="G3324" s="3" t="s">
        <v>38</v>
      </c>
      <c r="H3324" s="2" t="s">
        <v>72</v>
      </c>
      <c r="I3324" s="2" t="s">
        <v>8171</v>
      </c>
      <c r="J3324" s="3" t="str">
        <f>HYPERLINK("https://www.boe.es/gazeta/dias/1815/08/26/pdfs/GMD-1815-105.pdf#page=8","Abrir facsímil")</f>
        <v>Abrir facsímil</v>
      </c>
      <c r="K3324" s="3" t="s">
        <v>74</v>
      </c>
    </row>
    <row r="3325" spans="1:11" ht="42" customHeight="1">
      <c r="A3325" s="2" t="s">
        <v>8172</v>
      </c>
      <c r="B3325" s="2" t="s">
        <v>8173</v>
      </c>
      <c r="C3325" s="2" t="s">
        <v>49</v>
      </c>
      <c r="D3325" s="2" t="s">
        <v>50</v>
      </c>
      <c r="E3325" s="5">
        <v>-30863</v>
      </c>
      <c r="F3325" s="3" t="s">
        <v>110</v>
      </c>
      <c r="G3325" s="3" t="s">
        <v>224</v>
      </c>
      <c r="H3325" s="2" t="s">
        <v>72</v>
      </c>
      <c r="I3325" s="2" t="s">
        <v>8174</v>
      </c>
      <c r="J3325" s="3" t="str">
        <f>HYPERLINK("https://www.boe.es/gazeta/dias/1815/07/01/pdfs/GMD-1815-79.pdf#page=9","Abrir facsímil")</f>
        <v>Abrir facsímil</v>
      </c>
      <c r="K3325" s="3" t="s">
        <v>74</v>
      </c>
    </row>
    <row r="3326" spans="1:11" ht="42" customHeight="1">
      <c r="A3326" s="2" t="s">
        <v>8175</v>
      </c>
      <c r="B3326" s="2" t="s">
        <v>8176</v>
      </c>
      <c r="C3326" s="2" t="s">
        <v>195</v>
      </c>
      <c r="D3326" s="2" t="s">
        <v>50</v>
      </c>
      <c r="E3326" s="5">
        <v>-30888</v>
      </c>
      <c r="F3326" s="3" t="s">
        <v>368</v>
      </c>
      <c r="G3326" s="3" t="s">
        <v>224</v>
      </c>
      <c r="H3326" s="2" t="s">
        <v>72</v>
      </c>
      <c r="I3326" s="2" t="s">
        <v>8177</v>
      </c>
      <c r="J3326" s="3" t="str">
        <f>HYPERLINK("https://www.boe.es/gazeta/dias/1815/06/06/pdfs/GMD-1815-68.pdf#page=9","Abrir facsímil")</f>
        <v>Abrir facsímil</v>
      </c>
      <c r="K3326" s="3" t="s">
        <v>74</v>
      </c>
    </row>
    <row r="3327" spans="1:11" ht="42" customHeight="1">
      <c r="A3327" s="2" t="s">
        <v>8178</v>
      </c>
      <c r="B3327" s="2" t="s">
        <v>8179</v>
      </c>
      <c r="C3327" s="2" t="s">
        <v>31</v>
      </c>
      <c r="D3327" s="2" t="s">
        <v>32</v>
      </c>
      <c r="E3327" s="5">
        <v>-30774</v>
      </c>
      <c r="F3327" s="3" t="s">
        <v>1143</v>
      </c>
      <c r="G3327" s="3" t="s">
        <v>71</v>
      </c>
      <c r="H3327" s="2" t="s">
        <v>72</v>
      </c>
      <c r="I3327" s="2" t="s">
        <v>8180</v>
      </c>
      <c r="J3327" s="3" t="str">
        <f>HYPERLINK("https://www.boe.es/gazeta/dias/1815/09/28/pdfs/GMD-1815-121.pdf#page=7","Abrir facsímil")</f>
        <v>Abrir facsímil</v>
      </c>
      <c r="K3327" s="3" t="s">
        <v>74</v>
      </c>
    </row>
    <row r="3328" spans="1:11" ht="42" customHeight="1">
      <c r="A3328" s="2" t="s">
        <v>8181</v>
      </c>
      <c r="B3328" s="2" t="s">
        <v>8182</v>
      </c>
      <c r="C3328" s="2" t="s">
        <v>17</v>
      </c>
      <c r="D3328" s="2" t="s">
        <v>18</v>
      </c>
      <c r="E3328" s="5">
        <v>-31038</v>
      </c>
      <c r="F3328" s="3" t="s">
        <v>395</v>
      </c>
      <c r="G3328" s="3" t="s">
        <v>71</v>
      </c>
      <c r="H3328" s="2" t="s">
        <v>72</v>
      </c>
      <c r="I3328" s="2" t="s">
        <v>8183</v>
      </c>
      <c r="J3328" s="3" t="str">
        <f>HYPERLINK("https://www.boe.es/gazeta/dias/1815/01/07/pdfs/GMD-1815-3.pdf#page=7","Abrir facsímil")</f>
        <v>Abrir facsímil</v>
      </c>
      <c r="K3328" s="3" t="s">
        <v>74</v>
      </c>
    </row>
    <row r="3329" spans="1:11" ht="42" customHeight="1">
      <c r="A3329" s="2" t="s">
        <v>8184</v>
      </c>
      <c r="B3329" s="2" t="s">
        <v>8185</v>
      </c>
      <c r="C3329" s="2" t="s">
        <v>49</v>
      </c>
      <c r="D3329" s="2" t="s">
        <v>50</v>
      </c>
      <c r="E3329" s="5">
        <v>-30916</v>
      </c>
      <c r="F3329" s="3" t="s">
        <v>147</v>
      </c>
      <c r="G3329" s="3" t="s">
        <v>38</v>
      </c>
      <c r="H3329" s="2" t="s">
        <v>72</v>
      </c>
      <c r="I3329" s="2" t="s">
        <v>8186</v>
      </c>
      <c r="J3329" s="3" t="str">
        <f>HYPERLINK("https://www.boe.es/gazeta/dias/1815/05/09/pdfs/GMD-1815-56.pdf#page=8","Abrir facsímil")</f>
        <v>Abrir facsímil</v>
      </c>
      <c r="K3329" s="3" t="s">
        <v>74</v>
      </c>
    </row>
    <row r="3330" spans="1:11" ht="42" customHeight="1">
      <c r="A3330" s="2" t="s">
        <v>8187</v>
      </c>
      <c r="B3330" s="2" t="s">
        <v>8187</v>
      </c>
      <c r="C3330" s="2" t="s">
        <v>49</v>
      </c>
      <c r="D3330" s="2" t="s">
        <v>50</v>
      </c>
      <c r="E3330" s="5">
        <v>-30835</v>
      </c>
      <c r="F3330" s="3" t="s">
        <v>544</v>
      </c>
      <c r="G3330" s="3" t="s">
        <v>88</v>
      </c>
      <c r="H3330" s="2" t="s">
        <v>72</v>
      </c>
      <c r="I3330" s="2" t="s">
        <v>8188</v>
      </c>
      <c r="J3330" s="3" t="str">
        <f>HYPERLINK("https://www.boe.es/gazeta/dias/1815/07/29/pdfs/GMD-1815-93.pdf#page=10","Abrir facsímil")</f>
        <v>Abrir facsímil</v>
      </c>
      <c r="K3330" s="3" t="s">
        <v>74</v>
      </c>
    </row>
    <row r="3331" spans="1:11" ht="42" customHeight="1">
      <c r="A3331" s="2" t="s">
        <v>8187</v>
      </c>
      <c r="B3331" s="2" t="s">
        <v>8187</v>
      </c>
      <c r="C3331" s="2" t="s">
        <v>49</v>
      </c>
      <c r="D3331" s="2" t="s">
        <v>50</v>
      </c>
      <c r="E3331" s="5">
        <v>-30832</v>
      </c>
      <c r="F3331" s="3" t="s">
        <v>266</v>
      </c>
      <c r="G3331" s="3" t="s">
        <v>224</v>
      </c>
      <c r="H3331" s="2" t="s">
        <v>72</v>
      </c>
      <c r="I3331" s="2" t="s">
        <v>8189</v>
      </c>
      <c r="J3331" s="3" t="str">
        <f>HYPERLINK("https://www.boe.es/gazeta/dias/1815/08/01/pdfs/GMD-1815-94.pdf#page=9","Abrir facsímil")</f>
        <v>Abrir facsímil</v>
      </c>
      <c r="K3331" s="3" t="s">
        <v>74</v>
      </c>
    </row>
    <row r="3332" spans="1:11" ht="42" customHeight="1">
      <c r="A3332" s="2" t="s">
        <v>8187</v>
      </c>
      <c r="B3332" s="2" t="s">
        <v>8187</v>
      </c>
      <c r="C3332" s="2" t="s">
        <v>49</v>
      </c>
      <c r="D3332" s="2" t="s">
        <v>50</v>
      </c>
      <c r="E3332" s="5">
        <v>-30830</v>
      </c>
      <c r="F3332" s="3" t="s">
        <v>33</v>
      </c>
      <c r="G3332" s="3" t="s">
        <v>52</v>
      </c>
      <c r="H3332" s="2" t="s">
        <v>72</v>
      </c>
      <c r="I3332" s="2" t="s">
        <v>8190</v>
      </c>
      <c r="J3332" s="3" t="str">
        <f>HYPERLINK("https://www.boe.es/gazeta/dias/1815/08/03/pdfs/GMD-1815-95.pdf#page=11","Abrir facsímil")</f>
        <v>Abrir facsímil</v>
      </c>
      <c r="K3332" s="3" t="s">
        <v>74</v>
      </c>
    </row>
    <row r="3333" spans="1:11" ht="42" customHeight="1">
      <c r="A3333" s="2" t="s">
        <v>8191</v>
      </c>
      <c r="B3333" s="2" t="s">
        <v>8191</v>
      </c>
      <c r="C3333" s="2" t="s">
        <v>31</v>
      </c>
      <c r="D3333" s="2" t="s">
        <v>32</v>
      </c>
      <c r="E3333" s="5">
        <v>-31026</v>
      </c>
      <c r="F3333" s="3" t="s">
        <v>874</v>
      </c>
      <c r="G3333" s="3" t="s">
        <v>71</v>
      </c>
      <c r="H3333" s="2" t="s">
        <v>72</v>
      </c>
      <c r="I3333" s="2" t="s">
        <v>8192</v>
      </c>
      <c r="J3333" s="3" t="str">
        <f>HYPERLINK("https://www.boe.es/gazeta/dias/1815/01/19/pdfs/GMD-1815-8.pdf#page=7","Abrir facsímil")</f>
        <v>Abrir facsímil</v>
      </c>
      <c r="K3333" s="3" t="s">
        <v>74</v>
      </c>
    </row>
    <row r="3334" spans="1:11" ht="42" customHeight="1">
      <c r="A3334" s="2" t="s">
        <v>8191</v>
      </c>
      <c r="B3334" s="2" t="s">
        <v>8191</v>
      </c>
      <c r="C3334" s="2" t="s">
        <v>61</v>
      </c>
      <c r="D3334" s="2" t="s">
        <v>50</v>
      </c>
      <c r="E3334" s="5">
        <v>-30737</v>
      </c>
      <c r="F3334" s="3" t="s">
        <v>1932</v>
      </c>
      <c r="G3334" s="3" t="s">
        <v>57</v>
      </c>
      <c r="H3334" s="2" t="s">
        <v>72</v>
      </c>
      <c r="I3334" s="2" t="s">
        <v>8193</v>
      </c>
      <c r="J3334" s="3" t="str">
        <f>HYPERLINK("https://www.boe.es/gazeta/dias/1815/11/04/pdfs/GMD-1815-138.pdf#page=5","Abrir facsímil")</f>
        <v>Abrir facsímil</v>
      </c>
      <c r="K3334" s="3" t="s">
        <v>74</v>
      </c>
    </row>
    <row r="3335" spans="1:11" ht="42" customHeight="1">
      <c r="A3335" s="2" t="s">
        <v>8194</v>
      </c>
      <c r="B3335" s="2" t="s">
        <v>8195</v>
      </c>
      <c r="C3335" s="2" t="s">
        <v>49</v>
      </c>
      <c r="D3335" s="2" t="s">
        <v>50</v>
      </c>
      <c r="E3335" s="5">
        <v>-30886</v>
      </c>
      <c r="F3335" s="3" t="s">
        <v>140</v>
      </c>
      <c r="G3335" s="3" t="s">
        <v>224</v>
      </c>
      <c r="H3335" s="2" t="s">
        <v>72</v>
      </c>
      <c r="I3335" s="2" t="s">
        <v>8196</v>
      </c>
      <c r="J3335" s="3" t="str">
        <f>HYPERLINK("https://www.boe.es/gazeta/dias/1815/06/08/pdfs/GMD-1815-69.pdf#page=9","Abrir facsímil")</f>
        <v>Abrir facsímil</v>
      </c>
      <c r="K3335" s="3" t="s">
        <v>74</v>
      </c>
    </row>
    <row r="3336" spans="1:11" ht="42" customHeight="1">
      <c r="A3336" s="2" t="s">
        <v>8197</v>
      </c>
      <c r="B3336" s="2" t="s">
        <v>8197</v>
      </c>
      <c r="C3336" s="2" t="s">
        <v>31</v>
      </c>
      <c r="D3336" s="2" t="s">
        <v>32</v>
      </c>
      <c r="E3336" s="5">
        <v>-30795</v>
      </c>
      <c r="F3336" s="3" t="s">
        <v>172</v>
      </c>
      <c r="G3336" s="3" t="s">
        <v>377</v>
      </c>
      <c r="H3336" s="2" t="s">
        <v>72</v>
      </c>
      <c r="I3336" s="2" t="s">
        <v>8198</v>
      </c>
      <c r="J3336" s="3" t="str">
        <f>HYPERLINK("https://www.boe.es/gazeta/dias/1815/09/07/pdfs/GMD-1815-111.pdf#page=2","Abrir facsímil")</f>
        <v>Abrir facsímil</v>
      </c>
      <c r="K3336" s="3" t="s">
        <v>74</v>
      </c>
    </row>
    <row r="3337" spans="1:11" ht="42" customHeight="1">
      <c r="A3337" s="2" t="s">
        <v>8199</v>
      </c>
      <c r="B3337" s="2" t="s">
        <v>8200</v>
      </c>
      <c r="C3337" s="2" t="s">
        <v>31</v>
      </c>
      <c r="D3337" s="2" t="s">
        <v>32</v>
      </c>
      <c r="E3337" s="5">
        <v>-30891</v>
      </c>
      <c r="F3337" s="3" t="s">
        <v>498</v>
      </c>
      <c r="G3337" s="3" t="s">
        <v>27</v>
      </c>
      <c r="H3337" s="2" t="s">
        <v>72</v>
      </c>
      <c r="I3337" s="2" t="s">
        <v>8201</v>
      </c>
      <c r="J3337" s="3" t="str">
        <f>HYPERLINK("https://www.boe.es/gazeta/dias/1815/06/03/pdfs/GMD-1815-67.pdf#page=6","Abrir facsímil")</f>
        <v>Abrir facsímil</v>
      </c>
      <c r="K3337" s="3" t="s">
        <v>74</v>
      </c>
    </row>
    <row r="3338" spans="1:11" ht="42" customHeight="1">
      <c r="A3338" s="2" t="s">
        <v>8202</v>
      </c>
      <c r="B3338" s="2" t="s">
        <v>8203</v>
      </c>
      <c r="C3338" s="2" t="s">
        <v>17</v>
      </c>
      <c r="D3338" s="2" t="s">
        <v>18</v>
      </c>
      <c r="E3338" s="5">
        <v>-31007</v>
      </c>
      <c r="F3338" s="3" t="s">
        <v>200</v>
      </c>
      <c r="G3338" s="3" t="s">
        <v>201</v>
      </c>
      <c r="H3338" s="2" t="s">
        <v>72</v>
      </c>
      <c r="I3338" s="2" t="s">
        <v>8204</v>
      </c>
      <c r="J3338" s="3" t="str">
        <f>HYPERLINK("https://www.boe.es/gazeta/dias/1815/02/07/pdfs/GMD-1815-16.pdf#page=10","Abrir facsímil")</f>
        <v>Abrir facsímil</v>
      </c>
      <c r="K3338" s="3" t="s">
        <v>74</v>
      </c>
    </row>
    <row r="3339" spans="1:11" ht="42" customHeight="1">
      <c r="A3339" s="2" t="s">
        <v>8205</v>
      </c>
      <c r="B3339" s="2" t="s">
        <v>8206</v>
      </c>
      <c r="C3339" s="2" t="s">
        <v>31</v>
      </c>
      <c r="D3339" s="2" t="s">
        <v>32</v>
      </c>
      <c r="E3339" s="5">
        <v>-30860</v>
      </c>
      <c r="F3339" s="3" t="s">
        <v>184</v>
      </c>
      <c r="G3339" s="3" t="s">
        <v>20</v>
      </c>
      <c r="H3339" s="2" t="s">
        <v>72</v>
      </c>
      <c r="I3339" s="2" t="s">
        <v>8207</v>
      </c>
      <c r="J3339" s="3" t="str">
        <f>HYPERLINK("https://www.boe.es/gazeta/dias/1815/07/04/pdfs/GMD-1815-81.pdf#page=4","Abrir facsímil")</f>
        <v>Abrir facsímil</v>
      </c>
      <c r="K3339" s="3" t="s">
        <v>74</v>
      </c>
    </row>
    <row r="3340" spans="1:11" ht="42" customHeight="1">
      <c r="A3340" s="2" t="s">
        <v>8208</v>
      </c>
      <c r="B3340" s="2" t="s">
        <v>8208</v>
      </c>
      <c r="C3340" s="2" t="s">
        <v>31</v>
      </c>
      <c r="D3340" s="2" t="s">
        <v>32</v>
      </c>
      <c r="E3340" s="5">
        <v>-30816</v>
      </c>
      <c r="F3340" s="3" t="s">
        <v>1253</v>
      </c>
      <c r="G3340" s="3" t="s">
        <v>224</v>
      </c>
      <c r="H3340" s="2" t="s">
        <v>72</v>
      </c>
      <c r="I3340" s="2" t="s">
        <v>8209</v>
      </c>
      <c r="J3340" s="3" t="str">
        <f>HYPERLINK("https://www.boe.es/gazeta/dias/1815/08/17/pdfs/GMD-1815-101.pdf#page=9","Abrir facsímil")</f>
        <v>Abrir facsímil</v>
      </c>
      <c r="K3340" s="3" t="s">
        <v>74</v>
      </c>
    </row>
    <row r="3341" spans="1:11" ht="42" customHeight="1">
      <c r="A3341" s="2" t="s">
        <v>8210</v>
      </c>
      <c r="B3341" s="2" t="s">
        <v>8211</v>
      </c>
      <c r="C3341" s="2" t="s">
        <v>31</v>
      </c>
      <c r="D3341" s="2" t="s">
        <v>32</v>
      </c>
      <c r="E3341" s="5">
        <v>-30933</v>
      </c>
      <c r="F3341" s="3" t="s">
        <v>725</v>
      </c>
      <c r="G3341" s="3" t="s">
        <v>27</v>
      </c>
      <c r="H3341" s="2" t="s">
        <v>72</v>
      </c>
      <c r="I3341" s="2" t="s">
        <v>8212</v>
      </c>
      <c r="J3341" s="3" t="str">
        <f>HYPERLINK("https://www.boe.es/gazeta/dias/1815/04/22/pdfs/GMD-1815-49.pdf#page=6","Abrir facsímil")</f>
        <v>Abrir facsímil</v>
      </c>
      <c r="K3341" s="3" t="s">
        <v>74</v>
      </c>
    </row>
    <row r="3342" spans="1:11" ht="42" customHeight="1">
      <c r="A3342" s="2" t="s">
        <v>8213</v>
      </c>
      <c r="B3342" s="2" t="s">
        <v>8213</v>
      </c>
      <c r="C3342" s="2" t="s">
        <v>31</v>
      </c>
      <c r="D3342" s="2" t="s">
        <v>32</v>
      </c>
      <c r="E3342" s="5">
        <v>-30961</v>
      </c>
      <c r="F3342" s="3" t="s">
        <v>1176</v>
      </c>
      <c r="G3342" s="3" t="s">
        <v>97</v>
      </c>
      <c r="H3342" s="2" t="s">
        <v>72</v>
      </c>
      <c r="I3342" s="2" t="s">
        <v>8214</v>
      </c>
      <c r="J3342" s="3" t="str">
        <f>HYPERLINK("https://www.boe.es/gazeta/dias/1815/03/25/pdfs/GMD-1815-36.pdf#page=3","Abrir facsímil")</f>
        <v>Abrir facsímil</v>
      </c>
      <c r="K3342" s="3" t="s">
        <v>74</v>
      </c>
    </row>
    <row r="3343" spans="1:11" ht="42" customHeight="1">
      <c r="A3343" s="2" t="s">
        <v>8215</v>
      </c>
      <c r="B3343" s="2" t="s">
        <v>8216</v>
      </c>
      <c r="C3343" s="2" t="s">
        <v>49</v>
      </c>
      <c r="D3343" s="2" t="s">
        <v>50</v>
      </c>
      <c r="E3343" s="5">
        <v>-30818</v>
      </c>
      <c r="F3343" s="3" t="s">
        <v>334</v>
      </c>
      <c r="G3343" s="3" t="s">
        <v>88</v>
      </c>
      <c r="H3343" s="2" t="s">
        <v>72</v>
      </c>
      <c r="I3343" s="2" t="s">
        <v>8217</v>
      </c>
      <c r="J3343" s="3" t="str">
        <f>HYPERLINK("https://www.boe.es/gazeta/dias/1815/08/15/pdfs/GMD-1815-100.pdf#page=10","Abrir facsímil")</f>
        <v>Abrir facsímil</v>
      </c>
      <c r="K3343" s="3" t="s">
        <v>74</v>
      </c>
    </row>
    <row r="3344" spans="1:11" ht="42" customHeight="1">
      <c r="A3344" s="2" t="s">
        <v>8218</v>
      </c>
      <c r="B3344" s="2" t="s">
        <v>8219</v>
      </c>
      <c r="C3344" s="2" t="s">
        <v>49</v>
      </c>
      <c r="D3344" s="2" t="s">
        <v>50</v>
      </c>
      <c r="E3344" s="5">
        <v>-30781</v>
      </c>
      <c r="F3344" s="3" t="s">
        <v>685</v>
      </c>
      <c r="G3344" s="3" t="s">
        <v>71</v>
      </c>
      <c r="H3344" s="2" t="s">
        <v>72</v>
      </c>
      <c r="I3344" s="2" t="s">
        <v>8220</v>
      </c>
      <c r="J3344" s="3" t="str">
        <f>HYPERLINK("https://www.boe.es/gazeta/dias/1815/09/21/pdfs/GMD-1815-117.pdf#page=7","Abrir facsímil")</f>
        <v>Abrir facsímil</v>
      </c>
      <c r="K3344" s="3" t="s">
        <v>74</v>
      </c>
    </row>
    <row r="3345" spans="1:11" ht="42" customHeight="1">
      <c r="A3345" s="2" t="s">
        <v>8221</v>
      </c>
      <c r="B3345" s="2" t="s">
        <v>8221</v>
      </c>
      <c r="C3345" s="2" t="s">
        <v>17</v>
      </c>
      <c r="D3345" s="2" t="s">
        <v>18</v>
      </c>
      <c r="E3345" s="5">
        <v>-31031</v>
      </c>
      <c r="F3345" s="3" t="s">
        <v>105</v>
      </c>
      <c r="G3345" s="3" t="s">
        <v>57</v>
      </c>
      <c r="H3345" s="2" t="s">
        <v>72</v>
      </c>
      <c r="I3345" s="2" t="s">
        <v>8222</v>
      </c>
      <c r="J3345" s="3" t="str">
        <f>HYPERLINK("https://www.boe.es/gazeta/dias/1815/01/14/pdfs/GMD-1815-6.pdf#page=5","Abrir facsímil")</f>
        <v>Abrir facsímil</v>
      </c>
      <c r="K3345" s="3" t="s">
        <v>74</v>
      </c>
    </row>
    <row r="3346" spans="1:11" ht="42" customHeight="1">
      <c r="A3346" s="2" t="s">
        <v>8221</v>
      </c>
      <c r="B3346" s="2" t="s">
        <v>8221</v>
      </c>
      <c r="C3346" s="2" t="s">
        <v>49</v>
      </c>
      <c r="D3346" s="2" t="s">
        <v>50</v>
      </c>
      <c r="E3346" s="5">
        <v>-30984</v>
      </c>
      <c r="F3346" s="3" t="s">
        <v>748</v>
      </c>
      <c r="G3346" s="3" t="s">
        <v>38</v>
      </c>
      <c r="H3346" s="2" t="s">
        <v>72</v>
      </c>
      <c r="I3346" s="2" t="s">
        <v>8223</v>
      </c>
      <c r="J3346" s="3" t="str">
        <f>HYPERLINK("https://www.boe.es/gazeta/dias/1815/03/02/pdfs/GMD-1815-26.pdf#page=8","Abrir facsímil")</f>
        <v>Abrir facsímil</v>
      </c>
      <c r="K3346" s="3" t="s">
        <v>74</v>
      </c>
    </row>
    <row r="3347" spans="1:11" ht="42" customHeight="1">
      <c r="A3347" s="2" t="s">
        <v>8224</v>
      </c>
      <c r="B3347" s="2" t="s">
        <v>8224</v>
      </c>
      <c r="C3347" s="2" t="s">
        <v>17</v>
      </c>
      <c r="D3347" s="2" t="s">
        <v>18</v>
      </c>
      <c r="E3347" s="5">
        <v>-30888</v>
      </c>
      <c r="F3347" s="3" t="s">
        <v>368</v>
      </c>
      <c r="G3347" s="3" t="s">
        <v>52</v>
      </c>
      <c r="H3347" s="2" t="s">
        <v>72</v>
      </c>
      <c r="I3347" s="2" t="s">
        <v>8225</v>
      </c>
      <c r="J3347" s="3" t="str">
        <f>HYPERLINK("https://www.boe.es/gazeta/dias/1815/06/06/pdfs/GMD-1815-68.pdf#page=11","Abrir facsímil")</f>
        <v>Abrir facsímil</v>
      </c>
      <c r="K3347" s="3" t="s">
        <v>74</v>
      </c>
    </row>
    <row r="3348" spans="1:11" ht="42" customHeight="1">
      <c r="A3348" s="2" t="s">
        <v>8221</v>
      </c>
      <c r="B3348" s="2" t="s">
        <v>8221</v>
      </c>
      <c r="C3348" s="2" t="s">
        <v>31</v>
      </c>
      <c r="D3348" s="2" t="s">
        <v>32</v>
      </c>
      <c r="E3348" s="5">
        <v>-30846</v>
      </c>
      <c r="F3348" s="3" t="s">
        <v>858</v>
      </c>
      <c r="G3348" s="3" t="s">
        <v>27</v>
      </c>
      <c r="H3348" s="2" t="s">
        <v>72</v>
      </c>
      <c r="I3348" s="2" t="s">
        <v>8226</v>
      </c>
      <c r="J3348" s="3" t="str">
        <f>HYPERLINK("https://www.boe.es/gazeta/dias/1815/07/18/pdfs/GMD-1815-88.pdf#page=6","Abrir facsímil")</f>
        <v>Abrir facsímil</v>
      </c>
      <c r="K3348" s="3" t="s">
        <v>74</v>
      </c>
    </row>
    <row r="3349" spans="1:11" ht="42" customHeight="1">
      <c r="A3349" s="2" t="s">
        <v>8221</v>
      </c>
      <c r="B3349" s="2" t="s">
        <v>8221</v>
      </c>
      <c r="C3349" s="2" t="s">
        <v>17</v>
      </c>
      <c r="D3349" s="2" t="s">
        <v>18</v>
      </c>
      <c r="E3349" s="5">
        <v>-30846</v>
      </c>
      <c r="F3349" s="3" t="s">
        <v>858</v>
      </c>
      <c r="G3349" s="3" t="s">
        <v>38</v>
      </c>
      <c r="H3349" s="2" t="s">
        <v>72</v>
      </c>
      <c r="I3349" s="2" t="s">
        <v>8227</v>
      </c>
      <c r="J3349" s="3" t="str">
        <f>HYPERLINK("https://www.boe.es/gazeta/dias/1815/07/18/pdfs/GMD-1815-88.pdf#page=8","Abrir facsímil")</f>
        <v>Abrir facsímil</v>
      </c>
      <c r="K3349" s="3" t="s">
        <v>74</v>
      </c>
    </row>
    <row r="3350" spans="1:11" ht="42" customHeight="1">
      <c r="A3350" s="2" t="s">
        <v>8228</v>
      </c>
      <c r="B3350" s="2" t="s">
        <v>8229</v>
      </c>
      <c r="C3350" s="2" t="s">
        <v>49</v>
      </c>
      <c r="D3350" s="2" t="s">
        <v>50</v>
      </c>
      <c r="E3350" s="5">
        <v>-30842</v>
      </c>
      <c r="F3350" s="3" t="s">
        <v>126</v>
      </c>
      <c r="G3350" s="3" t="s">
        <v>224</v>
      </c>
      <c r="H3350" s="2" t="s">
        <v>72</v>
      </c>
      <c r="I3350" s="2" t="s">
        <v>8230</v>
      </c>
      <c r="J3350" s="3" t="str">
        <f>HYPERLINK("https://www.boe.es/gazeta/dias/1815/07/22/pdfs/GMD-1815-90.pdf#page=9","Abrir facsímil")</f>
        <v>Abrir facsímil</v>
      </c>
      <c r="K3350" s="3" t="s">
        <v>74</v>
      </c>
    </row>
    <row r="3351" spans="1:11" ht="42" customHeight="1">
      <c r="A3351" s="2" t="s">
        <v>8231</v>
      </c>
      <c r="B3351" s="2" t="s">
        <v>8232</v>
      </c>
      <c r="C3351" s="2" t="s">
        <v>49</v>
      </c>
      <c r="D3351" s="2" t="s">
        <v>50</v>
      </c>
      <c r="E3351" s="5">
        <v>-30863</v>
      </c>
      <c r="F3351" s="3" t="s">
        <v>110</v>
      </c>
      <c r="G3351" s="3" t="s">
        <v>224</v>
      </c>
      <c r="H3351" s="2" t="s">
        <v>72</v>
      </c>
      <c r="I3351" s="2" t="s">
        <v>8233</v>
      </c>
      <c r="J3351" s="3" t="str">
        <f>HYPERLINK("https://www.boe.es/gazeta/dias/1815/07/01/pdfs/GMD-1815-79.pdf#page=9","Abrir facsímil")</f>
        <v>Abrir facsímil</v>
      </c>
      <c r="K3351" s="3" t="s">
        <v>74</v>
      </c>
    </row>
    <row r="3352" spans="1:11" ht="42" customHeight="1">
      <c r="A3352" s="2" t="s">
        <v>8231</v>
      </c>
      <c r="B3352" s="2" t="s">
        <v>8232</v>
      </c>
      <c r="C3352" s="2" t="s">
        <v>31</v>
      </c>
      <c r="D3352" s="2" t="s">
        <v>32</v>
      </c>
      <c r="E3352" s="5">
        <v>-30748</v>
      </c>
      <c r="F3352" s="3" t="s">
        <v>2077</v>
      </c>
      <c r="G3352" s="3" t="s">
        <v>57</v>
      </c>
      <c r="H3352" s="2" t="s">
        <v>72</v>
      </c>
      <c r="I3352" s="2" t="s">
        <v>8234</v>
      </c>
      <c r="J3352" s="3" t="str">
        <f>HYPERLINK("https://www.boe.es/gazeta/dias/1815/10/24/pdfs/GMD-1815-133.pdf#page=5","Abrir facsímil")</f>
        <v>Abrir facsímil</v>
      </c>
      <c r="K3352" s="3" t="s">
        <v>74</v>
      </c>
    </row>
    <row r="3353" spans="1:11" ht="42" customHeight="1">
      <c r="A3353" s="2" t="s">
        <v>8235</v>
      </c>
      <c r="B3353" s="2" t="s">
        <v>8236</v>
      </c>
      <c r="C3353" s="2" t="s">
        <v>31</v>
      </c>
      <c r="D3353" s="2" t="s">
        <v>32</v>
      </c>
      <c r="E3353" s="5">
        <v>-30888</v>
      </c>
      <c r="F3353" s="3" t="s">
        <v>368</v>
      </c>
      <c r="G3353" s="3" t="s">
        <v>38</v>
      </c>
      <c r="H3353" s="2" t="s">
        <v>72</v>
      </c>
      <c r="I3353" s="2" t="s">
        <v>8237</v>
      </c>
      <c r="J3353" s="3" t="str">
        <f>HYPERLINK("https://www.boe.es/gazeta/dias/1815/06/06/pdfs/GMD-1815-68.pdf#page=8","Abrir facsímil")</f>
        <v>Abrir facsímil</v>
      </c>
      <c r="K3353" s="3" t="s">
        <v>74</v>
      </c>
    </row>
    <row r="3354" spans="1:11" ht="42" customHeight="1">
      <c r="A3354" s="2" t="s">
        <v>8238</v>
      </c>
      <c r="B3354" s="2" t="s">
        <v>8239</v>
      </c>
      <c r="C3354" s="2" t="s">
        <v>61</v>
      </c>
      <c r="D3354" s="2" t="s">
        <v>50</v>
      </c>
      <c r="E3354" s="5">
        <v>-30902</v>
      </c>
      <c r="F3354" s="3" t="s">
        <v>648</v>
      </c>
      <c r="G3354" s="3" t="s">
        <v>38</v>
      </c>
      <c r="H3354" s="2" t="s">
        <v>72</v>
      </c>
      <c r="I3354" s="2" t="s">
        <v>8240</v>
      </c>
      <c r="J3354" s="3" t="str">
        <f>HYPERLINK("https://www.boe.es/gazeta/dias/1815/05/23/pdfs/GMD-1815-62.pdf#page=8","Abrir facsímil")</f>
        <v>Abrir facsímil</v>
      </c>
      <c r="K3354" s="3" t="s">
        <v>74</v>
      </c>
    </row>
    <row r="3355" spans="1:11" ht="42" customHeight="1">
      <c r="A3355" s="2" t="s">
        <v>8241</v>
      </c>
      <c r="B3355" s="2" t="s">
        <v>8242</v>
      </c>
      <c r="C3355" s="2" t="s">
        <v>31</v>
      </c>
      <c r="D3355" s="2" t="s">
        <v>32</v>
      </c>
      <c r="E3355" s="5">
        <v>-30863</v>
      </c>
      <c r="F3355" s="3" t="s">
        <v>110</v>
      </c>
      <c r="G3355" s="3" t="s">
        <v>38</v>
      </c>
      <c r="H3355" s="2" t="s">
        <v>72</v>
      </c>
      <c r="I3355" s="2" t="s">
        <v>8243</v>
      </c>
      <c r="J3355" s="3" t="str">
        <f>HYPERLINK("https://www.boe.es/gazeta/dias/1815/07/01/pdfs/GMD-1815-79.pdf#page=8","Abrir facsímil")</f>
        <v>Abrir facsímil</v>
      </c>
      <c r="K3355" s="3" t="s">
        <v>74</v>
      </c>
    </row>
    <row r="3356" spans="1:11" ht="42" customHeight="1">
      <c r="A3356" s="2" t="s">
        <v>8241</v>
      </c>
      <c r="B3356" s="2" t="s">
        <v>8242</v>
      </c>
      <c r="C3356" s="2" t="s">
        <v>31</v>
      </c>
      <c r="D3356" s="2" t="s">
        <v>32</v>
      </c>
      <c r="E3356" s="5">
        <v>-30860</v>
      </c>
      <c r="F3356" s="3" t="s">
        <v>184</v>
      </c>
      <c r="G3356" s="3" t="s">
        <v>20</v>
      </c>
      <c r="H3356" s="2" t="s">
        <v>72</v>
      </c>
      <c r="I3356" s="2" t="s">
        <v>8244</v>
      </c>
      <c r="J3356" s="3" t="str">
        <f>HYPERLINK("https://www.boe.es/gazeta/dias/1815/07/04/pdfs/GMD-1815-81.pdf#page=4","Abrir facsímil")</f>
        <v>Abrir facsímil</v>
      </c>
      <c r="K3356" s="3" t="s">
        <v>74</v>
      </c>
    </row>
    <row r="3357" spans="1:11" ht="42" customHeight="1">
      <c r="A3357" s="2" t="s">
        <v>8245</v>
      </c>
      <c r="B3357" s="2" t="s">
        <v>8246</v>
      </c>
      <c r="C3357" s="2" t="s">
        <v>17</v>
      </c>
      <c r="D3357" s="2" t="s">
        <v>18</v>
      </c>
      <c r="E3357" s="5">
        <v>-30928</v>
      </c>
      <c r="F3357" s="3" t="s">
        <v>330</v>
      </c>
      <c r="G3357" s="3" t="s">
        <v>27</v>
      </c>
      <c r="H3357" s="2" t="s">
        <v>72</v>
      </c>
      <c r="I3357" s="2" t="s">
        <v>8247</v>
      </c>
      <c r="J3357" s="3" t="str">
        <f>HYPERLINK("https://www.boe.es/gazeta/dias/1815/04/27/pdfs/GMD-1815-51.pdf#page=6","Abrir facsímil")</f>
        <v>Abrir facsímil</v>
      </c>
      <c r="K3357" s="3" t="s">
        <v>74</v>
      </c>
    </row>
    <row r="3358" spans="1:11" ht="42" customHeight="1">
      <c r="A3358" s="2" t="s">
        <v>8248</v>
      </c>
      <c r="B3358" s="2" t="s">
        <v>8249</v>
      </c>
      <c r="C3358" s="2" t="s">
        <v>17</v>
      </c>
      <c r="D3358" s="2" t="s">
        <v>18</v>
      </c>
      <c r="E3358" s="5">
        <v>-30795</v>
      </c>
      <c r="F3358" s="3" t="s">
        <v>172</v>
      </c>
      <c r="G3358" s="3" t="s">
        <v>52</v>
      </c>
      <c r="H3358" s="2" t="s">
        <v>72</v>
      </c>
      <c r="I3358" s="2" t="s">
        <v>8250</v>
      </c>
      <c r="J3358" s="3" t="str">
        <f>HYPERLINK("https://www.boe.es/gazeta/dias/1815/09/07/pdfs/GMD-1815-111.pdf#page=11","Abrir facsímil")</f>
        <v>Abrir facsímil</v>
      </c>
      <c r="K3358" s="3" t="s">
        <v>74</v>
      </c>
    </row>
    <row r="3359" spans="1:11" ht="42" customHeight="1">
      <c r="A3359" s="2" t="s">
        <v>8251</v>
      </c>
      <c r="B3359" s="2" t="s">
        <v>8252</v>
      </c>
      <c r="C3359" s="2" t="s">
        <v>31</v>
      </c>
      <c r="D3359" s="2" t="s">
        <v>32</v>
      </c>
      <c r="E3359" s="5">
        <v>-30921</v>
      </c>
      <c r="F3359" s="3" t="s">
        <v>191</v>
      </c>
      <c r="G3359" s="3" t="s">
        <v>71</v>
      </c>
      <c r="H3359" s="2" t="s">
        <v>72</v>
      </c>
      <c r="I3359" s="2" t="s">
        <v>8253</v>
      </c>
      <c r="J3359" s="3" t="str">
        <f>HYPERLINK("https://www.boe.es/gazeta/dias/1815/05/04/pdfs/GMD-1815-54.pdf#page=7","Abrir facsímil")</f>
        <v>Abrir facsímil</v>
      </c>
      <c r="K3359" s="3" t="s">
        <v>74</v>
      </c>
    </row>
    <row r="3360" spans="1:11" ht="42" customHeight="1">
      <c r="A3360" s="2" t="s">
        <v>8254</v>
      </c>
      <c r="B3360" s="2" t="s">
        <v>8255</v>
      </c>
      <c r="C3360" s="2" t="s">
        <v>61</v>
      </c>
      <c r="D3360" s="2" t="s">
        <v>50</v>
      </c>
      <c r="E3360" s="5">
        <v>-30949</v>
      </c>
      <c r="F3360" s="3" t="s">
        <v>420</v>
      </c>
      <c r="G3360" s="3" t="s">
        <v>71</v>
      </c>
      <c r="H3360" s="2" t="s">
        <v>72</v>
      </c>
      <c r="I3360" s="2" t="s">
        <v>8256</v>
      </c>
      <c r="J3360" s="3" t="str">
        <f>HYPERLINK("https://www.boe.es/gazeta/dias/1815/04/06/pdfs/GMD-1815-42.pdf#page=7","Abrir facsímil")</f>
        <v>Abrir facsímil</v>
      </c>
      <c r="K3360" s="3" t="s">
        <v>74</v>
      </c>
    </row>
    <row r="3361" spans="1:11" ht="42" customHeight="1">
      <c r="A3361" s="2" t="s">
        <v>8257</v>
      </c>
      <c r="B3361" s="2" t="s">
        <v>8258</v>
      </c>
      <c r="C3361" s="2" t="s">
        <v>49</v>
      </c>
      <c r="D3361" s="2" t="s">
        <v>50</v>
      </c>
      <c r="E3361" s="5">
        <v>-30853</v>
      </c>
      <c r="F3361" s="3" t="s">
        <v>1473</v>
      </c>
      <c r="G3361" s="3" t="s">
        <v>3505</v>
      </c>
      <c r="H3361" s="2" t="s">
        <v>72</v>
      </c>
      <c r="I3361" s="2" t="s">
        <v>8259</v>
      </c>
      <c r="J3361" s="3" t="str">
        <f>HYPERLINK("https://www.boe.es/gazeta/dias/1815/07/11/pdfs/GMD-1815-85.pdf#page=4","Abrir facsímil")</f>
        <v>Abrir facsímil</v>
      </c>
      <c r="K3361" s="3" t="s">
        <v>74</v>
      </c>
    </row>
    <row r="3362" spans="1:11" ht="42" customHeight="1">
      <c r="A3362" s="2" t="s">
        <v>8260</v>
      </c>
      <c r="B3362" s="2" t="s">
        <v>8261</v>
      </c>
      <c r="C3362" s="2" t="s">
        <v>31</v>
      </c>
      <c r="D3362" s="2" t="s">
        <v>32</v>
      </c>
      <c r="E3362" s="5">
        <v>-30793</v>
      </c>
      <c r="F3362" s="3" t="s">
        <v>1704</v>
      </c>
      <c r="G3362" s="3" t="s">
        <v>71</v>
      </c>
      <c r="H3362" s="2" t="s">
        <v>72</v>
      </c>
      <c r="I3362" s="2" t="s">
        <v>8262</v>
      </c>
      <c r="J3362" s="3" t="str">
        <f>HYPERLINK("https://www.boe.es/gazeta/dias/1815/09/09/pdfs/GMD-1815-112.pdf#page=7","Abrir facsímil")</f>
        <v>Abrir facsímil</v>
      </c>
      <c r="K3362" s="3" t="s">
        <v>74</v>
      </c>
    </row>
    <row r="3363" spans="1:11" ht="42" customHeight="1">
      <c r="A3363" s="2" t="s">
        <v>8263</v>
      </c>
      <c r="B3363" s="2" t="s">
        <v>8264</v>
      </c>
      <c r="C3363" s="2" t="s">
        <v>17</v>
      </c>
      <c r="D3363" s="2" t="s">
        <v>18</v>
      </c>
      <c r="E3363" s="5">
        <v>-30891</v>
      </c>
      <c r="F3363" s="3" t="s">
        <v>498</v>
      </c>
      <c r="G3363" s="3" t="s">
        <v>71</v>
      </c>
      <c r="H3363" s="2" t="s">
        <v>72</v>
      </c>
      <c r="I3363" s="2" t="s">
        <v>8265</v>
      </c>
      <c r="J3363" s="3" t="str">
        <f>HYPERLINK("https://www.boe.es/gazeta/dias/1815/06/03/pdfs/GMD-1815-67.pdf#page=7","Abrir facsímil")</f>
        <v>Abrir facsímil</v>
      </c>
      <c r="K3363" s="3" t="s">
        <v>74</v>
      </c>
    </row>
    <row r="3364" spans="1:11" ht="42" customHeight="1">
      <c r="A3364" s="2" t="s">
        <v>8266</v>
      </c>
      <c r="B3364" s="2" t="s">
        <v>8267</v>
      </c>
      <c r="C3364" s="2" t="s">
        <v>894</v>
      </c>
      <c r="D3364" s="2" t="s">
        <v>18</v>
      </c>
      <c r="E3364" s="5">
        <v>-30867</v>
      </c>
      <c r="F3364" s="3" t="s">
        <v>3179</v>
      </c>
      <c r="G3364" s="3" t="s">
        <v>8268</v>
      </c>
      <c r="H3364" s="2" t="s">
        <v>72</v>
      </c>
      <c r="I3364" s="2" t="s">
        <v>8269</v>
      </c>
      <c r="J3364" s="3" t="str">
        <f>HYPERLINK("https://www.boe.es/gazeta/dias/1815/06/27/pdfs/GMD-1815-77.pdf#page=7","Abrir facsímil")</f>
        <v>Abrir facsímil</v>
      </c>
      <c r="K3364" s="3" t="s">
        <v>74</v>
      </c>
    </row>
    <row r="3365" spans="1:11" ht="42" customHeight="1">
      <c r="A3365" s="2" t="s">
        <v>8270</v>
      </c>
      <c r="B3365" s="2" t="s">
        <v>8270</v>
      </c>
      <c r="C3365" s="2" t="s">
        <v>61</v>
      </c>
      <c r="D3365" s="2" t="s">
        <v>50</v>
      </c>
      <c r="E3365" s="5">
        <v>-31012</v>
      </c>
      <c r="F3365" s="3" t="s">
        <v>529</v>
      </c>
      <c r="G3365" s="3" t="s">
        <v>530</v>
      </c>
      <c r="H3365" s="2" t="s">
        <v>72</v>
      </c>
      <c r="I3365" s="2" t="s">
        <v>8271</v>
      </c>
      <c r="J3365" s="3" t="str">
        <f>HYPERLINK("https://www.boe.es/gazeta/dias/1815/02/02/pdfs/GMD-1815-14.pdf#page=6","Abrir facsímil")</f>
        <v>Abrir facsímil</v>
      </c>
      <c r="K3365" s="3" t="s">
        <v>74</v>
      </c>
    </row>
    <row r="3366" spans="1:11" ht="42" customHeight="1">
      <c r="A3366" s="2" t="s">
        <v>8272</v>
      </c>
      <c r="B3366" s="2" t="s">
        <v>8272</v>
      </c>
      <c r="C3366" s="2" t="s">
        <v>31</v>
      </c>
      <c r="D3366" s="2" t="s">
        <v>32</v>
      </c>
      <c r="E3366" s="5">
        <v>-30734</v>
      </c>
      <c r="F3366" s="3" t="s">
        <v>376</v>
      </c>
      <c r="G3366" s="3" t="s">
        <v>377</v>
      </c>
      <c r="H3366" s="2" t="s">
        <v>72</v>
      </c>
      <c r="I3366" s="2" t="s">
        <v>8273</v>
      </c>
      <c r="J3366" s="3" t="str">
        <f>HYPERLINK("https://www.boe.es/gazeta/dias/1815/11/07/pdfs/GMD-1815-139.pdf#page=2","Abrir facsímil")</f>
        <v>Abrir facsímil</v>
      </c>
      <c r="K3366" s="3" t="s">
        <v>74</v>
      </c>
    </row>
    <row r="3367" spans="1:11" ht="42" customHeight="1">
      <c r="A3367" s="2" t="s">
        <v>8274</v>
      </c>
      <c r="B3367" s="2" t="s">
        <v>8275</v>
      </c>
      <c r="C3367" s="2" t="s">
        <v>17</v>
      </c>
      <c r="D3367" s="2" t="s">
        <v>18</v>
      </c>
      <c r="E3367" s="5">
        <v>-30772</v>
      </c>
      <c r="F3367" s="3" t="s">
        <v>216</v>
      </c>
      <c r="G3367" s="3" t="s">
        <v>27</v>
      </c>
      <c r="H3367" s="2" t="s">
        <v>72</v>
      </c>
      <c r="I3367" s="2" t="s">
        <v>8276</v>
      </c>
      <c r="J3367" s="3" t="str">
        <f>HYPERLINK("https://www.boe.es/gazeta/dias/1815/09/30/pdfs/GMD-1815-123.pdf#page=6","Abrir facsímil")</f>
        <v>Abrir facsímil</v>
      </c>
      <c r="K3367" s="3" t="s">
        <v>74</v>
      </c>
    </row>
    <row r="3368" spans="1:11" ht="42" customHeight="1">
      <c r="A3368" s="2" t="s">
        <v>8274</v>
      </c>
      <c r="B3368" s="2" t="s">
        <v>8275</v>
      </c>
      <c r="C3368" s="2" t="s">
        <v>17</v>
      </c>
      <c r="D3368" s="2" t="s">
        <v>18</v>
      </c>
      <c r="E3368" s="5">
        <v>-30706</v>
      </c>
      <c r="F3368" s="3" t="s">
        <v>2478</v>
      </c>
      <c r="G3368" s="3" t="s">
        <v>71</v>
      </c>
      <c r="H3368" s="2" t="s">
        <v>72</v>
      </c>
      <c r="I3368" s="2" t="s">
        <v>8277</v>
      </c>
      <c r="J3368" s="3" t="str">
        <f>HYPERLINK("https://www.boe.es/gazeta/dias/1815/12/05/pdfs/GMD-1815-151.pdf#page=7","Abrir facsímil")</f>
        <v>Abrir facsímil</v>
      </c>
      <c r="K3368" s="3" t="s">
        <v>74</v>
      </c>
    </row>
    <row r="3369" spans="1:11" ht="42" customHeight="1">
      <c r="A3369" s="2" t="s">
        <v>8274</v>
      </c>
      <c r="B3369" s="2" t="s">
        <v>8275</v>
      </c>
      <c r="C3369" s="2" t="s">
        <v>17</v>
      </c>
      <c r="D3369" s="2" t="s">
        <v>18</v>
      </c>
      <c r="E3369" s="5">
        <v>-30692</v>
      </c>
      <c r="F3369" s="3" t="s">
        <v>508</v>
      </c>
      <c r="G3369" s="3" t="s">
        <v>1353</v>
      </c>
      <c r="H3369" s="2" t="s">
        <v>72</v>
      </c>
      <c r="I3369" s="2" t="s">
        <v>8278</v>
      </c>
      <c r="J3369" s="3" t="str">
        <f>HYPERLINK("https://www.boe.es/gazeta/dias/1815/12/19/pdfs/GMD-1815-157.pdf#page=7","Abrir facsímil")</f>
        <v>Abrir facsímil</v>
      </c>
      <c r="K3369" s="3" t="s">
        <v>74</v>
      </c>
    </row>
    <row r="3370" spans="1:11" ht="42" customHeight="1">
      <c r="A3370" s="2" t="s">
        <v>8279</v>
      </c>
      <c r="B3370" s="2" t="s">
        <v>8280</v>
      </c>
      <c r="C3370" s="2" t="s">
        <v>49</v>
      </c>
      <c r="D3370" s="2" t="s">
        <v>50</v>
      </c>
      <c r="E3370" s="5">
        <v>-30865</v>
      </c>
      <c r="F3370" s="3" t="s">
        <v>163</v>
      </c>
      <c r="G3370" s="3" t="s">
        <v>71</v>
      </c>
      <c r="H3370" s="2" t="s">
        <v>72</v>
      </c>
      <c r="I3370" s="2" t="s">
        <v>8281</v>
      </c>
      <c r="J3370" s="3" t="str">
        <f>HYPERLINK("https://www.boe.es/gazeta/dias/1815/06/29/pdfs/GMD-1815-78.pdf#page=7","Abrir facsímil")</f>
        <v>Abrir facsímil</v>
      </c>
      <c r="K3370" s="3" t="s">
        <v>74</v>
      </c>
    </row>
    <row r="3371" spans="1:11" ht="42" customHeight="1">
      <c r="A3371" s="2" t="s">
        <v>8282</v>
      </c>
      <c r="B3371" s="2" t="s">
        <v>8283</v>
      </c>
      <c r="C3371" s="2" t="s">
        <v>31</v>
      </c>
      <c r="D3371" s="2" t="s">
        <v>32</v>
      </c>
      <c r="E3371" s="5">
        <v>-31040</v>
      </c>
      <c r="F3371" s="3" t="s">
        <v>326</v>
      </c>
      <c r="G3371" s="3" t="s">
        <v>27</v>
      </c>
      <c r="H3371" s="2" t="s">
        <v>72</v>
      </c>
      <c r="I3371" s="2" t="s">
        <v>8284</v>
      </c>
      <c r="J3371" s="3" t="str">
        <f>HYPERLINK("https://www.boe.es/gazeta/dias/1815/01/05/pdfs/GMD-1815-2.pdf#page=6","Abrir facsímil")</f>
        <v>Abrir facsímil</v>
      </c>
      <c r="K3371" s="3" t="s">
        <v>74</v>
      </c>
    </row>
    <row r="3372" spans="1:11" ht="42" customHeight="1">
      <c r="A3372" s="2" t="s">
        <v>8285</v>
      </c>
      <c r="B3372" s="2" t="s">
        <v>8286</v>
      </c>
      <c r="C3372" s="2" t="s">
        <v>17</v>
      </c>
      <c r="D3372" s="2" t="s">
        <v>18</v>
      </c>
      <c r="E3372" s="5">
        <v>-30842</v>
      </c>
      <c r="F3372" s="3" t="s">
        <v>126</v>
      </c>
      <c r="G3372" s="3" t="s">
        <v>88</v>
      </c>
      <c r="H3372" s="2" t="s">
        <v>72</v>
      </c>
      <c r="I3372" s="2" t="s">
        <v>8287</v>
      </c>
      <c r="J3372" s="3" t="str">
        <f>HYPERLINK("https://www.boe.es/gazeta/dias/1815/07/22/pdfs/GMD-1815-90.pdf#page=10","Abrir facsímil")</f>
        <v>Abrir facsímil</v>
      </c>
      <c r="K3372" s="3" t="s">
        <v>74</v>
      </c>
    </row>
    <row r="3373" spans="1:11" ht="42" customHeight="1">
      <c r="A3373" s="2" t="s">
        <v>8288</v>
      </c>
      <c r="B3373" s="2" t="s">
        <v>8289</v>
      </c>
      <c r="C3373" s="2" t="s">
        <v>31</v>
      </c>
      <c r="D3373" s="2" t="s">
        <v>32</v>
      </c>
      <c r="E3373" s="5">
        <v>-31040</v>
      </c>
      <c r="F3373" s="3" t="s">
        <v>326</v>
      </c>
      <c r="G3373" s="3" t="s">
        <v>27</v>
      </c>
      <c r="H3373" s="2" t="s">
        <v>72</v>
      </c>
      <c r="I3373" s="2" t="s">
        <v>8290</v>
      </c>
      <c r="J3373" s="3" t="str">
        <f>HYPERLINK("https://www.boe.es/gazeta/dias/1815/01/05/pdfs/GMD-1815-2.pdf#page=6","Abrir facsímil")</f>
        <v>Abrir facsímil</v>
      </c>
      <c r="K3373" s="3" t="s">
        <v>74</v>
      </c>
    </row>
    <row r="3374" spans="1:11" ht="42" customHeight="1">
      <c r="A3374" s="2" t="s">
        <v>8291</v>
      </c>
      <c r="B3374" s="2" t="s">
        <v>8292</v>
      </c>
      <c r="C3374" s="2" t="s">
        <v>49</v>
      </c>
      <c r="D3374" s="2" t="s">
        <v>50</v>
      </c>
      <c r="E3374" s="5">
        <v>-30870</v>
      </c>
      <c r="F3374" s="3" t="s">
        <v>122</v>
      </c>
      <c r="G3374" s="3" t="s">
        <v>52</v>
      </c>
      <c r="H3374" s="2" t="s">
        <v>72</v>
      </c>
      <c r="I3374" s="2" t="s">
        <v>8293</v>
      </c>
      <c r="J3374" s="3" t="str">
        <f>HYPERLINK("https://www.boe.es/gazeta/dias/1815/06/24/pdfs/GMD-1815-76.pdf#page=11","Abrir facsímil")</f>
        <v>Abrir facsímil</v>
      </c>
      <c r="K3374" s="3" t="s">
        <v>74</v>
      </c>
    </row>
    <row r="3375" spans="1:11" ht="42" customHeight="1">
      <c r="A3375" s="2" t="s">
        <v>8294</v>
      </c>
      <c r="B3375" s="2" t="s">
        <v>8295</v>
      </c>
      <c r="C3375" s="2" t="s">
        <v>49</v>
      </c>
      <c r="D3375" s="2" t="s">
        <v>50</v>
      </c>
      <c r="E3375" s="5">
        <v>-30720</v>
      </c>
      <c r="F3375" s="3" t="s">
        <v>373</v>
      </c>
      <c r="G3375" s="3" t="s">
        <v>88</v>
      </c>
      <c r="H3375" s="2" t="s">
        <v>72</v>
      </c>
      <c r="I3375" s="2" t="s">
        <v>8296</v>
      </c>
      <c r="J3375" s="3" t="str">
        <f>HYPERLINK("https://www.boe.es/gazeta/dias/1815/11/21/pdfs/GMD-1815-145.pdf#page=10","Abrir facsímil")</f>
        <v>Abrir facsímil</v>
      </c>
      <c r="K3375" s="3" t="s">
        <v>74</v>
      </c>
    </row>
    <row r="3376" spans="1:11" ht="42" customHeight="1">
      <c r="A3376" s="2" t="s">
        <v>8297</v>
      </c>
      <c r="B3376" s="2" t="s">
        <v>8298</v>
      </c>
      <c r="C3376" s="2" t="s">
        <v>49</v>
      </c>
      <c r="D3376" s="2" t="s">
        <v>50</v>
      </c>
      <c r="E3376" s="5">
        <v>-30870</v>
      </c>
      <c r="F3376" s="3" t="s">
        <v>122</v>
      </c>
      <c r="G3376" s="3" t="s">
        <v>88</v>
      </c>
      <c r="H3376" s="2" t="s">
        <v>72</v>
      </c>
      <c r="I3376" s="2" t="s">
        <v>8299</v>
      </c>
      <c r="J3376" s="3" t="str">
        <f>HYPERLINK("https://www.boe.es/gazeta/dias/1815/06/24/pdfs/GMD-1815-76.pdf#page=10","Abrir facsímil")</f>
        <v>Abrir facsímil</v>
      </c>
      <c r="K3376" s="3" t="s">
        <v>74</v>
      </c>
    </row>
    <row r="3377" spans="1:11" ht="42" customHeight="1">
      <c r="A3377" s="2" t="s">
        <v>8300</v>
      </c>
      <c r="B3377" s="2" t="s">
        <v>8301</v>
      </c>
      <c r="C3377" s="2" t="s">
        <v>49</v>
      </c>
      <c r="D3377" s="2" t="s">
        <v>50</v>
      </c>
      <c r="E3377" s="5">
        <v>-30870</v>
      </c>
      <c r="F3377" s="3" t="s">
        <v>122</v>
      </c>
      <c r="G3377" s="3" t="s">
        <v>88</v>
      </c>
      <c r="H3377" s="2" t="s">
        <v>72</v>
      </c>
      <c r="I3377" s="2" t="s">
        <v>8302</v>
      </c>
      <c r="J3377" s="3" t="str">
        <f>HYPERLINK("https://www.boe.es/gazeta/dias/1815/06/24/pdfs/GMD-1815-76.pdf#page=10","Abrir facsímil")</f>
        <v>Abrir facsímil</v>
      </c>
      <c r="K3377" s="3" t="s">
        <v>74</v>
      </c>
    </row>
    <row r="3378" spans="1:11" ht="42" customHeight="1">
      <c r="A3378" s="2" t="s">
        <v>8303</v>
      </c>
      <c r="B3378" s="2" t="s">
        <v>8303</v>
      </c>
      <c r="C3378" s="2" t="s">
        <v>31</v>
      </c>
      <c r="D3378" s="2" t="s">
        <v>32</v>
      </c>
      <c r="E3378" s="5">
        <v>-30849</v>
      </c>
      <c r="F3378" s="3" t="s">
        <v>501</v>
      </c>
      <c r="G3378" s="3" t="s">
        <v>88</v>
      </c>
      <c r="H3378" s="2" t="s">
        <v>72</v>
      </c>
      <c r="I3378" s="2" t="s">
        <v>8304</v>
      </c>
      <c r="J3378" s="3" t="str">
        <f>HYPERLINK("https://www.boe.es/gazeta/dias/1815/07/15/pdfs/GMD-1815-87.pdf#page=10","Abrir facsímil")</f>
        <v>Abrir facsímil</v>
      </c>
      <c r="K3378" s="3" t="s">
        <v>74</v>
      </c>
    </row>
    <row r="3379" spans="1:11" ht="42" customHeight="1">
      <c r="A3379" s="2" t="s">
        <v>8305</v>
      </c>
      <c r="B3379" s="2" t="s">
        <v>8305</v>
      </c>
      <c r="C3379" s="2" t="s">
        <v>31</v>
      </c>
      <c r="D3379" s="2" t="s">
        <v>32</v>
      </c>
      <c r="E3379" s="5">
        <v>-30797</v>
      </c>
      <c r="F3379" s="3" t="s">
        <v>248</v>
      </c>
      <c r="G3379" s="3" t="s">
        <v>377</v>
      </c>
      <c r="H3379" s="2" t="s">
        <v>72</v>
      </c>
      <c r="I3379" s="2" t="s">
        <v>8306</v>
      </c>
      <c r="J3379" s="3" t="str">
        <f>HYPERLINK("https://www.boe.es/gazeta/dias/1815/09/05/pdfs/GMD-1815-110.pdf#page=2","Abrir facsímil")</f>
        <v>Abrir facsímil</v>
      </c>
      <c r="K3379" s="3" t="s">
        <v>74</v>
      </c>
    </row>
    <row r="3380" spans="1:11" ht="42" customHeight="1">
      <c r="A3380" s="2" t="s">
        <v>8307</v>
      </c>
      <c r="B3380" s="2" t="s">
        <v>8308</v>
      </c>
      <c r="C3380" s="2" t="s">
        <v>31</v>
      </c>
      <c r="D3380" s="2" t="s">
        <v>32</v>
      </c>
      <c r="E3380" s="5">
        <v>-30982</v>
      </c>
      <c r="F3380" s="3" t="s">
        <v>220</v>
      </c>
      <c r="G3380" s="3" t="s">
        <v>20</v>
      </c>
      <c r="H3380" s="2" t="s">
        <v>72</v>
      </c>
      <c r="I3380" s="2" t="s">
        <v>8309</v>
      </c>
      <c r="J3380" s="3" t="str">
        <f>HYPERLINK("https://www.boe.es/gazeta/dias/1815/03/04/pdfs/GMD-1815-27.pdf#page=4","Abrir facsímil")</f>
        <v>Abrir facsímil</v>
      </c>
      <c r="K3380" s="3" t="s">
        <v>74</v>
      </c>
    </row>
    <row r="3381" spans="1:11" ht="42" customHeight="1">
      <c r="A3381" s="2" t="s">
        <v>8310</v>
      </c>
      <c r="B3381" s="2" t="s">
        <v>8310</v>
      </c>
      <c r="C3381" s="2" t="s">
        <v>31</v>
      </c>
      <c r="D3381" s="2" t="s">
        <v>32</v>
      </c>
      <c r="E3381" s="5">
        <v>-30816</v>
      </c>
      <c r="F3381" s="3" t="s">
        <v>1253</v>
      </c>
      <c r="G3381" s="3" t="s">
        <v>224</v>
      </c>
      <c r="H3381" s="2" t="s">
        <v>72</v>
      </c>
      <c r="I3381" s="2" t="s">
        <v>8311</v>
      </c>
      <c r="J3381" s="3" t="str">
        <f>HYPERLINK("https://www.boe.es/gazeta/dias/1815/08/17/pdfs/GMD-1815-101.pdf#page=9","Abrir facsímil")</f>
        <v>Abrir facsímil</v>
      </c>
      <c r="K3381" s="3" t="s">
        <v>74</v>
      </c>
    </row>
    <row r="3382" spans="1:11" ht="42" customHeight="1">
      <c r="A3382" s="2" t="s">
        <v>8312</v>
      </c>
      <c r="B3382" s="2" t="s">
        <v>8313</v>
      </c>
      <c r="C3382" s="2" t="s">
        <v>17</v>
      </c>
      <c r="D3382" s="2" t="s">
        <v>18</v>
      </c>
      <c r="E3382" s="5">
        <v>-30872</v>
      </c>
      <c r="F3382" s="3" t="s">
        <v>167</v>
      </c>
      <c r="G3382" s="3" t="s">
        <v>342</v>
      </c>
      <c r="H3382" s="2" t="s">
        <v>72</v>
      </c>
      <c r="I3382" s="2" t="s">
        <v>8314</v>
      </c>
      <c r="J3382" s="3" t="str">
        <f>HYPERLINK("https://www.boe.es/gazeta/dias/1815/06/22/pdfs/GMD-1815-75.pdf#page=8","Abrir facsímil")</f>
        <v>Abrir facsímil</v>
      </c>
      <c r="K3382" s="3" t="s">
        <v>74</v>
      </c>
    </row>
    <row r="3383" spans="1:11" ht="42" customHeight="1">
      <c r="A3383" s="2" t="s">
        <v>8315</v>
      </c>
      <c r="B3383" s="2" t="s">
        <v>8315</v>
      </c>
      <c r="C3383" s="2" t="s">
        <v>49</v>
      </c>
      <c r="D3383" s="2" t="s">
        <v>50</v>
      </c>
      <c r="E3383" s="5">
        <v>-30821</v>
      </c>
      <c r="F3383" s="3" t="s">
        <v>915</v>
      </c>
      <c r="G3383" s="3" t="s">
        <v>38</v>
      </c>
      <c r="H3383" s="2" t="s">
        <v>72</v>
      </c>
      <c r="I3383" s="2" t="s">
        <v>8316</v>
      </c>
      <c r="J3383" s="3" t="str">
        <f>HYPERLINK("https://www.boe.es/gazeta/dias/1815/08/12/pdfs/GMD-1815-99.pdf#page=8","Abrir facsímil")</f>
        <v>Abrir facsímil</v>
      </c>
      <c r="K3383" s="3" t="s">
        <v>74</v>
      </c>
    </row>
    <row r="3384" spans="1:11" ht="42" customHeight="1">
      <c r="A3384" s="2" t="s">
        <v>8317</v>
      </c>
      <c r="B3384" s="2" t="s">
        <v>8317</v>
      </c>
      <c r="C3384" s="2" t="s">
        <v>131</v>
      </c>
      <c r="D3384" s="2" t="s">
        <v>50</v>
      </c>
      <c r="E3384" s="5">
        <v>-30783</v>
      </c>
      <c r="F3384" s="3" t="s">
        <v>423</v>
      </c>
      <c r="G3384" s="3" t="s">
        <v>38</v>
      </c>
      <c r="H3384" s="2" t="s">
        <v>72</v>
      </c>
      <c r="I3384" s="2" t="s">
        <v>8318</v>
      </c>
      <c r="J3384" s="3" t="str">
        <f>HYPERLINK("https://www.boe.es/gazeta/dias/1815/09/19/pdfs/GMD-1815-116.pdf#page=8","Abrir facsímil")</f>
        <v>Abrir facsímil</v>
      </c>
      <c r="K3384" s="3" t="s">
        <v>74</v>
      </c>
    </row>
    <row r="3385" spans="1:11" ht="42" customHeight="1">
      <c r="A3385" s="2" t="s">
        <v>8319</v>
      </c>
      <c r="B3385" s="2" t="s">
        <v>8320</v>
      </c>
      <c r="C3385" s="2" t="s">
        <v>31</v>
      </c>
      <c r="D3385" s="2" t="s">
        <v>32</v>
      </c>
      <c r="E3385" s="5">
        <v>-30874</v>
      </c>
      <c r="F3385" s="3" t="s">
        <v>208</v>
      </c>
      <c r="G3385" s="3" t="s">
        <v>71</v>
      </c>
      <c r="H3385" s="2" t="s">
        <v>72</v>
      </c>
      <c r="I3385" s="2" t="s">
        <v>8321</v>
      </c>
      <c r="J3385" s="3" t="str">
        <f>HYPERLINK("https://www.boe.es/gazeta/dias/1815/06/20/pdfs/GMD-1815-74.pdf#page=7","Abrir facsímil")</f>
        <v>Abrir facsímil</v>
      </c>
      <c r="K3385" s="3" t="s">
        <v>74</v>
      </c>
    </row>
    <row r="3386" spans="1:11" ht="42" customHeight="1">
      <c r="A3386" s="2" t="s">
        <v>8322</v>
      </c>
      <c r="B3386" s="2" t="s">
        <v>8323</v>
      </c>
      <c r="C3386" s="2" t="s">
        <v>49</v>
      </c>
      <c r="D3386" s="2" t="s">
        <v>50</v>
      </c>
      <c r="E3386" s="5">
        <v>-31040</v>
      </c>
      <c r="F3386" s="3" t="s">
        <v>326</v>
      </c>
      <c r="G3386" s="3" t="s">
        <v>38</v>
      </c>
      <c r="H3386" s="2" t="s">
        <v>72</v>
      </c>
      <c r="I3386" s="2" t="s">
        <v>8324</v>
      </c>
      <c r="J3386" s="3" t="str">
        <f>HYPERLINK("https://www.boe.es/gazeta/dias/1815/01/05/pdfs/GMD-1815-2.pdf#page=8","Abrir facsímil")</f>
        <v>Abrir facsímil</v>
      </c>
      <c r="K3386" s="3" t="s">
        <v>74</v>
      </c>
    </row>
    <row r="3387" spans="1:11" ht="42" customHeight="1">
      <c r="A3387" s="2" t="s">
        <v>8325</v>
      </c>
      <c r="B3387" s="2" t="s">
        <v>8326</v>
      </c>
      <c r="C3387" s="2" t="s">
        <v>49</v>
      </c>
      <c r="D3387" s="2" t="s">
        <v>50</v>
      </c>
      <c r="E3387" s="5">
        <v>-30741</v>
      </c>
      <c r="F3387" s="3" t="s">
        <v>1000</v>
      </c>
      <c r="G3387" s="3" t="s">
        <v>38</v>
      </c>
      <c r="H3387" s="2" t="s">
        <v>72</v>
      </c>
      <c r="I3387" s="2" t="s">
        <v>8327</v>
      </c>
      <c r="J3387" s="3" t="str">
        <f>HYPERLINK("https://www.boe.es/gazeta/dias/1815/10/31/pdfs/GMD-1815-136.pdf#page=8","Abrir facsímil")</f>
        <v>Abrir facsímil</v>
      </c>
      <c r="K3387" s="3" t="s">
        <v>74</v>
      </c>
    </row>
    <row r="3388" spans="1:11" ht="42" customHeight="1">
      <c r="A3388" s="2" t="s">
        <v>8328</v>
      </c>
      <c r="B3388" s="2" t="s">
        <v>8328</v>
      </c>
      <c r="C3388" s="2" t="s">
        <v>195</v>
      </c>
      <c r="D3388" s="2" t="s">
        <v>50</v>
      </c>
      <c r="E3388" s="5">
        <v>-30888</v>
      </c>
      <c r="F3388" s="3" t="s">
        <v>368</v>
      </c>
      <c r="G3388" s="3" t="s">
        <v>38</v>
      </c>
      <c r="H3388" s="2" t="s">
        <v>72</v>
      </c>
      <c r="I3388" s="2" t="s">
        <v>8329</v>
      </c>
      <c r="J3388" s="3" t="str">
        <f>HYPERLINK("https://www.boe.es/gazeta/dias/1815/06/06/pdfs/GMD-1815-68.pdf#page=8","Abrir facsímil")</f>
        <v>Abrir facsímil</v>
      </c>
      <c r="K3388" s="3" t="s">
        <v>74</v>
      </c>
    </row>
    <row r="3389" spans="1:11" ht="42" customHeight="1">
      <c r="A3389" s="2" t="s">
        <v>8330</v>
      </c>
      <c r="B3389" s="2" t="s">
        <v>8330</v>
      </c>
      <c r="C3389" s="2" t="s">
        <v>31</v>
      </c>
      <c r="D3389" s="2" t="s">
        <v>32</v>
      </c>
      <c r="E3389" s="5">
        <v>-30797</v>
      </c>
      <c r="F3389" s="3" t="s">
        <v>248</v>
      </c>
      <c r="G3389" s="3" t="s">
        <v>377</v>
      </c>
      <c r="H3389" s="2" t="s">
        <v>72</v>
      </c>
      <c r="I3389" s="2" t="s">
        <v>8331</v>
      </c>
      <c r="J3389" s="3" t="str">
        <f>HYPERLINK("https://www.boe.es/gazeta/dias/1815/09/05/pdfs/GMD-1815-110.pdf#page=2","Abrir facsímil")</f>
        <v>Abrir facsímil</v>
      </c>
      <c r="K3389" s="3" t="s">
        <v>74</v>
      </c>
    </row>
    <row r="3390" spans="1:11" ht="42" customHeight="1">
      <c r="A3390" s="2" t="s">
        <v>8332</v>
      </c>
      <c r="B3390" s="2" t="s">
        <v>8333</v>
      </c>
      <c r="C3390" s="2" t="s">
        <v>49</v>
      </c>
      <c r="D3390" s="2" t="s">
        <v>50</v>
      </c>
      <c r="E3390" s="5">
        <v>-30725</v>
      </c>
      <c r="F3390" s="3" t="s">
        <v>1535</v>
      </c>
      <c r="G3390" s="3" t="s">
        <v>5348</v>
      </c>
      <c r="H3390" s="2" t="s">
        <v>72</v>
      </c>
      <c r="I3390" s="2" t="s">
        <v>8334</v>
      </c>
      <c r="J3390" s="3" t="str">
        <f>HYPERLINK("https://www.boe.es/gazeta/dias/1815/11/16/pdfs/GMD-1815-143.pdf#page=7","Abrir facsímil")</f>
        <v>Abrir facsímil</v>
      </c>
      <c r="K3390" s="3" t="s">
        <v>74</v>
      </c>
    </row>
    <row r="3391" spans="1:11" ht="42" customHeight="1">
      <c r="A3391" s="2" t="s">
        <v>8335</v>
      </c>
      <c r="B3391" s="2" t="s">
        <v>8336</v>
      </c>
      <c r="C3391" s="2" t="s">
        <v>49</v>
      </c>
      <c r="D3391" s="2" t="s">
        <v>50</v>
      </c>
      <c r="E3391" s="5">
        <v>-30809</v>
      </c>
      <c r="F3391" s="3" t="s">
        <v>82</v>
      </c>
      <c r="G3391" s="3" t="s">
        <v>38</v>
      </c>
      <c r="H3391" s="2" t="s">
        <v>72</v>
      </c>
      <c r="I3391" s="2" t="s">
        <v>8337</v>
      </c>
      <c r="J3391" s="3" t="str">
        <f>HYPERLINK("https://www.boe.es/gazeta/dias/1815/08/24/pdfs/GMD-1815-104.pdf#page=8","Abrir facsímil")</f>
        <v>Abrir facsímil</v>
      </c>
      <c r="K3391" s="3" t="s">
        <v>74</v>
      </c>
    </row>
    <row r="3392" spans="1:11" ht="42" customHeight="1">
      <c r="A3392" s="2" t="s">
        <v>8335</v>
      </c>
      <c r="B3392" s="2" t="s">
        <v>8336</v>
      </c>
      <c r="C3392" s="2" t="s">
        <v>49</v>
      </c>
      <c r="D3392" s="2" t="s">
        <v>50</v>
      </c>
      <c r="E3392" s="5">
        <v>-30790</v>
      </c>
      <c r="F3392" s="3" t="s">
        <v>285</v>
      </c>
      <c r="G3392" s="3" t="s">
        <v>57</v>
      </c>
      <c r="H3392" s="2" t="s">
        <v>72</v>
      </c>
      <c r="I3392" s="2" t="s">
        <v>8338</v>
      </c>
      <c r="J3392" s="3" t="str">
        <f>HYPERLINK("https://www.boe.es/gazeta/dias/1815/09/12/pdfs/GMD-1815-113.pdf#page=5","Abrir facsímil")</f>
        <v>Abrir facsímil</v>
      </c>
      <c r="K3392" s="3" t="s">
        <v>74</v>
      </c>
    </row>
    <row r="3393" spans="1:11" ht="42" customHeight="1">
      <c r="A3393" s="2" t="s">
        <v>8339</v>
      </c>
      <c r="B3393" s="2" t="s">
        <v>8340</v>
      </c>
      <c r="C3393" s="2" t="s">
        <v>31</v>
      </c>
      <c r="D3393" s="2" t="s">
        <v>32</v>
      </c>
      <c r="E3393" s="5">
        <v>-30860</v>
      </c>
      <c r="F3393" s="3" t="s">
        <v>184</v>
      </c>
      <c r="G3393" s="3" t="s">
        <v>20</v>
      </c>
      <c r="H3393" s="2" t="s">
        <v>72</v>
      </c>
      <c r="I3393" s="2" t="s">
        <v>8341</v>
      </c>
      <c r="J3393" s="3" t="str">
        <f>HYPERLINK("https://www.boe.es/gazeta/dias/1815/07/04/pdfs/GMD-1815-81.pdf#page=4","Abrir facsímil")</f>
        <v>Abrir facsímil</v>
      </c>
      <c r="K3393" s="3" t="s">
        <v>74</v>
      </c>
    </row>
    <row r="3394" spans="1:11" ht="42" customHeight="1">
      <c r="A3394" s="2" t="s">
        <v>8342</v>
      </c>
      <c r="B3394" s="2" t="s">
        <v>8342</v>
      </c>
      <c r="C3394" s="2" t="s">
        <v>31</v>
      </c>
      <c r="D3394" s="2" t="s">
        <v>32</v>
      </c>
      <c r="E3394" s="5">
        <v>-30828</v>
      </c>
      <c r="F3394" s="3" t="s">
        <v>1402</v>
      </c>
      <c r="G3394" s="3" t="s">
        <v>71</v>
      </c>
      <c r="H3394" s="2" t="s">
        <v>72</v>
      </c>
      <c r="I3394" s="2" t="s">
        <v>8343</v>
      </c>
      <c r="J3394" s="3" t="str">
        <f>HYPERLINK("https://www.boe.es/gazeta/dias/1815/08/05/pdfs/GMD-1815-96.pdf#page=7","Abrir facsímil")</f>
        <v>Abrir facsímil</v>
      </c>
      <c r="K3394" s="3" t="s">
        <v>74</v>
      </c>
    </row>
    <row r="3395" spans="1:11" ht="42" customHeight="1">
      <c r="A3395" s="2" t="s">
        <v>8344</v>
      </c>
      <c r="B3395" s="2" t="s">
        <v>8344</v>
      </c>
      <c r="C3395" s="2" t="s">
        <v>17</v>
      </c>
      <c r="D3395" s="2" t="s">
        <v>18</v>
      </c>
      <c r="E3395" s="5">
        <v>-30928</v>
      </c>
      <c r="F3395" s="3" t="s">
        <v>330</v>
      </c>
      <c r="G3395" s="3" t="s">
        <v>97</v>
      </c>
      <c r="H3395" s="2" t="s">
        <v>72</v>
      </c>
      <c r="I3395" s="2" t="s">
        <v>8345</v>
      </c>
      <c r="J3395" s="3" t="str">
        <f>HYPERLINK("https://www.boe.es/gazeta/dias/1815/04/27/pdfs/GMD-1815-51.pdf#page=3","Abrir facsímil")</f>
        <v>Abrir facsímil</v>
      </c>
      <c r="K3395" s="3" t="s">
        <v>74</v>
      </c>
    </row>
    <row r="3396" spans="1:11" ht="42" customHeight="1">
      <c r="A3396" s="2" t="s">
        <v>8344</v>
      </c>
      <c r="B3396" s="2" t="s">
        <v>8344</v>
      </c>
      <c r="C3396" s="2" t="s">
        <v>49</v>
      </c>
      <c r="D3396" s="2" t="s">
        <v>50</v>
      </c>
      <c r="E3396" s="5">
        <v>-30699</v>
      </c>
      <c r="F3396" s="3" t="s">
        <v>810</v>
      </c>
      <c r="G3396" s="3" t="s">
        <v>97</v>
      </c>
      <c r="H3396" s="2" t="s">
        <v>72</v>
      </c>
      <c r="I3396" s="2" t="s">
        <v>8346</v>
      </c>
      <c r="J3396" s="3" t="str">
        <f>HYPERLINK("https://www.boe.es/gazeta/dias/1815/12/12/pdfs/GMD-1815-154.pdf#page=3","Abrir facsímil")</f>
        <v>Abrir facsímil</v>
      </c>
      <c r="K3396" s="3" t="s">
        <v>74</v>
      </c>
    </row>
    <row r="3397" spans="1:11" ht="42" customHeight="1">
      <c r="A3397" s="2" t="s">
        <v>8347</v>
      </c>
      <c r="B3397" s="2" t="s">
        <v>8348</v>
      </c>
      <c r="C3397" s="2" t="s">
        <v>31</v>
      </c>
      <c r="D3397" s="2" t="s">
        <v>32</v>
      </c>
      <c r="E3397" s="5">
        <v>-31038</v>
      </c>
      <c r="F3397" s="3" t="s">
        <v>395</v>
      </c>
      <c r="G3397" s="3" t="s">
        <v>27</v>
      </c>
      <c r="H3397" s="2" t="s">
        <v>72</v>
      </c>
      <c r="I3397" s="2" t="s">
        <v>8349</v>
      </c>
      <c r="J3397" s="3" t="str">
        <f>HYPERLINK("https://www.boe.es/gazeta/dias/1815/01/07/pdfs/GMD-1815-3.pdf#page=6","Abrir facsímil")</f>
        <v>Abrir facsímil</v>
      </c>
      <c r="K3397" s="3" t="s">
        <v>74</v>
      </c>
    </row>
    <row r="3398" spans="1:11" ht="42" customHeight="1">
      <c r="A3398" s="2" t="s">
        <v>8350</v>
      </c>
      <c r="B3398" s="2" t="s">
        <v>8351</v>
      </c>
      <c r="C3398" s="2" t="s">
        <v>49</v>
      </c>
      <c r="D3398" s="2" t="s">
        <v>50</v>
      </c>
      <c r="E3398" s="5">
        <v>-30958</v>
      </c>
      <c r="F3398" s="3" t="s">
        <v>297</v>
      </c>
      <c r="G3398" s="3" t="s">
        <v>27</v>
      </c>
      <c r="H3398" s="2" t="s">
        <v>72</v>
      </c>
      <c r="I3398" s="2" t="s">
        <v>8352</v>
      </c>
      <c r="J3398" s="3" t="str">
        <f>HYPERLINK("https://www.boe.es/gazeta/dias/1815/03/28/pdfs/GMD-1815-37.pdf#page=6","Abrir facsímil")</f>
        <v>Abrir facsímil</v>
      </c>
      <c r="K3398" s="3" t="s">
        <v>74</v>
      </c>
    </row>
    <row r="3399" spans="1:11" ht="42" customHeight="1">
      <c r="A3399" s="2" t="s">
        <v>8353</v>
      </c>
      <c r="B3399" s="2" t="s">
        <v>8354</v>
      </c>
      <c r="C3399" s="2" t="s">
        <v>31</v>
      </c>
      <c r="D3399" s="2" t="s">
        <v>32</v>
      </c>
      <c r="E3399" s="5">
        <v>-30886</v>
      </c>
      <c r="F3399" s="3" t="s">
        <v>140</v>
      </c>
      <c r="G3399" s="3" t="s">
        <v>88</v>
      </c>
      <c r="H3399" s="2" t="s">
        <v>72</v>
      </c>
      <c r="I3399" s="2" t="s">
        <v>8355</v>
      </c>
      <c r="J3399" s="3" t="str">
        <f>HYPERLINK("https://www.boe.es/gazeta/dias/1815/06/08/pdfs/GMD-1815-69.pdf#page=10","Abrir facsímil")</f>
        <v>Abrir facsímil</v>
      </c>
      <c r="K3399" s="3" t="s">
        <v>74</v>
      </c>
    </row>
    <row r="3400" spans="1:11" ht="42" customHeight="1">
      <c r="A3400" s="2" t="s">
        <v>8356</v>
      </c>
      <c r="B3400" s="2" t="s">
        <v>8357</v>
      </c>
      <c r="C3400" s="2" t="s">
        <v>49</v>
      </c>
      <c r="D3400" s="2" t="s">
        <v>50</v>
      </c>
      <c r="E3400" s="5">
        <v>-31038</v>
      </c>
      <c r="F3400" s="3" t="s">
        <v>395</v>
      </c>
      <c r="G3400" s="3" t="s">
        <v>396</v>
      </c>
      <c r="H3400" s="2" t="s">
        <v>72</v>
      </c>
      <c r="I3400" s="2" t="s">
        <v>8358</v>
      </c>
      <c r="J3400" s="3" t="str">
        <f>HYPERLINK("https://www.boe.es/gazeta/dias/1815/01/07/pdfs/GMD-1815-3.pdf#page=5","Abrir facsímil")</f>
        <v>Abrir facsímil</v>
      </c>
      <c r="K3400" s="3" t="s">
        <v>74</v>
      </c>
    </row>
    <row r="3401" spans="1:11" ht="42" customHeight="1">
      <c r="A3401" s="2" t="s">
        <v>8359</v>
      </c>
      <c r="B3401" s="2" t="s">
        <v>8360</v>
      </c>
      <c r="C3401" s="2" t="s">
        <v>49</v>
      </c>
      <c r="D3401" s="2" t="s">
        <v>50</v>
      </c>
      <c r="E3401" s="5">
        <v>-30888</v>
      </c>
      <c r="F3401" s="3" t="s">
        <v>368</v>
      </c>
      <c r="G3401" s="3" t="s">
        <v>27</v>
      </c>
      <c r="H3401" s="2" t="s">
        <v>21</v>
      </c>
      <c r="I3401" s="2" t="s">
        <v>8361</v>
      </c>
      <c r="J3401" s="3" t="str">
        <f>HYPERLINK("https://www.boe.es/gazeta/dias/1815/06/06/pdfs/GMD-1815-68.pdf#page=6","Abrir facsímil")</f>
        <v>Abrir facsímil</v>
      </c>
      <c r="K3401" s="3" t="s">
        <v>23</v>
      </c>
    </row>
    <row r="3402" spans="1:11" ht="42" customHeight="1">
      <c r="A3402" s="2" t="s">
        <v>8362</v>
      </c>
      <c r="B3402" s="2" t="s">
        <v>8363</v>
      </c>
      <c r="C3402" s="2" t="s">
        <v>195</v>
      </c>
      <c r="D3402" s="2" t="s">
        <v>50</v>
      </c>
      <c r="E3402" s="5">
        <v>-30874</v>
      </c>
      <c r="F3402" s="3" t="s">
        <v>208</v>
      </c>
      <c r="G3402" s="3" t="s">
        <v>27</v>
      </c>
      <c r="H3402" s="2" t="s">
        <v>72</v>
      </c>
      <c r="I3402" s="2" t="s">
        <v>8364</v>
      </c>
      <c r="J3402" s="3" t="str">
        <f>HYPERLINK("https://www.boe.es/gazeta/dias/1815/06/20/pdfs/GMD-1815-74.pdf#page=6","Abrir facsímil")</f>
        <v>Abrir facsímil</v>
      </c>
      <c r="K3402" s="3" t="s">
        <v>74</v>
      </c>
    </row>
    <row r="3403" spans="1:11" ht="42" customHeight="1">
      <c r="A3403" s="2" t="s">
        <v>8365</v>
      </c>
      <c r="B3403" s="2" t="s">
        <v>8366</v>
      </c>
      <c r="C3403" s="2" t="s">
        <v>31</v>
      </c>
      <c r="D3403" s="2" t="s">
        <v>32</v>
      </c>
      <c r="E3403" s="5">
        <v>-31040</v>
      </c>
      <c r="F3403" s="3" t="s">
        <v>326</v>
      </c>
      <c r="G3403" s="3" t="s">
        <v>71</v>
      </c>
      <c r="H3403" s="2" t="s">
        <v>72</v>
      </c>
      <c r="I3403" s="2" t="s">
        <v>8367</v>
      </c>
      <c r="J3403" s="3" t="str">
        <f>HYPERLINK("https://www.boe.es/gazeta/dias/1815/01/05/pdfs/GMD-1815-2.pdf#page=7","Abrir facsímil")</f>
        <v>Abrir facsímil</v>
      </c>
      <c r="K3403" s="3" t="s">
        <v>74</v>
      </c>
    </row>
    <row r="3404" spans="1:11" ht="42" customHeight="1">
      <c r="A3404" s="2" t="s">
        <v>8368</v>
      </c>
      <c r="B3404" s="2" t="s">
        <v>8369</v>
      </c>
      <c r="C3404" s="2" t="s">
        <v>31</v>
      </c>
      <c r="D3404" s="2" t="s">
        <v>32</v>
      </c>
      <c r="E3404" s="5">
        <v>-30905</v>
      </c>
      <c r="F3404" s="3" t="s">
        <v>901</v>
      </c>
      <c r="G3404" s="3" t="s">
        <v>71</v>
      </c>
      <c r="H3404" s="2" t="s">
        <v>72</v>
      </c>
      <c r="I3404" s="2" t="s">
        <v>8370</v>
      </c>
      <c r="J3404" s="3" t="str">
        <f>HYPERLINK("https://www.boe.es/gazeta/dias/1815/05/20/pdfs/GMD-1815-61.pdf#page=7","Abrir facsímil")</f>
        <v>Abrir facsímil</v>
      </c>
      <c r="K3404" s="3" t="s">
        <v>74</v>
      </c>
    </row>
    <row r="3405" spans="1:11" ht="42" customHeight="1">
      <c r="A3405" s="2" t="s">
        <v>8371</v>
      </c>
      <c r="B3405" s="2" t="s">
        <v>8372</v>
      </c>
      <c r="C3405" s="2" t="s">
        <v>31</v>
      </c>
      <c r="D3405" s="2" t="s">
        <v>32</v>
      </c>
      <c r="E3405" s="5">
        <v>-30860</v>
      </c>
      <c r="F3405" s="3" t="s">
        <v>184</v>
      </c>
      <c r="G3405" s="3" t="s">
        <v>71</v>
      </c>
      <c r="H3405" s="2" t="s">
        <v>72</v>
      </c>
      <c r="I3405" s="2" t="s">
        <v>8373</v>
      </c>
      <c r="J3405" s="3" t="str">
        <f>HYPERLINK("https://www.boe.es/gazeta/dias/1815/07/04/pdfs/GMD-1815-81.pdf#page=7","Abrir facsímil")</f>
        <v>Abrir facsímil</v>
      </c>
      <c r="K3405" s="3" t="s">
        <v>74</v>
      </c>
    </row>
    <row r="3406" spans="1:11" ht="42" customHeight="1">
      <c r="A3406" s="2" t="s">
        <v>8374</v>
      </c>
      <c r="B3406" s="2" t="s">
        <v>8375</v>
      </c>
      <c r="C3406" s="2" t="s">
        <v>17</v>
      </c>
      <c r="D3406" s="2" t="s">
        <v>18</v>
      </c>
      <c r="E3406" s="5">
        <v>-30741</v>
      </c>
      <c r="F3406" s="3" t="s">
        <v>1000</v>
      </c>
      <c r="G3406" s="3" t="s">
        <v>4582</v>
      </c>
      <c r="H3406" s="2" t="s">
        <v>72</v>
      </c>
      <c r="I3406" s="2" t="s">
        <v>8376</v>
      </c>
      <c r="J3406" s="3" t="str">
        <f>HYPERLINK("https://www.boe.es/gazeta/dias/1815/10/31/pdfs/GMD-1815-136.pdf#page=5","Abrir facsímil")</f>
        <v>Abrir facsímil</v>
      </c>
      <c r="K3406" s="3" t="s">
        <v>74</v>
      </c>
    </row>
    <row r="3407" spans="1:11" ht="42" customHeight="1">
      <c r="A3407" s="2" t="s">
        <v>8377</v>
      </c>
      <c r="B3407" s="2" t="s">
        <v>8378</v>
      </c>
      <c r="C3407" s="2" t="s">
        <v>195</v>
      </c>
      <c r="D3407" s="2" t="s">
        <v>50</v>
      </c>
      <c r="E3407" s="5">
        <v>-30914</v>
      </c>
      <c r="F3407" s="3" t="s">
        <v>338</v>
      </c>
      <c r="G3407" s="3" t="s">
        <v>88</v>
      </c>
      <c r="H3407" s="2" t="s">
        <v>72</v>
      </c>
      <c r="I3407" s="2" t="s">
        <v>8379</v>
      </c>
      <c r="J3407" s="3" t="str">
        <f>HYPERLINK("https://www.boe.es/gazeta/dias/1815/05/11/pdfs/GMD-1815-57.pdf#page=10","Abrir facsímil")</f>
        <v>Abrir facsímil</v>
      </c>
      <c r="K3407" s="3" t="s">
        <v>74</v>
      </c>
    </row>
    <row r="3408" spans="1:11" ht="42" customHeight="1">
      <c r="A3408" s="2" t="s">
        <v>8380</v>
      </c>
      <c r="B3408" s="2" t="s">
        <v>8381</v>
      </c>
      <c r="C3408" s="2" t="s">
        <v>195</v>
      </c>
      <c r="D3408" s="2" t="s">
        <v>50</v>
      </c>
      <c r="E3408" s="5">
        <v>-30781</v>
      </c>
      <c r="F3408" s="3" t="s">
        <v>685</v>
      </c>
      <c r="G3408" s="3" t="s">
        <v>27</v>
      </c>
      <c r="H3408" s="2" t="s">
        <v>72</v>
      </c>
      <c r="I3408" s="2" t="s">
        <v>8382</v>
      </c>
      <c r="J3408" s="3" t="str">
        <f>HYPERLINK("https://www.boe.es/gazeta/dias/1815/09/21/pdfs/GMD-1815-117.pdf#page=6","Abrir facsímil")</f>
        <v>Abrir facsímil</v>
      </c>
      <c r="K3408" s="3" t="s">
        <v>74</v>
      </c>
    </row>
    <row r="3409" spans="1:11" ht="42" customHeight="1">
      <c r="A3409" s="2" t="s">
        <v>8383</v>
      </c>
      <c r="B3409" s="2" t="s">
        <v>8384</v>
      </c>
      <c r="C3409" s="2" t="s">
        <v>49</v>
      </c>
      <c r="D3409" s="2" t="s">
        <v>50</v>
      </c>
      <c r="E3409" s="5">
        <v>-30720</v>
      </c>
      <c r="F3409" s="3" t="s">
        <v>373</v>
      </c>
      <c r="G3409" s="3" t="s">
        <v>224</v>
      </c>
      <c r="H3409" s="2" t="s">
        <v>72</v>
      </c>
      <c r="I3409" s="2" t="s">
        <v>8385</v>
      </c>
      <c r="J3409" s="3" t="str">
        <f>HYPERLINK("https://www.boe.es/gazeta/dias/1815/11/21/pdfs/GMD-1815-145.pdf#page=9","Abrir facsímil")</f>
        <v>Abrir facsímil</v>
      </c>
      <c r="K3409" s="3" t="s">
        <v>74</v>
      </c>
    </row>
    <row r="3410" spans="1:11" ht="42" customHeight="1">
      <c r="A3410" s="2" t="s">
        <v>8386</v>
      </c>
      <c r="B3410" s="2" t="s">
        <v>8387</v>
      </c>
      <c r="C3410" s="2" t="s">
        <v>195</v>
      </c>
      <c r="D3410" s="2" t="s">
        <v>50</v>
      </c>
      <c r="E3410" s="5">
        <v>-30856</v>
      </c>
      <c r="F3410" s="3" t="s">
        <v>92</v>
      </c>
      <c r="G3410" s="3" t="s">
        <v>38</v>
      </c>
      <c r="H3410" s="2" t="s">
        <v>72</v>
      </c>
      <c r="I3410" s="2" t="s">
        <v>8388</v>
      </c>
      <c r="J3410" s="3" t="str">
        <f>HYPERLINK("https://www.boe.es/gazeta/dias/1815/07/08/pdfs/GMD-1815-84.pdf#page=8","Abrir facsímil")</f>
        <v>Abrir facsímil</v>
      </c>
      <c r="K3410" s="3" t="s">
        <v>74</v>
      </c>
    </row>
    <row r="3411" spans="1:11" ht="42" customHeight="1">
      <c r="A3411" s="2" t="s">
        <v>8386</v>
      </c>
      <c r="B3411" s="2" t="s">
        <v>8387</v>
      </c>
      <c r="C3411" s="2" t="s">
        <v>49</v>
      </c>
      <c r="D3411" s="2" t="s">
        <v>50</v>
      </c>
      <c r="E3411" s="5">
        <v>-30727</v>
      </c>
      <c r="F3411" s="3" t="s">
        <v>262</v>
      </c>
      <c r="G3411" s="3" t="s">
        <v>20</v>
      </c>
      <c r="H3411" s="2" t="s">
        <v>72</v>
      </c>
      <c r="I3411" s="2" t="s">
        <v>8389</v>
      </c>
      <c r="J3411" s="3" t="str">
        <f>HYPERLINK("https://www.boe.es/gazeta/dias/1815/11/14/pdfs/GMD-1815-142.pdf#page=4","Abrir facsímil")</f>
        <v>Abrir facsímil</v>
      </c>
      <c r="K3411" s="3" t="s">
        <v>74</v>
      </c>
    </row>
    <row r="3412" spans="1:11" ht="42" customHeight="1">
      <c r="A3412" s="2" t="s">
        <v>8390</v>
      </c>
      <c r="B3412" s="2" t="s">
        <v>8391</v>
      </c>
      <c r="C3412" s="2" t="s">
        <v>17</v>
      </c>
      <c r="D3412" s="2" t="s">
        <v>18</v>
      </c>
      <c r="E3412" s="5">
        <v>-30944</v>
      </c>
      <c r="F3412" s="3" t="s">
        <v>412</v>
      </c>
      <c r="G3412" s="3" t="s">
        <v>71</v>
      </c>
      <c r="H3412" s="2" t="s">
        <v>21</v>
      </c>
      <c r="I3412" s="2" t="s">
        <v>8392</v>
      </c>
      <c r="J3412" s="3" t="str">
        <f>HYPERLINK("https://www.boe.es/gazeta/dias/1815/04/11/pdfs/GMD-1815-44.pdf#page=7","Abrir facsímil")</f>
        <v>Abrir facsímil</v>
      </c>
      <c r="K3412" s="3" t="s">
        <v>23</v>
      </c>
    </row>
    <row r="3413" spans="1:11" ht="42" customHeight="1">
      <c r="A3413" s="2" t="s">
        <v>8393</v>
      </c>
      <c r="B3413" s="2" t="s">
        <v>8394</v>
      </c>
      <c r="C3413" s="2" t="s">
        <v>131</v>
      </c>
      <c r="D3413" s="2" t="s">
        <v>50</v>
      </c>
      <c r="E3413" s="5">
        <v>-30783</v>
      </c>
      <c r="F3413" s="3" t="s">
        <v>423</v>
      </c>
      <c r="G3413" s="3" t="s">
        <v>38</v>
      </c>
      <c r="H3413" s="2" t="s">
        <v>72</v>
      </c>
      <c r="I3413" s="2" t="s">
        <v>8395</v>
      </c>
      <c r="J3413" s="3" t="str">
        <f>HYPERLINK("https://www.boe.es/gazeta/dias/1815/09/19/pdfs/GMD-1815-116.pdf#page=8","Abrir facsímil")</f>
        <v>Abrir facsímil</v>
      </c>
      <c r="K3413" s="3" t="s">
        <v>74</v>
      </c>
    </row>
    <row r="3414" spans="1:11" ht="42" customHeight="1">
      <c r="A3414" s="2" t="s">
        <v>8393</v>
      </c>
      <c r="B3414" s="2" t="s">
        <v>8394</v>
      </c>
      <c r="C3414" s="2" t="s">
        <v>49</v>
      </c>
      <c r="D3414" s="2" t="s">
        <v>50</v>
      </c>
      <c r="E3414" s="5">
        <v>-30702</v>
      </c>
      <c r="F3414" s="3" t="s">
        <v>196</v>
      </c>
      <c r="G3414" s="3" t="s">
        <v>38</v>
      </c>
      <c r="H3414" s="2" t="s">
        <v>72</v>
      </c>
      <c r="I3414" s="2" t="s">
        <v>8396</v>
      </c>
      <c r="J3414" s="3" t="str">
        <f>HYPERLINK("https://www.boe.es/gazeta/dias/1815/12/09/pdfs/GMD-1815-153.pdf#page=8","Abrir facsímil")</f>
        <v>Abrir facsímil</v>
      </c>
      <c r="K3414" s="3" t="s">
        <v>74</v>
      </c>
    </row>
    <row r="3415" spans="1:11" ht="42" customHeight="1">
      <c r="A3415" s="2" t="s">
        <v>8397</v>
      </c>
      <c r="B3415" s="2" t="s">
        <v>8398</v>
      </c>
      <c r="C3415" s="2" t="s">
        <v>49</v>
      </c>
      <c r="D3415" s="2" t="s">
        <v>50</v>
      </c>
      <c r="E3415" s="5">
        <v>-30916</v>
      </c>
      <c r="F3415" s="3" t="s">
        <v>147</v>
      </c>
      <c r="G3415" s="3" t="s">
        <v>38</v>
      </c>
      <c r="H3415" s="2" t="s">
        <v>72</v>
      </c>
      <c r="I3415" s="2" t="s">
        <v>8399</v>
      </c>
      <c r="J3415" s="3" t="str">
        <f>HYPERLINK("https://www.boe.es/gazeta/dias/1815/05/09/pdfs/GMD-1815-56.pdf#page=8","Abrir facsímil")</f>
        <v>Abrir facsímil</v>
      </c>
      <c r="K3415" s="3" t="s">
        <v>74</v>
      </c>
    </row>
    <row r="3416" spans="1:11" ht="42" customHeight="1">
      <c r="A3416" s="2" t="s">
        <v>8400</v>
      </c>
      <c r="B3416" s="2" t="s">
        <v>8401</v>
      </c>
      <c r="C3416" s="2" t="s">
        <v>49</v>
      </c>
      <c r="D3416" s="2" t="s">
        <v>50</v>
      </c>
      <c r="E3416" s="5">
        <v>-30781</v>
      </c>
      <c r="F3416" s="3" t="s">
        <v>685</v>
      </c>
      <c r="G3416" s="3" t="s">
        <v>27</v>
      </c>
      <c r="H3416" s="2" t="s">
        <v>21</v>
      </c>
      <c r="I3416" s="2" t="s">
        <v>8402</v>
      </c>
      <c r="J3416" s="3" t="str">
        <f>HYPERLINK("https://www.boe.es/gazeta/dias/1815/09/21/pdfs/GMD-1815-117.pdf#page=6","Abrir facsímil")</f>
        <v>Abrir facsímil</v>
      </c>
      <c r="K3416" s="3" t="s">
        <v>23</v>
      </c>
    </row>
    <row r="3417" spans="1:11" ht="42" customHeight="1">
      <c r="A3417" s="2" t="s">
        <v>8403</v>
      </c>
      <c r="B3417" s="2" t="s">
        <v>8404</v>
      </c>
      <c r="C3417" s="2" t="s">
        <v>17</v>
      </c>
      <c r="D3417" s="2" t="s">
        <v>18</v>
      </c>
      <c r="E3417" s="5">
        <v>-30856</v>
      </c>
      <c r="F3417" s="3" t="s">
        <v>92</v>
      </c>
      <c r="G3417" s="3" t="s">
        <v>38</v>
      </c>
      <c r="H3417" s="2" t="s">
        <v>72</v>
      </c>
      <c r="I3417" s="2" t="s">
        <v>8405</v>
      </c>
      <c r="J3417" s="3" t="str">
        <f>HYPERLINK("https://www.boe.es/gazeta/dias/1815/07/08/pdfs/GMD-1815-84.pdf#page=8","Abrir facsímil")</f>
        <v>Abrir facsímil</v>
      </c>
      <c r="K3417" s="3" t="s">
        <v>74</v>
      </c>
    </row>
    <row r="3418" spans="1:11" ht="42" customHeight="1">
      <c r="A3418" s="2" t="s">
        <v>8406</v>
      </c>
      <c r="B3418" s="2" t="s">
        <v>8407</v>
      </c>
      <c r="C3418" s="2" t="s">
        <v>49</v>
      </c>
      <c r="D3418" s="2" t="s">
        <v>50</v>
      </c>
      <c r="E3418" s="5">
        <v>-30863</v>
      </c>
      <c r="F3418" s="3" t="s">
        <v>110</v>
      </c>
      <c r="G3418" s="3" t="s">
        <v>224</v>
      </c>
      <c r="H3418" s="2" t="s">
        <v>72</v>
      </c>
      <c r="I3418" s="2" t="s">
        <v>8408</v>
      </c>
      <c r="J3418" s="3" t="str">
        <f>HYPERLINK("https://www.boe.es/gazeta/dias/1815/07/01/pdfs/GMD-1815-79.pdf#page=9","Abrir facsímil")</f>
        <v>Abrir facsímil</v>
      </c>
      <c r="K3418" s="3" t="s">
        <v>74</v>
      </c>
    </row>
    <row r="3419" spans="1:11" ht="42" customHeight="1">
      <c r="A3419" s="2" t="s">
        <v>8409</v>
      </c>
      <c r="B3419" s="2" t="s">
        <v>8410</v>
      </c>
      <c r="C3419" s="2" t="s">
        <v>49</v>
      </c>
      <c r="D3419" s="2" t="s">
        <v>50</v>
      </c>
      <c r="E3419" s="5">
        <v>-30916</v>
      </c>
      <c r="F3419" s="3" t="s">
        <v>147</v>
      </c>
      <c r="G3419" s="3" t="s">
        <v>38</v>
      </c>
      <c r="H3419" s="2" t="s">
        <v>72</v>
      </c>
      <c r="I3419" s="2" t="s">
        <v>8411</v>
      </c>
      <c r="J3419" s="3" t="str">
        <f>HYPERLINK("https://www.boe.es/gazeta/dias/1815/05/09/pdfs/GMD-1815-56.pdf#page=8","Abrir facsímil")</f>
        <v>Abrir facsímil</v>
      </c>
      <c r="K3419" s="3" t="s">
        <v>74</v>
      </c>
    </row>
    <row r="3420" spans="1:11" ht="42" customHeight="1">
      <c r="A3420" s="2" t="s">
        <v>8412</v>
      </c>
      <c r="B3420" s="2" t="s">
        <v>8413</v>
      </c>
      <c r="C3420" s="2" t="s">
        <v>31</v>
      </c>
      <c r="D3420" s="2" t="s">
        <v>32</v>
      </c>
      <c r="E3420" s="5">
        <v>-30965</v>
      </c>
      <c r="F3420" s="3" t="s">
        <v>1679</v>
      </c>
      <c r="G3420" s="3" t="s">
        <v>20</v>
      </c>
      <c r="H3420" s="2" t="s">
        <v>72</v>
      </c>
      <c r="I3420" s="2" t="s">
        <v>8414</v>
      </c>
      <c r="J3420" s="3" t="str">
        <f>HYPERLINK("https://www.boe.es/gazeta/dias/1815/03/21/pdfs/GMD-1815-34.pdf#page=4","Abrir facsímil")</f>
        <v>Abrir facsímil</v>
      </c>
      <c r="K3420" s="3" t="s">
        <v>74</v>
      </c>
    </row>
    <row r="3421" spans="1:11" ht="42" customHeight="1">
      <c r="A3421" s="2" t="s">
        <v>8412</v>
      </c>
      <c r="B3421" s="2" t="s">
        <v>8413</v>
      </c>
      <c r="C3421" s="2" t="s">
        <v>61</v>
      </c>
      <c r="D3421" s="2" t="s">
        <v>50</v>
      </c>
      <c r="E3421" s="5">
        <v>-30720</v>
      </c>
      <c r="F3421" s="3" t="s">
        <v>373</v>
      </c>
      <c r="G3421" s="3" t="s">
        <v>88</v>
      </c>
      <c r="H3421" s="2" t="s">
        <v>72</v>
      </c>
      <c r="I3421" s="2" t="s">
        <v>8415</v>
      </c>
      <c r="J3421" s="3" t="str">
        <f>HYPERLINK("https://www.boe.es/gazeta/dias/1815/11/21/pdfs/GMD-1815-145.pdf#page=10","Abrir facsímil")</f>
        <v>Abrir facsímil</v>
      </c>
      <c r="K3421" s="3" t="s">
        <v>74</v>
      </c>
    </row>
    <row r="3422" spans="1:11" ht="42" customHeight="1">
      <c r="A3422" s="2" t="s">
        <v>8416</v>
      </c>
      <c r="B3422" s="2" t="s">
        <v>8417</v>
      </c>
      <c r="C3422" s="2" t="s">
        <v>195</v>
      </c>
      <c r="D3422" s="2" t="s">
        <v>50</v>
      </c>
      <c r="E3422" s="5">
        <v>-31012</v>
      </c>
      <c r="F3422" s="3" t="s">
        <v>529</v>
      </c>
      <c r="G3422" s="3" t="s">
        <v>530</v>
      </c>
      <c r="H3422" s="2" t="s">
        <v>72</v>
      </c>
      <c r="I3422" s="2" t="s">
        <v>8418</v>
      </c>
      <c r="J3422" s="3" t="str">
        <f>HYPERLINK("https://www.boe.es/gazeta/dias/1815/02/02/pdfs/GMD-1815-14.pdf#page=6","Abrir facsímil")</f>
        <v>Abrir facsímil</v>
      </c>
      <c r="K3422" s="3" t="s">
        <v>74</v>
      </c>
    </row>
    <row r="3423" spans="1:11" ht="42" customHeight="1">
      <c r="A3423" s="2" t="s">
        <v>8419</v>
      </c>
      <c r="B3423" s="2" t="s">
        <v>8420</v>
      </c>
      <c r="C3423" s="2" t="s">
        <v>31</v>
      </c>
      <c r="D3423" s="2" t="s">
        <v>32</v>
      </c>
      <c r="E3423" s="5">
        <v>-30907</v>
      </c>
      <c r="F3423" s="3" t="s">
        <v>301</v>
      </c>
      <c r="G3423" s="3" t="s">
        <v>71</v>
      </c>
      <c r="H3423" s="2" t="s">
        <v>72</v>
      </c>
      <c r="I3423" s="2" t="s">
        <v>8421</v>
      </c>
      <c r="J3423" s="3" t="str">
        <f>HYPERLINK("https://www.boe.es/gazeta/dias/1815/05/18/pdfs/GMD-1815-60.pdf#page=7","Abrir facsímil")</f>
        <v>Abrir facsímil</v>
      </c>
      <c r="K3423" s="3" t="s">
        <v>74</v>
      </c>
    </row>
    <row r="3424" spans="1:11" ht="42" customHeight="1">
      <c r="A3424" s="2" t="s">
        <v>8422</v>
      </c>
      <c r="B3424" s="2" t="s">
        <v>8423</v>
      </c>
      <c r="C3424" s="2" t="s">
        <v>49</v>
      </c>
      <c r="D3424" s="2" t="s">
        <v>50</v>
      </c>
      <c r="E3424" s="5">
        <v>-30865</v>
      </c>
      <c r="F3424" s="3" t="s">
        <v>163</v>
      </c>
      <c r="G3424" s="3" t="s">
        <v>71</v>
      </c>
      <c r="H3424" s="2" t="s">
        <v>72</v>
      </c>
      <c r="I3424" s="2" t="s">
        <v>8424</v>
      </c>
      <c r="J3424" s="3" t="str">
        <f>HYPERLINK("https://www.boe.es/gazeta/dias/1815/06/29/pdfs/GMD-1815-78.pdf#page=7","Abrir facsímil")</f>
        <v>Abrir facsímil</v>
      </c>
      <c r="K3424" s="3" t="s">
        <v>74</v>
      </c>
    </row>
    <row r="3425" spans="1:11" ht="42" customHeight="1">
      <c r="A3425" s="2" t="s">
        <v>8422</v>
      </c>
      <c r="B3425" s="2" t="s">
        <v>8423</v>
      </c>
      <c r="C3425" s="2" t="s">
        <v>49</v>
      </c>
      <c r="D3425" s="2" t="s">
        <v>50</v>
      </c>
      <c r="E3425" s="5">
        <v>-30865</v>
      </c>
      <c r="F3425" s="3" t="s">
        <v>163</v>
      </c>
      <c r="G3425" s="3" t="s">
        <v>38</v>
      </c>
      <c r="H3425" s="2" t="s">
        <v>72</v>
      </c>
      <c r="I3425" s="2" t="s">
        <v>8425</v>
      </c>
      <c r="J3425" s="3" t="str">
        <f>HYPERLINK("https://www.boe.es/gazeta/dias/1815/06/29/pdfs/GMD-1815-78.pdf#page=8","Abrir facsímil")</f>
        <v>Abrir facsímil</v>
      </c>
      <c r="K3425" s="3" t="s">
        <v>74</v>
      </c>
    </row>
    <row r="3426" spans="1:11" ht="42" customHeight="1">
      <c r="A3426" s="2" t="s">
        <v>8426</v>
      </c>
      <c r="B3426" s="2" t="s">
        <v>8427</v>
      </c>
      <c r="C3426" s="2" t="s">
        <v>49</v>
      </c>
      <c r="D3426" s="2" t="s">
        <v>50</v>
      </c>
      <c r="E3426" s="5">
        <v>-30702</v>
      </c>
      <c r="F3426" s="3" t="s">
        <v>196</v>
      </c>
      <c r="G3426" s="3" t="s">
        <v>38</v>
      </c>
      <c r="H3426" s="2" t="s">
        <v>72</v>
      </c>
      <c r="I3426" s="2" t="s">
        <v>8428</v>
      </c>
      <c r="J3426" s="3" t="str">
        <f>HYPERLINK("https://www.boe.es/gazeta/dias/1815/12/09/pdfs/GMD-1815-153.pdf#page=8","Abrir facsímil")</f>
        <v>Abrir facsímil</v>
      </c>
      <c r="K3426" s="3" t="s">
        <v>74</v>
      </c>
    </row>
    <row r="3427" spans="1:11" ht="42" customHeight="1">
      <c r="A3427" s="2" t="s">
        <v>8429</v>
      </c>
      <c r="B3427" s="2" t="s">
        <v>8430</v>
      </c>
      <c r="C3427" s="2" t="s">
        <v>195</v>
      </c>
      <c r="D3427" s="2" t="s">
        <v>50</v>
      </c>
      <c r="E3427" s="5">
        <v>-30954</v>
      </c>
      <c r="F3427" s="3" t="s">
        <v>409</v>
      </c>
      <c r="G3427" s="3" t="s">
        <v>38</v>
      </c>
      <c r="H3427" s="2" t="s">
        <v>72</v>
      </c>
      <c r="I3427" s="2" t="s">
        <v>8431</v>
      </c>
      <c r="J3427" s="3" t="str">
        <f>HYPERLINK("https://www.boe.es/gazeta/dias/1815/04/01/pdfs/GMD-1815-39.pdf#page=8","Abrir facsímil")</f>
        <v>Abrir facsímil</v>
      </c>
      <c r="K3427" s="3" t="s">
        <v>74</v>
      </c>
    </row>
    <row r="3428" spans="1:11" ht="42" customHeight="1">
      <c r="A3428" s="2" t="s">
        <v>8432</v>
      </c>
      <c r="B3428" s="2" t="s">
        <v>8433</v>
      </c>
      <c r="C3428" s="2" t="s">
        <v>61</v>
      </c>
      <c r="D3428" s="2" t="s">
        <v>50</v>
      </c>
      <c r="E3428" s="5">
        <v>-31031</v>
      </c>
      <c r="F3428" s="3" t="s">
        <v>105</v>
      </c>
      <c r="G3428" s="3" t="s">
        <v>27</v>
      </c>
      <c r="H3428" s="2" t="s">
        <v>72</v>
      </c>
      <c r="I3428" s="2" t="s">
        <v>8434</v>
      </c>
      <c r="J3428" s="3" t="str">
        <f>HYPERLINK("https://www.boe.es/gazeta/dias/1815/01/14/pdfs/GMD-1815-6.pdf#page=6","Abrir facsímil")</f>
        <v>Abrir facsímil</v>
      </c>
      <c r="K3428" s="3" t="s">
        <v>74</v>
      </c>
    </row>
    <row r="3429" spans="1:11" ht="42" customHeight="1">
      <c r="A3429" s="2" t="s">
        <v>8435</v>
      </c>
      <c r="B3429" s="2" t="s">
        <v>8436</v>
      </c>
      <c r="C3429" s="2" t="s">
        <v>49</v>
      </c>
      <c r="D3429" s="2" t="s">
        <v>50</v>
      </c>
      <c r="E3429" s="5">
        <v>-30863</v>
      </c>
      <c r="F3429" s="3" t="s">
        <v>110</v>
      </c>
      <c r="G3429" s="3" t="s">
        <v>224</v>
      </c>
      <c r="H3429" s="2" t="s">
        <v>72</v>
      </c>
      <c r="I3429" s="2" t="s">
        <v>8437</v>
      </c>
      <c r="J3429" s="3" t="str">
        <f>HYPERLINK("https://www.boe.es/gazeta/dias/1815/07/01/pdfs/GMD-1815-79.pdf#page=9","Abrir facsímil")</f>
        <v>Abrir facsímil</v>
      </c>
      <c r="K3429" s="3" t="s">
        <v>74</v>
      </c>
    </row>
    <row r="3430" spans="1:11" ht="42" customHeight="1">
      <c r="A3430" s="2" t="s">
        <v>8438</v>
      </c>
      <c r="B3430" s="2" t="s">
        <v>8439</v>
      </c>
      <c r="C3430" s="2" t="s">
        <v>31</v>
      </c>
      <c r="D3430" s="2" t="s">
        <v>32</v>
      </c>
      <c r="E3430" s="5">
        <v>-30874</v>
      </c>
      <c r="F3430" s="3" t="s">
        <v>208</v>
      </c>
      <c r="G3430" s="3" t="s">
        <v>276</v>
      </c>
      <c r="H3430" s="2" t="s">
        <v>72</v>
      </c>
      <c r="I3430" s="2" t="s">
        <v>8440</v>
      </c>
      <c r="J3430" s="3" t="str">
        <f>HYPERLINK("https://www.boe.es/gazeta/dias/1815/06/20/pdfs/GMD-1815-74.pdf#page=12","Abrir facsímil")</f>
        <v>Abrir facsímil</v>
      </c>
      <c r="K3430" s="3" t="s">
        <v>74</v>
      </c>
    </row>
    <row r="3431" spans="1:11" ht="42" customHeight="1">
      <c r="A3431" s="2" t="s">
        <v>8441</v>
      </c>
      <c r="B3431" s="2" t="s">
        <v>8442</v>
      </c>
      <c r="C3431" s="2" t="s">
        <v>31</v>
      </c>
      <c r="D3431" s="2" t="s">
        <v>32</v>
      </c>
      <c r="E3431" s="5">
        <v>-30830</v>
      </c>
      <c r="F3431" s="3" t="s">
        <v>33</v>
      </c>
      <c r="G3431" s="3" t="s">
        <v>71</v>
      </c>
      <c r="H3431" s="2" t="s">
        <v>72</v>
      </c>
      <c r="I3431" s="2" t="s">
        <v>8443</v>
      </c>
      <c r="J3431" s="3" t="str">
        <f>HYPERLINK("https://www.boe.es/gazeta/dias/1815/08/03/pdfs/GMD-1815-95.pdf#page=7","Abrir facsímil")</f>
        <v>Abrir facsímil</v>
      </c>
      <c r="K3431" s="3" t="s">
        <v>74</v>
      </c>
    </row>
    <row r="3432" spans="1:11" ht="42" customHeight="1">
      <c r="A3432" s="2" t="s">
        <v>8441</v>
      </c>
      <c r="B3432" s="2" t="s">
        <v>8442</v>
      </c>
      <c r="C3432" s="2" t="s">
        <v>17</v>
      </c>
      <c r="D3432" s="2" t="s">
        <v>18</v>
      </c>
      <c r="E3432" s="5">
        <v>-30730</v>
      </c>
      <c r="F3432" s="3" t="s">
        <v>953</v>
      </c>
      <c r="G3432" s="3" t="s">
        <v>38</v>
      </c>
      <c r="H3432" s="2" t="s">
        <v>72</v>
      </c>
      <c r="I3432" s="2" t="s">
        <v>8444</v>
      </c>
      <c r="J3432" s="3" t="str">
        <f>HYPERLINK("https://www.boe.es/gazeta/dias/1815/11/11/pdfs/GMD-1815-141.pdf#page=8","Abrir facsímil")</f>
        <v>Abrir facsímil</v>
      </c>
      <c r="K3432" s="3" t="s">
        <v>74</v>
      </c>
    </row>
    <row r="3433" spans="1:11" ht="42" customHeight="1">
      <c r="A3433" s="2" t="s">
        <v>8441</v>
      </c>
      <c r="B3433" s="2" t="s">
        <v>8442</v>
      </c>
      <c r="C3433" s="2" t="s">
        <v>81</v>
      </c>
      <c r="D3433" s="2" t="s">
        <v>50</v>
      </c>
      <c r="E3433" s="5">
        <v>-30720</v>
      </c>
      <c r="F3433" s="3" t="s">
        <v>373</v>
      </c>
      <c r="G3433" s="3" t="s">
        <v>20</v>
      </c>
      <c r="H3433" s="2" t="s">
        <v>72</v>
      </c>
      <c r="I3433" s="2" t="s">
        <v>8445</v>
      </c>
      <c r="J3433" s="3" t="str">
        <f>HYPERLINK("https://www.boe.es/gazeta/dias/1815/11/21/pdfs/GMD-1815-145.pdf#page=4","Abrir facsímil")</f>
        <v>Abrir facsímil</v>
      </c>
      <c r="K3433" s="3" t="s">
        <v>74</v>
      </c>
    </row>
    <row r="3434" spans="1:11" ht="42" customHeight="1">
      <c r="A3434" s="2" t="s">
        <v>8446</v>
      </c>
      <c r="B3434" s="2" t="s">
        <v>8446</v>
      </c>
      <c r="C3434" s="2" t="s">
        <v>195</v>
      </c>
      <c r="D3434" s="2" t="s">
        <v>50</v>
      </c>
      <c r="E3434" s="5">
        <v>-30874</v>
      </c>
      <c r="F3434" s="3" t="s">
        <v>208</v>
      </c>
      <c r="G3434" s="3" t="s">
        <v>38</v>
      </c>
      <c r="H3434" s="2" t="s">
        <v>72</v>
      </c>
      <c r="I3434" s="2" t="s">
        <v>8447</v>
      </c>
      <c r="J3434" s="3" t="str">
        <f>HYPERLINK("https://www.boe.es/gazeta/dias/1815/06/20/pdfs/GMD-1815-74.pdf#page=8","Abrir facsímil")</f>
        <v>Abrir facsímil</v>
      </c>
      <c r="K3434" s="3" t="s">
        <v>74</v>
      </c>
    </row>
    <row r="3435" spans="1:11" ht="42" customHeight="1">
      <c r="A3435" s="2" t="s">
        <v>8448</v>
      </c>
      <c r="B3435" s="2" t="s">
        <v>8449</v>
      </c>
      <c r="C3435" s="2" t="s">
        <v>49</v>
      </c>
      <c r="D3435" s="2" t="s">
        <v>50</v>
      </c>
      <c r="E3435" s="5">
        <v>-30977</v>
      </c>
      <c r="F3435" s="3" t="s">
        <v>37</v>
      </c>
      <c r="G3435" s="3" t="s">
        <v>71</v>
      </c>
      <c r="H3435" s="2" t="s">
        <v>72</v>
      </c>
      <c r="I3435" s="2" t="s">
        <v>8450</v>
      </c>
      <c r="J3435" s="3" t="str">
        <f>HYPERLINK("https://www.boe.es/gazeta/dias/1815/03/09/pdfs/GMD-1815-29.pdf#page=7","Abrir facsímil")</f>
        <v>Abrir facsímil</v>
      </c>
      <c r="K3435" s="3" t="s">
        <v>74</v>
      </c>
    </row>
    <row r="3436" spans="1:11" ht="42" customHeight="1">
      <c r="A3436" s="2" t="s">
        <v>8451</v>
      </c>
      <c r="B3436" s="2" t="s">
        <v>8451</v>
      </c>
      <c r="C3436" s="2" t="s">
        <v>31</v>
      </c>
      <c r="D3436" s="2" t="s">
        <v>32</v>
      </c>
      <c r="E3436" s="5">
        <v>-30797</v>
      </c>
      <c r="F3436" s="3" t="s">
        <v>248</v>
      </c>
      <c r="G3436" s="3" t="s">
        <v>377</v>
      </c>
      <c r="H3436" s="2" t="s">
        <v>72</v>
      </c>
      <c r="I3436" s="2" t="s">
        <v>8452</v>
      </c>
      <c r="J3436" s="3" t="str">
        <f>HYPERLINK("https://www.boe.es/gazeta/dias/1815/09/05/pdfs/GMD-1815-110.pdf#page=2","Abrir facsímil")</f>
        <v>Abrir facsímil</v>
      </c>
      <c r="K3436" s="3" t="s">
        <v>74</v>
      </c>
    </row>
    <row r="3437" spans="1:11" ht="42" customHeight="1">
      <c r="A3437" s="2" t="s">
        <v>8453</v>
      </c>
      <c r="B3437" s="2" t="s">
        <v>8453</v>
      </c>
      <c r="C3437" s="2" t="s">
        <v>31</v>
      </c>
      <c r="D3437" s="2" t="s">
        <v>32</v>
      </c>
      <c r="E3437" s="5">
        <v>-30695</v>
      </c>
      <c r="F3437" s="3" t="s">
        <v>824</v>
      </c>
      <c r="G3437" s="3" t="s">
        <v>377</v>
      </c>
      <c r="H3437" s="2" t="s">
        <v>72</v>
      </c>
      <c r="I3437" s="2" t="s">
        <v>8454</v>
      </c>
      <c r="J3437" s="3" t="str">
        <f>HYPERLINK("https://www.boe.es/gazeta/dias/1815/12/16/pdfs/GMD-1815-156.pdf#page=2","Abrir facsímil")</f>
        <v>Abrir facsímil</v>
      </c>
      <c r="K3437" s="3" t="s">
        <v>74</v>
      </c>
    </row>
    <row r="3438" spans="1:11" ht="42" customHeight="1">
      <c r="A3438" s="2" t="s">
        <v>8455</v>
      </c>
      <c r="B3438" s="2" t="s">
        <v>8456</v>
      </c>
      <c r="C3438" s="2" t="s">
        <v>49</v>
      </c>
      <c r="D3438" s="2" t="s">
        <v>50</v>
      </c>
      <c r="E3438" s="5">
        <v>-30741</v>
      </c>
      <c r="F3438" s="3" t="s">
        <v>1000</v>
      </c>
      <c r="G3438" s="3" t="s">
        <v>38</v>
      </c>
      <c r="H3438" s="2" t="s">
        <v>72</v>
      </c>
      <c r="I3438" s="2" t="s">
        <v>8457</v>
      </c>
      <c r="J3438" s="3" t="str">
        <f>HYPERLINK("https://www.boe.es/gazeta/dias/1815/10/31/pdfs/GMD-1815-136.pdf#page=8","Abrir facsímil")</f>
        <v>Abrir facsímil</v>
      </c>
      <c r="K3438" s="3" t="s">
        <v>74</v>
      </c>
    </row>
    <row r="3439" spans="1:11" ht="42" customHeight="1">
      <c r="A3439" s="2" t="s">
        <v>8458</v>
      </c>
      <c r="B3439" s="2" t="s">
        <v>8459</v>
      </c>
      <c r="C3439" s="2" t="s">
        <v>31</v>
      </c>
      <c r="D3439" s="2" t="s">
        <v>32</v>
      </c>
      <c r="E3439" s="5">
        <v>-30716</v>
      </c>
      <c r="F3439" s="3" t="s">
        <v>589</v>
      </c>
      <c r="G3439" s="3" t="s">
        <v>20</v>
      </c>
      <c r="H3439" s="2" t="s">
        <v>72</v>
      </c>
      <c r="I3439" s="2" t="s">
        <v>8460</v>
      </c>
      <c r="J3439" s="3" t="str">
        <f>HYPERLINK("https://www.boe.es/gazeta/dias/1815/11/25/pdfs/GMD-1815-147.pdf#page=4","Abrir facsímil")</f>
        <v>Abrir facsímil</v>
      </c>
      <c r="K3439" s="3" t="s">
        <v>74</v>
      </c>
    </row>
    <row r="3440" spans="1:11" ht="42" customHeight="1">
      <c r="A3440" s="2" t="s">
        <v>8461</v>
      </c>
      <c r="B3440" s="2" t="s">
        <v>8462</v>
      </c>
      <c r="C3440" s="2" t="s">
        <v>49</v>
      </c>
      <c r="D3440" s="2" t="s">
        <v>50</v>
      </c>
      <c r="E3440" s="5">
        <v>-30916</v>
      </c>
      <c r="F3440" s="3" t="s">
        <v>147</v>
      </c>
      <c r="G3440" s="3" t="s">
        <v>38</v>
      </c>
      <c r="H3440" s="2" t="s">
        <v>72</v>
      </c>
      <c r="I3440" s="2" t="s">
        <v>8463</v>
      </c>
      <c r="J3440" s="3" t="str">
        <f>HYPERLINK("https://www.boe.es/gazeta/dias/1815/05/09/pdfs/GMD-1815-56.pdf#page=8","Abrir facsímil")</f>
        <v>Abrir facsímil</v>
      </c>
      <c r="K3440" s="3" t="s">
        <v>74</v>
      </c>
    </row>
    <row r="3441" spans="1:11" ht="42" customHeight="1">
      <c r="A3441" s="2" t="s">
        <v>8464</v>
      </c>
      <c r="B3441" s="2" t="s">
        <v>8465</v>
      </c>
      <c r="C3441" s="2" t="s">
        <v>61</v>
      </c>
      <c r="D3441" s="2" t="s">
        <v>50</v>
      </c>
      <c r="E3441" s="5">
        <v>-30891</v>
      </c>
      <c r="F3441" s="3" t="s">
        <v>498</v>
      </c>
      <c r="G3441" s="3" t="s">
        <v>38</v>
      </c>
      <c r="H3441" s="2" t="s">
        <v>72</v>
      </c>
      <c r="I3441" s="2" t="s">
        <v>8466</v>
      </c>
      <c r="J3441" s="3" t="str">
        <f>HYPERLINK("https://www.boe.es/gazeta/dias/1815/06/03/pdfs/GMD-1815-67.pdf#page=8","Abrir facsímil")</f>
        <v>Abrir facsímil</v>
      </c>
      <c r="K3441" s="3" t="s">
        <v>74</v>
      </c>
    </row>
    <row r="3442" spans="1:11" ht="42" customHeight="1">
      <c r="A3442" s="2" t="s">
        <v>8464</v>
      </c>
      <c r="B3442" s="2" t="s">
        <v>8465</v>
      </c>
      <c r="C3442" s="2" t="s">
        <v>31</v>
      </c>
      <c r="D3442" s="2" t="s">
        <v>32</v>
      </c>
      <c r="E3442" s="5">
        <v>-30716</v>
      </c>
      <c r="F3442" s="3" t="s">
        <v>589</v>
      </c>
      <c r="G3442" s="3" t="s">
        <v>20</v>
      </c>
      <c r="H3442" s="2" t="s">
        <v>72</v>
      </c>
      <c r="I3442" s="2" t="s">
        <v>8467</v>
      </c>
      <c r="J3442" s="3" t="str">
        <f>HYPERLINK("https://www.boe.es/gazeta/dias/1815/11/25/pdfs/GMD-1815-147.pdf#page=4","Abrir facsímil")</f>
        <v>Abrir facsímil</v>
      </c>
      <c r="K3442" s="3" t="s">
        <v>74</v>
      </c>
    </row>
    <row r="3443" spans="1:11" ht="42" customHeight="1">
      <c r="A3443" s="2" t="s">
        <v>8468</v>
      </c>
      <c r="B3443" s="2" t="s">
        <v>8469</v>
      </c>
      <c r="C3443" s="2" t="s">
        <v>49</v>
      </c>
      <c r="D3443" s="2" t="s">
        <v>50</v>
      </c>
      <c r="E3443" s="5">
        <v>-31003</v>
      </c>
      <c r="F3443" s="3" t="s">
        <v>405</v>
      </c>
      <c r="G3443" s="3" t="s">
        <v>20</v>
      </c>
      <c r="H3443" s="2" t="s">
        <v>72</v>
      </c>
      <c r="I3443" s="2" t="s">
        <v>8470</v>
      </c>
      <c r="J3443" s="3" t="str">
        <f>HYPERLINK("https://www.boe.es/gazeta/dias/1815/02/11/pdfs/GMD-1815-18.pdf#page=4","Abrir facsímil")</f>
        <v>Abrir facsímil</v>
      </c>
      <c r="K3443" s="3" t="s">
        <v>74</v>
      </c>
    </row>
    <row r="3444" spans="1:11" ht="42" customHeight="1">
      <c r="A3444" s="2" t="s">
        <v>8471</v>
      </c>
      <c r="B3444" s="2" t="s">
        <v>8472</v>
      </c>
      <c r="C3444" s="2" t="s">
        <v>195</v>
      </c>
      <c r="D3444" s="2" t="s">
        <v>50</v>
      </c>
      <c r="E3444" s="5">
        <v>-30888</v>
      </c>
      <c r="F3444" s="3" t="s">
        <v>368</v>
      </c>
      <c r="G3444" s="3" t="s">
        <v>38</v>
      </c>
      <c r="H3444" s="2" t="s">
        <v>72</v>
      </c>
      <c r="I3444" s="2" t="s">
        <v>8473</v>
      </c>
      <c r="J3444" s="3" t="str">
        <f>HYPERLINK("https://www.boe.es/gazeta/dias/1815/06/06/pdfs/GMD-1815-68.pdf#page=8","Abrir facsímil")</f>
        <v>Abrir facsímil</v>
      </c>
      <c r="K3444" s="3" t="s">
        <v>74</v>
      </c>
    </row>
    <row r="3445" spans="1:11" ht="42" customHeight="1">
      <c r="A3445" s="2" t="s">
        <v>8474</v>
      </c>
      <c r="B3445" s="2" t="s">
        <v>8475</v>
      </c>
      <c r="C3445" s="2" t="s">
        <v>49</v>
      </c>
      <c r="D3445" s="2" t="s">
        <v>50</v>
      </c>
      <c r="E3445" s="5">
        <v>-30863</v>
      </c>
      <c r="F3445" s="3" t="s">
        <v>110</v>
      </c>
      <c r="G3445" s="3" t="s">
        <v>224</v>
      </c>
      <c r="H3445" s="2" t="s">
        <v>72</v>
      </c>
      <c r="I3445" s="2" t="s">
        <v>8476</v>
      </c>
      <c r="J3445" s="3" t="str">
        <f>HYPERLINK("https://www.boe.es/gazeta/dias/1815/07/01/pdfs/GMD-1815-79.pdf#page=9","Abrir facsímil")</f>
        <v>Abrir facsímil</v>
      </c>
      <c r="K3445" s="3" t="s">
        <v>74</v>
      </c>
    </row>
    <row r="3446" spans="1:11" ht="42" customHeight="1">
      <c r="A3446" s="2" t="s">
        <v>8477</v>
      </c>
      <c r="B3446" s="2" t="s">
        <v>8477</v>
      </c>
      <c r="C3446" s="2" t="s">
        <v>17</v>
      </c>
      <c r="D3446" s="2" t="s">
        <v>18</v>
      </c>
      <c r="E3446" s="5">
        <v>-30804</v>
      </c>
      <c r="F3446" s="3" t="s">
        <v>891</v>
      </c>
      <c r="G3446" s="3" t="s">
        <v>38</v>
      </c>
      <c r="H3446" s="2" t="s">
        <v>72</v>
      </c>
      <c r="I3446" s="2" t="s">
        <v>8478</v>
      </c>
      <c r="J3446" s="3" t="str">
        <f>HYPERLINK("https://www.boe.es/gazeta/dias/1815/08/29/pdfs/GMD-1815-106.pdf#page=8","Abrir facsímil")</f>
        <v>Abrir facsímil</v>
      </c>
      <c r="K3446" s="3" t="s">
        <v>74</v>
      </c>
    </row>
    <row r="3447" spans="1:11" ht="42" customHeight="1">
      <c r="A3447" s="2" t="s">
        <v>8479</v>
      </c>
      <c r="B3447" s="2" t="s">
        <v>8480</v>
      </c>
      <c r="C3447" s="2" t="s">
        <v>31</v>
      </c>
      <c r="D3447" s="2" t="s">
        <v>32</v>
      </c>
      <c r="E3447" s="5">
        <v>-31038</v>
      </c>
      <c r="F3447" s="3" t="s">
        <v>395</v>
      </c>
      <c r="G3447" s="3" t="s">
        <v>396</v>
      </c>
      <c r="H3447" s="2" t="s">
        <v>72</v>
      </c>
      <c r="I3447" s="2" t="s">
        <v>8481</v>
      </c>
      <c r="J3447" s="3" t="str">
        <f>HYPERLINK("https://www.boe.es/gazeta/dias/1815/01/07/pdfs/GMD-1815-3.pdf#page=5","Abrir facsímil")</f>
        <v>Abrir facsímil</v>
      </c>
      <c r="K3447" s="3" t="s">
        <v>74</v>
      </c>
    </row>
    <row r="3448" spans="1:11" ht="42" customHeight="1">
      <c r="A3448" s="2" t="s">
        <v>8482</v>
      </c>
      <c r="B3448" s="2" t="s">
        <v>8483</v>
      </c>
      <c r="C3448" s="2" t="s">
        <v>49</v>
      </c>
      <c r="D3448" s="2" t="s">
        <v>50</v>
      </c>
      <c r="E3448" s="5">
        <v>-30886</v>
      </c>
      <c r="F3448" s="3" t="s">
        <v>140</v>
      </c>
      <c r="G3448" s="3" t="s">
        <v>38</v>
      </c>
      <c r="H3448" s="2" t="s">
        <v>72</v>
      </c>
      <c r="I3448" s="2" t="s">
        <v>8484</v>
      </c>
      <c r="J3448" s="3" t="str">
        <f>HYPERLINK("https://www.boe.es/gazeta/dias/1815/06/08/pdfs/GMD-1815-69.pdf#page=8","Abrir facsímil")</f>
        <v>Abrir facsímil</v>
      </c>
      <c r="K3448" s="3" t="s">
        <v>74</v>
      </c>
    </row>
    <row r="3449" spans="1:11" ht="42" customHeight="1">
      <c r="A3449" s="2" t="s">
        <v>8485</v>
      </c>
      <c r="B3449" s="2" t="s">
        <v>8486</v>
      </c>
      <c r="C3449" s="2" t="s">
        <v>49</v>
      </c>
      <c r="D3449" s="2" t="s">
        <v>50</v>
      </c>
      <c r="E3449" s="5">
        <v>-30863</v>
      </c>
      <c r="F3449" s="3" t="s">
        <v>110</v>
      </c>
      <c r="G3449" s="3" t="s">
        <v>224</v>
      </c>
      <c r="H3449" s="2" t="s">
        <v>72</v>
      </c>
      <c r="I3449" s="2" t="s">
        <v>8487</v>
      </c>
      <c r="J3449" s="3" t="str">
        <f>HYPERLINK("https://www.boe.es/gazeta/dias/1815/07/01/pdfs/GMD-1815-79.pdf#page=9","Abrir facsímil")</f>
        <v>Abrir facsímil</v>
      </c>
      <c r="K3449" s="3" t="s">
        <v>74</v>
      </c>
    </row>
    <row r="3450" spans="1:11" ht="42" customHeight="1">
      <c r="A3450" s="2" t="s">
        <v>8488</v>
      </c>
      <c r="B3450" s="2" t="s">
        <v>8488</v>
      </c>
      <c r="C3450" s="2" t="s">
        <v>195</v>
      </c>
      <c r="D3450" s="2" t="s">
        <v>50</v>
      </c>
      <c r="E3450" s="5">
        <v>-30879</v>
      </c>
      <c r="F3450" s="3" t="s">
        <v>754</v>
      </c>
      <c r="G3450" s="3" t="s">
        <v>88</v>
      </c>
      <c r="H3450" s="2" t="s">
        <v>72</v>
      </c>
      <c r="I3450" s="2" t="s">
        <v>8489</v>
      </c>
      <c r="J3450" s="3" t="str">
        <f>HYPERLINK("https://www.boe.es/gazeta/dias/1815/06/15/pdfs/GMD-1815-72.pdf#page=10","Abrir facsímil")</f>
        <v>Abrir facsímil</v>
      </c>
      <c r="K3450" s="3" t="s">
        <v>74</v>
      </c>
    </row>
    <row r="3451" spans="1:11" ht="42" customHeight="1">
      <c r="A3451" s="2" t="s">
        <v>8490</v>
      </c>
      <c r="B3451" s="2" t="s">
        <v>8491</v>
      </c>
      <c r="C3451" s="2" t="s">
        <v>31</v>
      </c>
      <c r="D3451" s="2" t="s">
        <v>32</v>
      </c>
      <c r="E3451" s="5">
        <v>-30870</v>
      </c>
      <c r="F3451" s="3" t="s">
        <v>122</v>
      </c>
      <c r="G3451" s="3" t="s">
        <v>88</v>
      </c>
      <c r="H3451" s="2" t="s">
        <v>72</v>
      </c>
      <c r="I3451" s="2" t="s">
        <v>8492</v>
      </c>
      <c r="J3451" s="3" t="str">
        <f>HYPERLINK("https://www.boe.es/gazeta/dias/1815/06/24/pdfs/GMD-1815-76.pdf#page=10","Abrir facsímil")</f>
        <v>Abrir facsímil</v>
      </c>
      <c r="K3451" s="3" t="s">
        <v>74</v>
      </c>
    </row>
    <row r="3452" spans="1:11" ht="42" customHeight="1">
      <c r="A3452" s="2" t="s">
        <v>8493</v>
      </c>
      <c r="B3452" s="2" t="s">
        <v>8494</v>
      </c>
      <c r="C3452" s="2" t="s">
        <v>49</v>
      </c>
      <c r="D3452" s="2" t="s">
        <v>50</v>
      </c>
      <c r="E3452" s="5">
        <v>-30893</v>
      </c>
      <c r="F3452" s="3" t="s">
        <v>132</v>
      </c>
      <c r="G3452" s="3" t="s">
        <v>71</v>
      </c>
      <c r="H3452" s="2" t="s">
        <v>21</v>
      </c>
      <c r="I3452" s="2" t="s">
        <v>8495</v>
      </c>
      <c r="J3452" s="3" t="str">
        <f>HYPERLINK("https://www.boe.es/gazeta/dias/1815/06/01/pdfs/GMD-1815-66.pdf#page=7","Abrir facsímil")</f>
        <v>Abrir facsímil</v>
      </c>
      <c r="K3452" s="3" t="s">
        <v>23</v>
      </c>
    </row>
    <row r="3453" spans="1:11" ht="42" customHeight="1">
      <c r="A3453" s="2" t="s">
        <v>8496</v>
      </c>
      <c r="B3453" s="2" t="s">
        <v>8497</v>
      </c>
      <c r="C3453" s="2" t="s">
        <v>49</v>
      </c>
      <c r="D3453" s="2" t="s">
        <v>50</v>
      </c>
      <c r="E3453" s="5">
        <v>-30720</v>
      </c>
      <c r="F3453" s="3" t="s">
        <v>373</v>
      </c>
      <c r="G3453" s="3" t="s">
        <v>224</v>
      </c>
      <c r="H3453" s="2" t="s">
        <v>72</v>
      </c>
      <c r="I3453" s="2" t="s">
        <v>8498</v>
      </c>
      <c r="J3453" s="3" t="str">
        <f>HYPERLINK("https://www.boe.es/gazeta/dias/1815/11/21/pdfs/GMD-1815-145.pdf#page=9","Abrir facsímil")</f>
        <v>Abrir facsímil</v>
      </c>
      <c r="K3453" s="3" t="s">
        <v>74</v>
      </c>
    </row>
    <row r="3454" spans="1:11" ht="42" customHeight="1">
      <c r="A3454" s="2" t="s">
        <v>8499</v>
      </c>
      <c r="B3454" s="2" t="s">
        <v>8500</v>
      </c>
      <c r="C3454" s="2" t="s">
        <v>49</v>
      </c>
      <c r="D3454" s="2" t="s">
        <v>50</v>
      </c>
      <c r="E3454" s="5">
        <v>-30865</v>
      </c>
      <c r="F3454" s="3" t="s">
        <v>163</v>
      </c>
      <c r="G3454" s="3" t="s">
        <v>27</v>
      </c>
      <c r="H3454" s="2" t="s">
        <v>72</v>
      </c>
      <c r="I3454" s="2" t="s">
        <v>8501</v>
      </c>
      <c r="J3454" s="3" t="str">
        <f>HYPERLINK("https://www.boe.es/gazeta/dias/1815/06/29/pdfs/GMD-1815-78.pdf#page=6","Abrir facsímil")</f>
        <v>Abrir facsímil</v>
      </c>
      <c r="K3454" s="3" t="s">
        <v>74</v>
      </c>
    </row>
    <row r="3455" spans="1:11" ht="42" customHeight="1">
      <c r="A3455" s="2" t="s">
        <v>8502</v>
      </c>
      <c r="B3455" s="2" t="s">
        <v>8503</v>
      </c>
      <c r="C3455" s="2" t="s">
        <v>49</v>
      </c>
      <c r="D3455" s="2" t="s">
        <v>50</v>
      </c>
      <c r="E3455" s="5">
        <v>-30888</v>
      </c>
      <c r="F3455" s="3" t="s">
        <v>368</v>
      </c>
      <c r="G3455" s="3" t="s">
        <v>224</v>
      </c>
      <c r="H3455" s="2" t="s">
        <v>72</v>
      </c>
      <c r="I3455" s="2" t="s">
        <v>8504</v>
      </c>
      <c r="J3455" s="3" t="str">
        <f>HYPERLINK("https://www.boe.es/gazeta/dias/1815/06/06/pdfs/GMD-1815-68.pdf#page=9","Abrir facsímil")</f>
        <v>Abrir facsímil</v>
      </c>
      <c r="K3455" s="3" t="s">
        <v>74</v>
      </c>
    </row>
    <row r="3456" spans="1:11" ht="42" customHeight="1">
      <c r="A3456" s="2" t="s">
        <v>8505</v>
      </c>
      <c r="B3456" s="2" t="s">
        <v>8505</v>
      </c>
      <c r="C3456" s="2" t="s">
        <v>31</v>
      </c>
      <c r="D3456" s="2" t="s">
        <v>32</v>
      </c>
      <c r="E3456" s="5">
        <v>-30998</v>
      </c>
      <c r="F3456" s="3" t="s">
        <v>539</v>
      </c>
      <c r="G3456" s="3" t="s">
        <v>410</v>
      </c>
      <c r="H3456" s="2" t="s">
        <v>72</v>
      </c>
      <c r="I3456" s="2" t="s">
        <v>8506</v>
      </c>
      <c r="J3456" s="3" t="str">
        <f>HYPERLINK("https://www.boe.es/gazeta/dias/1815/02/16/pdfs/GMD-1815-20.pdf#page=1","Abrir facsímil")</f>
        <v>Abrir facsímil</v>
      </c>
      <c r="K3456" s="3" t="s">
        <v>74</v>
      </c>
    </row>
    <row r="3457" spans="1:11" ht="42" customHeight="1">
      <c r="A3457" s="2" t="s">
        <v>8507</v>
      </c>
      <c r="B3457" s="2" t="s">
        <v>8507</v>
      </c>
      <c r="C3457" s="2" t="s">
        <v>31</v>
      </c>
      <c r="D3457" s="2" t="s">
        <v>32</v>
      </c>
      <c r="E3457" s="5">
        <v>-30816</v>
      </c>
      <c r="F3457" s="3" t="s">
        <v>1253</v>
      </c>
      <c r="G3457" s="3" t="s">
        <v>8508</v>
      </c>
      <c r="H3457" s="2" t="s">
        <v>72</v>
      </c>
      <c r="I3457" s="2" t="s">
        <v>8509</v>
      </c>
      <c r="J3457" s="3" t="str">
        <f>HYPERLINK("https://www.boe.es/gazeta/dias/1815/08/17/pdfs/GMD-1815-101.pdf#page=1","Abrir facsímil")</f>
        <v>Abrir facsímil</v>
      </c>
      <c r="K3457" s="3" t="s">
        <v>74</v>
      </c>
    </row>
    <row r="3458" spans="1:11" ht="42" customHeight="1">
      <c r="A3458" s="2" t="s">
        <v>8510</v>
      </c>
      <c r="B3458" s="2" t="s">
        <v>8511</v>
      </c>
      <c r="C3458" s="2" t="s">
        <v>49</v>
      </c>
      <c r="D3458" s="2" t="s">
        <v>50</v>
      </c>
      <c r="E3458" s="5">
        <v>-30916</v>
      </c>
      <c r="F3458" s="3" t="s">
        <v>147</v>
      </c>
      <c r="G3458" s="3" t="s">
        <v>38</v>
      </c>
      <c r="H3458" s="2" t="s">
        <v>72</v>
      </c>
      <c r="I3458" s="2" t="s">
        <v>8512</v>
      </c>
      <c r="J3458" s="3" t="str">
        <f>HYPERLINK("https://www.boe.es/gazeta/dias/1815/05/09/pdfs/GMD-1815-56.pdf#page=8","Abrir facsímil")</f>
        <v>Abrir facsímil</v>
      </c>
      <c r="K3458" s="3" t="s">
        <v>74</v>
      </c>
    </row>
    <row r="3459" spans="1:11" ht="42" customHeight="1">
      <c r="A3459" s="2" t="s">
        <v>8513</v>
      </c>
      <c r="B3459" s="2" t="s">
        <v>8514</v>
      </c>
      <c r="C3459" s="2" t="s">
        <v>195</v>
      </c>
      <c r="D3459" s="2" t="s">
        <v>50</v>
      </c>
      <c r="E3459" s="5">
        <v>-30923</v>
      </c>
      <c r="F3459" s="3" t="s">
        <v>524</v>
      </c>
      <c r="G3459" s="3" t="s">
        <v>88</v>
      </c>
      <c r="H3459" s="2" t="s">
        <v>72</v>
      </c>
      <c r="I3459" s="2" t="s">
        <v>8515</v>
      </c>
      <c r="J3459" s="3" t="str">
        <f>HYPERLINK("https://www.boe.es/gazeta/dias/1815/05/02/pdfs/GMD-1815-53.pdf#page=10","Abrir facsímil")</f>
        <v>Abrir facsímil</v>
      </c>
      <c r="K3459" s="3" t="s">
        <v>74</v>
      </c>
    </row>
    <row r="3460" spans="1:11" ht="42" customHeight="1">
      <c r="A3460" s="2" t="s">
        <v>8516</v>
      </c>
      <c r="B3460" s="2" t="s">
        <v>8516</v>
      </c>
      <c r="C3460" s="2" t="s">
        <v>195</v>
      </c>
      <c r="D3460" s="2" t="s">
        <v>50</v>
      </c>
      <c r="E3460" s="5">
        <v>-30874</v>
      </c>
      <c r="F3460" s="3" t="s">
        <v>208</v>
      </c>
      <c r="G3460" s="3" t="s">
        <v>276</v>
      </c>
      <c r="H3460" s="2" t="s">
        <v>72</v>
      </c>
      <c r="I3460" s="2" t="s">
        <v>8517</v>
      </c>
      <c r="J3460" s="3" t="str">
        <f>HYPERLINK("https://www.boe.es/gazeta/dias/1815/06/20/pdfs/GMD-1815-74.pdf#page=12","Abrir facsímil")</f>
        <v>Abrir facsímil</v>
      </c>
      <c r="K3460" s="3" t="s">
        <v>74</v>
      </c>
    </row>
    <row r="3461" spans="1:11" ht="42" customHeight="1">
      <c r="A3461" s="2" t="s">
        <v>8518</v>
      </c>
      <c r="B3461" s="2" t="s">
        <v>8518</v>
      </c>
      <c r="C3461" s="2" t="s">
        <v>31</v>
      </c>
      <c r="D3461" s="2" t="s">
        <v>32</v>
      </c>
      <c r="E3461" s="5">
        <v>-30972</v>
      </c>
      <c r="F3461" s="3" t="s">
        <v>1382</v>
      </c>
      <c r="G3461" s="3" t="s">
        <v>410</v>
      </c>
      <c r="H3461" s="2" t="s">
        <v>72</v>
      </c>
      <c r="I3461" s="2" t="s">
        <v>8519</v>
      </c>
      <c r="J3461" s="3" t="str">
        <f>HYPERLINK("https://www.boe.es/gazeta/dias/1815/03/14/pdfs/GMD-1815-31.pdf#page=1","Abrir facsímil")</f>
        <v>Abrir facsímil</v>
      </c>
      <c r="K3461" s="3" t="s">
        <v>74</v>
      </c>
    </row>
    <row r="3462" spans="1:11" ht="42" customHeight="1">
      <c r="A3462" s="2" t="s">
        <v>8520</v>
      </c>
      <c r="B3462" s="2" t="s">
        <v>8521</v>
      </c>
      <c r="C3462" s="2" t="s">
        <v>894</v>
      </c>
      <c r="D3462" s="2" t="s">
        <v>18</v>
      </c>
      <c r="E3462" s="5">
        <v>-30788</v>
      </c>
      <c r="F3462" s="3" t="s">
        <v>96</v>
      </c>
      <c r="G3462" s="3" t="s">
        <v>97</v>
      </c>
      <c r="H3462" s="2" t="s">
        <v>72</v>
      </c>
      <c r="I3462" s="2" t="s">
        <v>8522</v>
      </c>
      <c r="J3462" s="3" t="str">
        <f>HYPERLINK("https://www.boe.es/gazeta/dias/1815/09/14/pdfs/GMD-1815-114.pdf#page=3","Abrir facsímil")</f>
        <v>Abrir facsímil</v>
      </c>
      <c r="K3462" s="3" t="s">
        <v>74</v>
      </c>
    </row>
    <row r="3463" spans="1:11" ht="42" customHeight="1">
      <c r="A3463" s="2" t="s">
        <v>8523</v>
      </c>
      <c r="B3463" s="2" t="s">
        <v>8524</v>
      </c>
      <c r="C3463" s="2" t="s">
        <v>31</v>
      </c>
      <c r="D3463" s="2" t="s">
        <v>32</v>
      </c>
      <c r="E3463" s="5">
        <v>-30891</v>
      </c>
      <c r="F3463" s="3" t="s">
        <v>498</v>
      </c>
      <c r="G3463" s="3" t="s">
        <v>27</v>
      </c>
      <c r="H3463" s="2" t="s">
        <v>72</v>
      </c>
      <c r="I3463" s="2" t="s">
        <v>8525</v>
      </c>
      <c r="J3463" s="3" t="str">
        <f>HYPERLINK("https://www.boe.es/gazeta/dias/1815/06/03/pdfs/GMD-1815-67.pdf#page=6","Abrir facsímil")</f>
        <v>Abrir facsímil</v>
      </c>
      <c r="K3463" s="3" t="s">
        <v>74</v>
      </c>
    </row>
    <row r="3464" spans="1:11" ht="42" customHeight="1">
      <c r="A3464" s="2" t="s">
        <v>8526</v>
      </c>
      <c r="B3464" s="2" t="s">
        <v>8527</v>
      </c>
      <c r="C3464" s="2" t="s">
        <v>17</v>
      </c>
      <c r="D3464" s="2" t="s">
        <v>18</v>
      </c>
      <c r="E3464" s="5">
        <v>-30767</v>
      </c>
      <c r="F3464" s="3" t="s">
        <v>228</v>
      </c>
      <c r="G3464" s="3" t="s">
        <v>52</v>
      </c>
      <c r="H3464" s="2" t="s">
        <v>21</v>
      </c>
      <c r="I3464" s="2" t="s">
        <v>8528</v>
      </c>
      <c r="J3464" s="3" t="str">
        <f>HYPERLINK("https://www.boe.es/gazeta/dias/1815/10/05/pdfs/GMD-1815-125.pdf#page=11","Abrir facsímil")</f>
        <v>Abrir facsímil</v>
      </c>
      <c r="K3464" s="3" t="s">
        <v>23</v>
      </c>
    </row>
    <row r="3465" spans="1:11" ht="42" customHeight="1">
      <c r="A3465" s="2" t="s">
        <v>8529</v>
      </c>
      <c r="B3465" s="2" t="s">
        <v>8530</v>
      </c>
      <c r="C3465" s="2" t="s">
        <v>49</v>
      </c>
      <c r="D3465" s="2" t="s">
        <v>50</v>
      </c>
      <c r="E3465" s="5">
        <v>-30865</v>
      </c>
      <c r="F3465" s="3" t="s">
        <v>163</v>
      </c>
      <c r="G3465" s="3" t="s">
        <v>71</v>
      </c>
      <c r="H3465" s="2" t="s">
        <v>72</v>
      </c>
      <c r="I3465" s="2" t="s">
        <v>8531</v>
      </c>
      <c r="J3465" s="3" t="str">
        <f>HYPERLINK("https://www.boe.es/gazeta/dias/1815/06/29/pdfs/GMD-1815-78.pdf#page=7","Abrir facsímil")</f>
        <v>Abrir facsímil</v>
      </c>
      <c r="K3465" s="3" t="s">
        <v>74</v>
      </c>
    </row>
    <row r="3466" spans="1:11" ht="42" customHeight="1">
      <c r="A3466" s="2" t="s">
        <v>8532</v>
      </c>
      <c r="B3466" s="2" t="s">
        <v>8533</v>
      </c>
      <c r="C3466" s="2" t="s">
        <v>49</v>
      </c>
      <c r="D3466" s="2" t="s">
        <v>50</v>
      </c>
      <c r="E3466" s="5">
        <v>-30762</v>
      </c>
      <c r="F3466" s="3" t="s">
        <v>19</v>
      </c>
      <c r="G3466" s="3" t="s">
        <v>20</v>
      </c>
      <c r="H3466" s="2" t="s">
        <v>72</v>
      </c>
      <c r="I3466" s="2" t="s">
        <v>8534</v>
      </c>
      <c r="J3466" s="3" t="str">
        <f>HYPERLINK("https://www.boe.es/gazeta/dias/1815/10/10/pdfs/GMD-1815-127.pdf#page=4","Abrir facsímil")</f>
        <v>Abrir facsímil</v>
      </c>
      <c r="K3466" s="3" t="s">
        <v>74</v>
      </c>
    </row>
    <row r="3467" spans="1:11" ht="42" customHeight="1">
      <c r="A3467" s="2" t="s">
        <v>8535</v>
      </c>
      <c r="B3467" s="2" t="s">
        <v>8536</v>
      </c>
      <c r="C3467" s="2" t="s">
        <v>195</v>
      </c>
      <c r="D3467" s="2" t="s">
        <v>50</v>
      </c>
      <c r="E3467" s="5">
        <v>-30888</v>
      </c>
      <c r="F3467" s="3" t="s">
        <v>368</v>
      </c>
      <c r="G3467" s="3" t="s">
        <v>369</v>
      </c>
      <c r="H3467" s="2" t="s">
        <v>21</v>
      </c>
      <c r="I3467" s="2" t="s">
        <v>8537</v>
      </c>
      <c r="J3467" s="3" t="str">
        <f>HYPERLINK("https://www.boe.es/gazeta/dias/1815/06/06/pdfs/GMD-1815-68.pdf#page=7","Abrir facsímil")</f>
        <v>Abrir facsímil</v>
      </c>
      <c r="K3467" s="3" t="s">
        <v>23</v>
      </c>
    </row>
    <row r="3468" spans="1:11" ht="42" customHeight="1">
      <c r="A3468" s="2" t="s">
        <v>8538</v>
      </c>
      <c r="B3468" s="2" t="s">
        <v>8539</v>
      </c>
      <c r="C3468" s="2" t="s">
        <v>49</v>
      </c>
      <c r="D3468" s="2" t="s">
        <v>50</v>
      </c>
      <c r="E3468" s="5">
        <v>-30958</v>
      </c>
      <c r="F3468" s="3" t="s">
        <v>297</v>
      </c>
      <c r="G3468" s="3" t="s">
        <v>38</v>
      </c>
      <c r="H3468" s="2" t="s">
        <v>72</v>
      </c>
      <c r="I3468" s="2" t="s">
        <v>8540</v>
      </c>
      <c r="J3468" s="3" t="str">
        <f>HYPERLINK("https://www.boe.es/gazeta/dias/1815/03/28/pdfs/GMD-1815-37.pdf#page=8","Abrir facsímil")</f>
        <v>Abrir facsímil</v>
      </c>
      <c r="K3468" s="3" t="s">
        <v>74</v>
      </c>
    </row>
    <row r="3469" spans="1:11" ht="42" customHeight="1">
      <c r="A3469" s="2" t="s">
        <v>8541</v>
      </c>
      <c r="B3469" s="2" t="s">
        <v>8542</v>
      </c>
      <c r="C3469" s="2" t="s">
        <v>897</v>
      </c>
      <c r="D3469" s="2" t="s">
        <v>50</v>
      </c>
      <c r="E3469" s="5">
        <v>-30702</v>
      </c>
      <c r="F3469" s="3" t="s">
        <v>196</v>
      </c>
      <c r="G3469" s="3" t="s">
        <v>38</v>
      </c>
      <c r="H3469" s="2" t="s">
        <v>72</v>
      </c>
      <c r="I3469" s="2" t="s">
        <v>8543</v>
      </c>
      <c r="J3469" s="3" t="str">
        <f>HYPERLINK("https://www.boe.es/gazeta/dias/1815/12/09/pdfs/GMD-1815-153.pdf#page=8","Abrir facsímil")</f>
        <v>Abrir facsímil</v>
      </c>
      <c r="K3469" s="3" t="s">
        <v>74</v>
      </c>
    </row>
    <row r="3470" spans="1:11" ht="42" customHeight="1">
      <c r="A3470" s="2" t="s">
        <v>8544</v>
      </c>
      <c r="B3470" s="2" t="s">
        <v>8545</v>
      </c>
      <c r="C3470" s="2" t="s">
        <v>31</v>
      </c>
      <c r="D3470" s="2" t="s">
        <v>32</v>
      </c>
      <c r="E3470" s="5">
        <v>-30975</v>
      </c>
      <c r="F3470" s="3" t="s">
        <v>1194</v>
      </c>
      <c r="G3470" s="3" t="s">
        <v>38</v>
      </c>
      <c r="H3470" s="2" t="s">
        <v>72</v>
      </c>
      <c r="I3470" s="2" t="s">
        <v>8546</v>
      </c>
      <c r="J3470" s="3" t="str">
        <f>HYPERLINK("https://www.boe.es/gazeta/dias/1815/03/11/pdfs/GMD-1815-30.pdf#page=8","Abrir facsímil")</f>
        <v>Abrir facsímil</v>
      </c>
      <c r="K3470" s="3" t="s">
        <v>74</v>
      </c>
    </row>
    <row r="3471" spans="1:11" ht="42" customHeight="1">
      <c r="A3471" s="2" t="s">
        <v>8547</v>
      </c>
      <c r="B3471" s="2" t="s">
        <v>8548</v>
      </c>
      <c r="C3471" s="2" t="s">
        <v>195</v>
      </c>
      <c r="D3471" s="2" t="s">
        <v>50</v>
      </c>
      <c r="E3471" s="5">
        <v>-30996</v>
      </c>
      <c r="F3471" s="3" t="s">
        <v>289</v>
      </c>
      <c r="G3471" s="3" t="s">
        <v>27</v>
      </c>
      <c r="H3471" s="2" t="s">
        <v>72</v>
      </c>
      <c r="I3471" s="2" t="s">
        <v>8549</v>
      </c>
      <c r="J3471" s="3" t="str">
        <f>HYPERLINK("https://www.boe.es/gazeta/dias/1815/02/18/pdfs/GMD-1815-21.pdf#page=6","Abrir facsímil")</f>
        <v>Abrir facsímil</v>
      </c>
      <c r="K3471" s="3" t="s">
        <v>74</v>
      </c>
    </row>
    <row r="3472" spans="1:11" ht="42" customHeight="1">
      <c r="A3472" s="2" t="s">
        <v>8550</v>
      </c>
      <c r="B3472" s="2" t="s">
        <v>8551</v>
      </c>
      <c r="C3472" s="2" t="s">
        <v>31</v>
      </c>
      <c r="D3472" s="2" t="s">
        <v>32</v>
      </c>
      <c r="E3472" s="5">
        <v>-31033</v>
      </c>
      <c r="F3472" s="3" t="s">
        <v>493</v>
      </c>
      <c r="G3472" s="3" t="s">
        <v>71</v>
      </c>
      <c r="H3472" s="2" t="s">
        <v>72</v>
      </c>
      <c r="I3472" s="2" t="s">
        <v>8552</v>
      </c>
      <c r="J3472" s="3" t="str">
        <f>HYPERLINK("https://www.boe.es/gazeta/dias/1815/01/12/pdfs/GMD-1815-5.pdf#page=7","Abrir facsímil")</f>
        <v>Abrir facsímil</v>
      </c>
      <c r="K3472" s="3" t="s">
        <v>74</v>
      </c>
    </row>
    <row r="3473" spans="1:11" ht="42" customHeight="1">
      <c r="A3473" s="2" t="s">
        <v>8553</v>
      </c>
      <c r="B3473" s="2" t="s">
        <v>8553</v>
      </c>
      <c r="C3473" s="2" t="s">
        <v>31</v>
      </c>
      <c r="D3473" s="2" t="s">
        <v>32</v>
      </c>
      <c r="E3473" s="5">
        <v>-31021</v>
      </c>
      <c r="F3473" s="3" t="s">
        <v>481</v>
      </c>
      <c r="G3473" s="3" t="s">
        <v>57</v>
      </c>
      <c r="H3473" s="2" t="s">
        <v>72</v>
      </c>
      <c r="I3473" s="2" t="s">
        <v>8554</v>
      </c>
      <c r="J3473" s="3" t="str">
        <f>HYPERLINK("https://www.boe.es/gazeta/dias/1815/01/24/pdfs/GMD-1815-10.pdf#page=5","Abrir facsímil")</f>
        <v>Abrir facsímil</v>
      </c>
      <c r="K3473" s="3" t="s">
        <v>74</v>
      </c>
    </row>
    <row r="3474" spans="1:11" ht="42" customHeight="1">
      <c r="A3474" s="2" t="s">
        <v>8555</v>
      </c>
      <c r="B3474" s="2" t="s">
        <v>8556</v>
      </c>
      <c r="C3474" s="2" t="s">
        <v>31</v>
      </c>
      <c r="D3474" s="2" t="s">
        <v>32</v>
      </c>
      <c r="E3474" s="5">
        <v>-30977</v>
      </c>
      <c r="F3474" s="3" t="s">
        <v>37</v>
      </c>
      <c r="G3474" s="3" t="s">
        <v>71</v>
      </c>
      <c r="H3474" s="2" t="s">
        <v>72</v>
      </c>
      <c r="I3474" s="2" t="s">
        <v>8557</v>
      </c>
      <c r="J3474" s="3" t="str">
        <f>HYPERLINK("https://www.boe.es/gazeta/dias/1815/03/09/pdfs/GMD-1815-29.pdf#page=7","Abrir facsímil")</f>
        <v>Abrir facsímil</v>
      </c>
      <c r="K3474" s="3" t="s">
        <v>74</v>
      </c>
    </row>
    <row r="3475" spans="1:11" ht="42" customHeight="1">
      <c r="A3475" s="2" t="s">
        <v>8558</v>
      </c>
      <c r="B3475" s="2" t="s">
        <v>8559</v>
      </c>
      <c r="C3475" s="2" t="s">
        <v>31</v>
      </c>
      <c r="D3475" s="2" t="s">
        <v>32</v>
      </c>
      <c r="E3475" s="5">
        <v>-30886</v>
      </c>
      <c r="F3475" s="3" t="s">
        <v>140</v>
      </c>
      <c r="G3475" s="3" t="s">
        <v>71</v>
      </c>
      <c r="H3475" s="2" t="s">
        <v>72</v>
      </c>
      <c r="I3475" s="2" t="s">
        <v>8560</v>
      </c>
      <c r="J3475" s="3" t="str">
        <f>HYPERLINK("https://www.boe.es/gazeta/dias/1815/06/08/pdfs/GMD-1815-69.pdf#page=7","Abrir facsímil")</f>
        <v>Abrir facsímil</v>
      </c>
      <c r="K3475" s="3" t="s">
        <v>74</v>
      </c>
    </row>
    <row r="3476" spans="1:11" ht="42" customHeight="1">
      <c r="A3476" s="2" t="s">
        <v>8561</v>
      </c>
      <c r="B3476" s="2" t="s">
        <v>8562</v>
      </c>
      <c r="C3476" s="2" t="s">
        <v>49</v>
      </c>
      <c r="D3476" s="2" t="s">
        <v>50</v>
      </c>
      <c r="E3476" s="5">
        <v>-30767</v>
      </c>
      <c r="F3476" s="3" t="s">
        <v>228</v>
      </c>
      <c r="G3476" s="3" t="s">
        <v>88</v>
      </c>
      <c r="H3476" s="2" t="s">
        <v>72</v>
      </c>
      <c r="I3476" s="2" t="s">
        <v>8563</v>
      </c>
      <c r="J3476" s="3" t="str">
        <f>HYPERLINK("https://www.boe.es/gazeta/dias/1815/10/05/pdfs/GMD-1815-125.pdf#page=10","Abrir facsímil")</f>
        <v>Abrir facsímil</v>
      </c>
      <c r="K3476" s="3" t="s">
        <v>74</v>
      </c>
    </row>
    <row r="3477" spans="1:11" ht="42" customHeight="1">
      <c r="A3477" s="2" t="s">
        <v>8564</v>
      </c>
      <c r="B3477" s="2" t="s">
        <v>8565</v>
      </c>
      <c r="C3477" s="2" t="s">
        <v>49</v>
      </c>
      <c r="D3477" s="2" t="s">
        <v>50</v>
      </c>
      <c r="E3477" s="5">
        <v>-31038</v>
      </c>
      <c r="F3477" s="3" t="s">
        <v>395</v>
      </c>
      <c r="G3477" s="3" t="s">
        <v>27</v>
      </c>
      <c r="H3477" s="2" t="s">
        <v>72</v>
      </c>
      <c r="I3477" s="2" t="s">
        <v>8566</v>
      </c>
      <c r="J3477" s="3" t="str">
        <f>HYPERLINK("https://www.boe.es/gazeta/dias/1815/01/07/pdfs/GMD-1815-3.pdf#page=6","Abrir facsímil")</f>
        <v>Abrir facsímil</v>
      </c>
      <c r="K3477" s="3" t="s">
        <v>74</v>
      </c>
    </row>
    <row r="3478" spans="1:11" ht="42" customHeight="1">
      <c r="A3478" s="2" t="s">
        <v>8567</v>
      </c>
      <c r="B3478" s="2" t="s">
        <v>8568</v>
      </c>
      <c r="C3478" s="2" t="s">
        <v>17</v>
      </c>
      <c r="D3478" s="2" t="s">
        <v>18</v>
      </c>
      <c r="E3478" s="5">
        <v>-30891</v>
      </c>
      <c r="F3478" s="3" t="s">
        <v>498</v>
      </c>
      <c r="G3478" s="3" t="s">
        <v>71</v>
      </c>
      <c r="H3478" s="2" t="s">
        <v>72</v>
      </c>
      <c r="I3478" s="2" t="s">
        <v>8569</v>
      </c>
      <c r="J3478" s="3" t="str">
        <f>HYPERLINK("https://www.boe.es/gazeta/dias/1815/06/03/pdfs/GMD-1815-67.pdf#page=7","Abrir facsímil")</f>
        <v>Abrir facsímil</v>
      </c>
      <c r="K3478" s="3" t="s">
        <v>74</v>
      </c>
    </row>
    <row r="3479" spans="1:11" ht="42" customHeight="1">
      <c r="A3479" s="2" t="s">
        <v>8570</v>
      </c>
      <c r="B3479" s="2" t="s">
        <v>8571</v>
      </c>
      <c r="C3479" s="2" t="s">
        <v>894</v>
      </c>
      <c r="D3479" s="2" t="s">
        <v>18</v>
      </c>
      <c r="E3479" s="5">
        <v>-30888</v>
      </c>
      <c r="F3479" s="3" t="s">
        <v>368</v>
      </c>
      <c r="G3479" s="3" t="s">
        <v>369</v>
      </c>
      <c r="H3479" s="2" t="s">
        <v>72</v>
      </c>
      <c r="I3479" s="2" t="s">
        <v>8572</v>
      </c>
      <c r="J3479" s="3" t="str">
        <f>HYPERLINK("https://www.boe.es/gazeta/dias/1815/06/06/pdfs/GMD-1815-68.pdf#page=7","Abrir facsímil")</f>
        <v>Abrir facsímil</v>
      </c>
      <c r="K3479" s="3" t="s">
        <v>74</v>
      </c>
    </row>
    <row r="3480" spans="1:11" ht="42" customHeight="1">
      <c r="A3480" s="2" t="s">
        <v>8570</v>
      </c>
      <c r="B3480" s="2" t="s">
        <v>8571</v>
      </c>
      <c r="C3480" s="2" t="s">
        <v>31</v>
      </c>
      <c r="D3480" s="2" t="s">
        <v>32</v>
      </c>
      <c r="E3480" s="5">
        <v>-30863</v>
      </c>
      <c r="F3480" s="3" t="s">
        <v>110</v>
      </c>
      <c r="G3480" s="3" t="s">
        <v>88</v>
      </c>
      <c r="H3480" s="2" t="s">
        <v>72</v>
      </c>
      <c r="I3480" s="2" t="s">
        <v>8573</v>
      </c>
      <c r="J3480" s="3" t="str">
        <f>HYPERLINK("https://www.boe.es/gazeta/dias/1815/07/01/pdfs/GMD-1815-79.pdf#page=10","Abrir facsímil")</f>
        <v>Abrir facsímil</v>
      </c>
      <c r="K3480" s="3" t="s">
        <v>74</v>
      </c>
    </row>
    <row r="3481" spans="1:11" ht="42" customHeight="1">
      <c r="A3481" s="2" t="s">
        <v>8574</v>
      </c>
      <c r="B3481" s="2" t="s">
        <v>8575</v>
      </c>
      <c r="C3481" s="2" t="s">
        <v>49</v>
      </c>
      <c r="D3481" s="2" t="s">
        <v>50</v>
      </c>
      <c r="E3481" s="5">
        <v>-30863</v>
      </c>
      <c r="F3481" s="3" t="s">
        <v>110</v>
      </c>
      <c r="G3481" s="3" t="s">
        <v>224</v>
      </c>
      <c r="H3481" s="2" t="s">
        <v>72</v>
      </c>
      <c r="I3481" s="2" t="s">
        <v>8576</v>
      </c>
      <c r="J3481" s="3" t="str">
        <f>HYPERLINK("https://www.boe.es/gazeta/dias/1815/07/01/pdfs/GMD-1815-79.pdf#page=9","Abrir facsímil")</f>
        <v>Abrir facsímil</v>
      </c>
      <c r="K3481" s="3" t="s">
        <v>74</v>
      </c>
    </row>
    <row r="3482" spans="1:11" ht="42" customHeight="1">
      <c r="A3482" s="2" t="s">
        <v>8577</v>
      </c>
      <c r="B3482" s="2" t="s">
        <v>8578</v>
      </c>
      <c r="C3482" s="2" t="s">
        <v>49</v>
      </c>
      <c r="D3482" s="2" t="s">
        <v>50</v>
      </c>
      <c r="E3482" s="5">
        <v>-30893</v>
      </c>
      <c r="F3482" s="3" t="s">
        <v>132</v>
      </c>
      <c r="G3482" s="3" t="s">
        <v>155</v>
      </c>
      <c r="H3482" s="2" t="s">
        <v>72</v>
      </c>
      <c r="I3482" s="2" t="s">
        <v>8579</v>
      </c>
      <c r="J3482" s="3" t="str">
        <f>HYPERLINK("https://www.boe.es/gazeta/dias/1815/06/01/pdfs/GMD-1815-66.pdf#page=6","Abrir facsímil")</f>
        <v>Abrir facsímil</v>
      </c>
      <c r="K3482" s="3" t="s">
        <v>74</v>
      </c>
    </row>
    <row r="3483" spans="1:11" ht="42" customHeight="1">
      <c r="A3483" s="2" t="s">
        <v>8580</v>
      </c>
      <c r="B3483" s="2" t="s">
        <v>8581</v>
      </c>
      <c r="C3483" s="2" t="s">
        <v>49</v>
      </c>
      <c r="D3483" s="2" t="s">
        <v>50</v>
      </c>
      <c r="E3483" s="5">
        <v>-30863</v>
      </c>
      <c r="F3483" s="3" t="s">
        <v>110</v>
      </c>
      <c r="G3483" s="3" t="s">
        <v>224</v>
      </c>
      <c r="H3483" s="2" t="s">
        <v>72</v>
      </c>
      <c r="I3483" s="2" t="s">
        <v>8582</v>
      </c>
      <c r="J3483" s="3" t="str">
        <f>HYPERLINK("https://www.boe.es/gazeta/dias/1815/07/01/pdfs/GMD-1815-79.pdf#page=9","Abrir facsímil")</f>
        <v>Abrir facsímil</v>
      </c>
      <c r="K3483" s="3" t="s">
        <v>74</v>
      </c>
    </row>
    <row r="3484" spans="1:11" ht="42" customHeight="1">
      <c r="A3484" s="2" t="s">
        <v>8583</v>
      </c>
      <c r="B3484" s="2" t="s">
        <v>8584</v>
      </c>
      <c r="C3484" s="2" t="s">
        <v>17</v>
      </c>
      <c r="D3484" s="2" t="s">
        <v>18</v>
      </c>
      <c r="E3484" s="5">
        <v>-30709</v>
      </c>
      <c r="F3484" s="3" t="s">
        <v>314</v>
      </c>
      <c r="G3484" s="3" t="s">
        <v>38</v>
      </c>
      <c r="H3484" s="2" t="s">
        <v>72</v>
      </c>
      <c r="I3484" s="2" t="s">
        <v>8585</v>
      </c>
      <c r="J3484" s="3" t="str">
        <f>HYPERLINK("https://www.boe.es/gazeta/dias/1815/12/02/pdfs/GMD-1815-150.pdf#page=8","Abrir facsímil")</f>
        <v>Abrir facsímil</v>
      </c>
      <c r="K3484" s="3" t="s">
        <v>74</v>
      </c>
    </row>
    <row r="3485" spans="1:11" ht="42" customHeight="1">
      <c r="A3485" s="2" t="s">
        <v>8586</v>
      </c>
      <c r="B3485" s="2" t="s">
        <v>8587</v>
      </c>
      <c r="C3485" s="2" t="s">
        <v>49</v>
      </c>
      <c r="D3485" s="2" t="s">
        <v>50</v>
      </c>
      <c r="E3485" s="5">
        <v>-31038</v>
      </c>
      <c r="F3485" s="3" t="s">
        <v>395</v>
      </c>
      <c r="G3485" s="3" t="s">
        <v>396</v>
      </c>
      <c r="H3485" s="2" t="s">
        <v>72</v>
      </c>
      <c r="I3485" s="2" t="s">
        <v>8588</v>
      </c>
      <c r="J3485" s="3" t="str">
        <f>HYPERLINK("https://www.boe.es/gazeta/dias/1815/01/07/pdfs/GMD-1815-3.pdf#page=5","Abrir facsímil")</f>
        <v>Abrir facsímil</v>
      </c>
      <c r="K3485" s="3" t="s">
        <v>74</v>
      </c>
    </row>
    <row r="3486" spans="1:11" ht="42" customHeight="1">
      <c r="A3486" s="2" t="s">
        <v>8589</v>
      </c>
      <c r="B3486" s="2" t="s">
        <v>8590</v>
      </c>
      <c r="C3486" s="2" t="s">
        <v>31</v>
      </c>
      <c r="D3486" s="2" t="s">
        <v>32</v>
      </c>
      <c r="E3486" s="5">
        <v>-30863</v>
      </c>
      <c r="F3486" s="3" t="s">
        <v>110</v>
      </c>
      <c r="G3486" s="3" t="s">
        <v>88</v>
      </c>
      <c r="H3486" s="2" t="s">
        <v>72</v>
      </c>
      <c r="I3486" s="2" t="s">
        <v>8591</v>
      </c>
      <c r="J3486" s="3" t="str">
        <f>HYPERLINK("https://www.boe.es/gazeta/dias/1815/07/01/pdfs/GMD-1815-79.pdf#page=10","Abrir facsímil")</f>
        <v>Abrir facsímil</v>
      </c>
      <c r="K3486" s="3" t="s">
        <v>74</v>
      </c>
    </row>
    <row r="3487" spans="1:11" ht="42" customHeight="1">
      <c r="A3487" s="2" t="s">
        <v>8592</v>
      </c>
      <c r="B3487" s="2" t="s">
        <v>8593</v>
      </c>
      <c r="C3487" s="2" t="s">
        <v>31</v>
      </c>
      <c r="D3487" s="2" t="s">
        <v>32</v>
      </c>
      <c r="E3487" s="5">
        <v>-30846</v>
      </c>
      <c r="F3487" s="3" t="s">
        <v>858</v>
      </c>
      <c r="G3487" s="3" t="s">
        <v>57</v>
      </c>
      <c r="H3487" s="2" t="s">
        <v>72</v>
      </c>
      <c r="I3487" s="2" t="s">
        <v>8594</v>
      </c>
      <c r="J3487" s="3" t="str">
        <f>HYPERLINK("https://www.boe.es/gazeta/dias/1815/07/18/pdfs/GMD-1815-88.pdf#page=5","Abrir facsímil")</f>
        <v>Abrir facsímil</v>
      </c>
      <c r="K3487" s="3" t="s">
        <v>74</v>
      </c>
    </row>
    <row r="3488" spans="1:11" ht="42" customHeight="1">
      <c r="A3488" s="2" t="s">
        <v>8595</v>
      </c>
      <c r="B3488" s="2" t="s">
        <v>8596</v>
      </c>
      <c r="C3488" s="2" t="s">
        <v>31</v>
      </c>
      <c r="D3488" s="2" t="s">
        <v>32</v>
      </c>
      <c r="E3488" s="5">
        <v>-30891</v>
      </c>
      <c r="F3488" s="3" t="s">
        <v>498</v>
      </c>
      <c r="G3488" s="3" t="s">
        <v>57</v>
      </c>
      <c r="H3488" s="2" t="s">
        <v>72</v>
      </c>
      <c r="I3488" s="2" t="s">
        <v>8597</v>
      </c>
      <c r="J3488" s="3" t="str">
        <f>HYPERLINK("https://www.boe.es/gazeta/dias/1815/06/03/pdfs/GMD-1815-67.pdf#page=5","Abrir facsímil")</f>
        <v>Abrir facsímil</v>
      </c>
      <c r="K3488" s="3" t="s">
        <v>74</v>
      </c>
    </row>
    <row r="3489" spans="1:11" ht="42" customHeight="1">
      <c r="A3489" s="2" t="s">
        <v>8598</v>
      </c>
      <c r="B3489" s="2" t="s">
        <v>8599</v>
      </c>
      <c r="C3489" s="2" t="s">
        <v>49</v>
      </c>
      <c r="D3489" s="2" t="s">
        <v>50</v>
      </c>
      <c r="E3489" s="5">
        <v>-30865</v>
      </c>
      <c r="F3489" s="3" t="s">
        <v>163</v>
      </c>
      <c r="G3489" s="3" t="s">
        <v>27</v>
      </c>
      <c r="H3489" s="2" t="s">
        <v>72</v>
      </c>
      <c r="I3489" s="2" t="s">
        <v>8600</v>
      </c>
      <c r="J3489" s="3" t="str">
        <f>HYPERLINK("https://www.boe.es/gazeta/dias/1815/06/29/pdfs/GMD-1815-78.pdf#page=6","Abrir facsímil")</f>
        <v>Abrir facsímil</v>
      </c>
      <c r="K3489" s="3" t="s">
        <v>74</v>
      </c>
    </row>
    <row r="3490" spans="1:11" ht="42" customHeight="1">
      <c r="A3490" s="2" t="s">
        <v>8601</v>
      </c>
      <c r="B3490" s="2" t="s">
        <v>8602</v>
      </c>
      <c r="C3490" s="2" t="s">
        <v>17</v>
      </c>
      <c r="D3490" s="2" t="s">
        <v>18</v>
      </c>
      <c r="E3490" s="5">
        <v>-30986</v>
      </c>
      <c r="F3490" s="3" t="s">
        <v>46</v>
      </c>
      <c r="G3490" s="3" t="s">
        <v>88</v>
      </c>
      <c r="H3490" s="2" t="s">
        <v>72</v>
      </c>
      <c r="I3490" s="2" t="s">
        <v>8603</v>
      </c>
      <c r="J3490" s="3" t="str">
        <f>HYPERLINK("https://www.boe.es/gazeta/dias/1815/02/28/pdfs/GMD-1815-25.pdf#page=10","Abrir facsímil")</f>
        <v>Abrir facsímil</v>
      </c>
      <c r="K3490" s="3" t="s">
        <v>74</v>
      </c>
    </row>
    <row r="3491" spans="1:11" ht="42" customHeight="1">
      <c r="A3491" s="2" t="s">
        <v>8604</v>
      </c>
      <c r="B3491" s="2" t="s">
        <v>8605</v>
      </c>
      <c r="C3491" s="2" t="s">
        <v>49</v>
      </c>
      <c r="D3491" s="2" t="s">
        <v>50</v>
      </c>
      <c r="E3491" s="5">
        <v>-30886</v>
      </c>
      <c r="F3491" s="3" t="s">
        <v>140</v>
      </c>
      <c r="G3491" s="3" t="s">
        <v>224</v>
      </c>
      <c r="H3491" s="2" t="s">
        <v>72</v>
      </c>
      <c r="I3491" s="2" t="s">
        <v>8606</v>
      </c>
      <c r="J3491" s="3" t="str">
        <f>HYPERLINK("https://www.boe.es/gazeta/dias/1815/06/08/pdfs/GMD-1815-69.pdf#page=9","Abrir facsímil")</f>
        <v>Abrir facsímil</v>
      </c>
      <c r="K3491" s="3" t="s">
        <v>74</v>
      </c>
    </row>
    <row r="3492" spans="1:11" ht="42" customHeight="1">
      <c r="A3492" s="2" t="s">
        <v>8607</v>
      </c>
      <c r="B3492" s="2" t="s">
        <v>8608</v>
      </c>
      <c r="C3492" s="2" t="s">
        <v>195</v>
      </c>
      <c r="D3492" s="2" t="s">
        <v>50</v>
      </c>
      <c r="E3492" s="5">
        <v>-30888</v>
      </c>
      <c r="F3492" s="3" t="s">
        <v>368</v>
      </c>
      <c r="G3492" s="3" t="s">
        <v>369</v>
      </c>
      <c r="H3492" s="2" t="s">
        <v>72</v>
      </c>
      <c r="I3492" s="2" t="s">
        <v>8609</v>
      </c>
      <c r="J3492" s="3" t="str">
        <f>HYPERLINK("https://www.boe.es/gazeta/dias/1815/06/06/pdfs/GMD-1815-68.pdf#page=7","Abrir facsímil")</f>
        <v>Abrir facsímil</v>
      </c>
      <c r="K3492" s="3" t="s">
        <v>74</v>
      </c>
    </row>
    <row r="3493" spans="1:11" ht="42" customHeight="1">
      <c r="A3493" s="2" t="s">
        <v>8610</v>
      </c>
      <c r="B3493" s="2" t="s">
        <v>8611</v>
      </c>
      <c r="C3493" s="2" t="s">
        <v>49</v>
      </c>
      <c r="D3493" s="2" t="s">
        <v>50</v>
      </c>
      <c r="E3493" s="5">
        <v>-30893</v>
      </c>
      <c r="F3493" s="3" t="s">
        <v>132</v>
      </c>
      <c r="G3493" s="3" t="s">
        <v>155</v>
      </c>
      <c r="H3493" s="2" t="s">
        <v>72</v>
      </c>
      <c r="I3493" s="2" t="s">
        <v>8612</v>
      </c>
      <c r="J3493" s="3" t="str">
        <f>HYPERLINK("https://www.boe.es/gazeta/dias/1815/06/01/pdfs/GMD-1815-66.pdf#page=6","Abrir facsímil")</f>
        <v>Abrir facsímil</v>
      </c>
      <c r="K3493" s="3" t="s">
        <v>74</v>
      </c>
    </row>
    <row r="3494" spans="1:11" ht="42" customHeight="1">
      <c r="A3494" s="2" t="s">
        <v>8613</v>
      </c>
      <c r="B3494" s="2" t="s">
        <v>8614</v>
      </c>
      <c r="C3494" s="2" t="s">
        <v>17</v>
      </c>
      <c r="D3494" s="2" t="s">
        <v>18</v>
      </c>
      <c r="E3494" s="5">
        <v>-30874</v>
      </c>
      <c r="F3494" s="3" t="s">
        <v>208</v>
      </c>
      <c r="G3494" s="3" t="s">
        <v>38</v>
      </c>
      <c r="H3494" s="2" t="s">
        <v>72</v>
      </c>
      <c r="I3494" s="2" t="s">
        <v>8615</v>
      </c>
      <c r="J3494" s="3" t="str">
        <f>HYPERLINK("https://www.boe.es/gazeta/dias/1815/06/20/pdfs/GMD-1815-74.pdf#page=8","Abrir facsímil")</f>
        <v>Abrir facsímil</v>
      </c>
      <c r="K3494" s="3" t="s">
        <v>74</v>
      </c>
    </row>
    <row r="3495" spans="1:11" ht="42" customHeight="1">
      <c r="A3495" s="2" t="s">
        <v>8616</v>
      </c>
      <c r="B3495" s="2" t="s">
        <v>8617</v>
      </c>
      <c r="C3495" s="2" t="s">
        <v>49</v>
      </c>
      <c r="D3495" s="2" t="s">
        <v>50</v>
      </c>
      <c r="E3495" s="5">
        <v>-30958</v>
      </c>
      <c r="F3495" s="3" t="s">
        <v>297</v>
      </c>
      <c r="G3495" s="3" t="s">
        <v>71</v>
      </c>
      <c r="H3495" s="2" t="s">
        <v>72</v>
      </c>
      <c r="I3495" s="2" t="s">
        <v>8618</v>
      </c>
      <c r="J3495" s="3" t="str">
        <f>HYPERLINK("https://www.boe.es/gazeta/dias/1815/03/28/pdfs/GMD-1815-37.pdf#page=7","Abrir facsímil")</f>
        <v>Abrir facsímil</v>
      </c>
      <c r="K3495" s="3" t="s">
        <v>74</v>
      </c>
    </row>
    <row r="3496" spans="1:11" ht="42" customHeight="1">
      <c r="A3496" s="2" t="s">
        <v>8619</v>
      </c>
      <c r="B3496" s="2" t="s">
        <v>8619</v>
      </c>
      <c r="C3496" s="2" t="s">
        <v>49</v>
      </c>
      <c r="D3496" s="2" t="s">
        <v>50</v>
      </c>
      <c r="E3496" s="5">
        <v>-30870</v>
      </c>
      <c r="F3496" s="3" t="s">
        <v>122</v>
      </c>
      <c r="G3496" s="3" t="s">
        <v>88</v>
      </c>
      <c r="H3496" s="2" t="s">
        <v>72</v>
      </c>
      <c r="I3496" s="2" t="s">
        <v>8620</v>
      </c>
      <c r="J3496" s="3" t="str">
        <f>HYPERLINK("https://www.boe.es/gazeta/dias/1815/06/24/pdfs/GMD-1815-76.pdf#page=10","Abrir facsímil")</f>
        <v>Abrir facsímil</v>
      </c>
      <c r="K3496" s="3" t="s">
        <v>74</v>
      </c>
    </row>
    <row r="3497" spans="1:11" ht="42" customHeight="1">
      <c r="A3497" s="2" t="s">
        <v>8621</v>
      </c>
      <c r="B3497" s="2" t="s">
        <v>8622</v>
      </c>
      <c r="C3497" s="2" t="s">
        <v>31</v>
      </c>
      <c r="D3497" s="2" t="s">
        <v>32</v>
      </c>
      <c r="E3497" s="5">
        <v>-30744</v>
      </c>
      <c r="F3497" s="3" t="s">
        <v>391</v>
      </c>
      <c r="G3497" s="3" t="s">
        <v>38</v>
      </c>
      <c r="H3497" s="2" t="s">
        <v>21</v>
      </c>
      <c r="I3497" s="2" t="s">
        <v>8623</v>
      </c>
      <c r="J3497" s="3" t="str">
        <f>HYPERLINK("https://www.boe.es/gazeta/dias/1815/10/28/pdfs/GMD-1815-135.pdf#page=8","Abrir facsímil")</f>
        <v>Abrir facsímil</v>
      </c>
      <c r="K3497" s="3" t="s">
        <v>23</v>
      </c>
    </row>
    <row r="3498" spans="1:11" ht="42" customHeight="1">
      <c r="A3498" s="2" t="s">
        <v>8624</v>
      </c>
      <c r="B3498" s="2" t="s">
        <v>8625</v>
      </c>
      <c r="C3498" s="2" t="s">
        <v>31</v>
      </c>
      <c r="D3498" s="2" t="s">
        <v>32</v>
      </c>
      <c r="E3498" s="5">
        <v>-30963</v>
      </c>
      <c r="F3498" s="3" t="s">
        <v>879</v>
      </c>
      <c r="G3498" s="3" t="s">
        <v>71</v>
      </c>
      <c r="H3498" s="2" t="s">
        <v>72</v>
      </c>
      <c r="I3498" s="2" t="s">
        <v>8626</v>
      </c>
      <c r="J3498" s="3" t="str">
        <f>HYPERLINK("https://www.boe.es/gazeta/dias/1815/03/23/pdfs/GMD-1815-35.pdf#page=7","Abrir facsímil")</f>
        <v>Abrir facsímil</v>
      </c>
      <c r="K3498" s="3" t="s">
        <v>74</v>
      </c>
    </row>
    <row r="3499" spans="1:11" ht="42" customHeight="1">
      <c r="A3499" s="2" t="s">
        <v>8627</v>
      </c>
      <c r="B3499" s="2" t="s">
        <v>8628</v>
      </c>
      <c r="C3499" s="2" t="s">
        <v>49</v>
      </c>
      <c r="D3499" s="2" t="s">
        <v>50</v>
      </c>
      <c r="E3499" s="5">
        <v>-30865</v>
      </c>
      <c r="F3499" s="3" t="s">
        <v>163</v>
      </c>
      <c r="G3499" s="3" t="s">
        <v>71</v>
      </c>
      <c r="H3499" s="2" t="s">
        <v>72</v>
      </c>
      <c r="I3499" s="2" t="s">
        <v>8629</v>
      </c>
      <c r="J3499" s="3" t="str">
        <f>HYPERLINK("https://www.boe.es/gazeta/dias/1815/06/29/pdfs/GMD-1815-78.pdf#page=7","Abrir facsímil")</f>
        <v>Abrir facsímil</v>
      </c>
      <c r="K3499" s="3" t="s">
        <v>74</v>
      </c>
    </row>
    <row r="3500" spans="1:11" ht="42" customHeight="1">
      <c r="A3500" s="2" t="s">
        <v>8630</v>
      </c>
      <c r="B3500" s="2" t="s">
        <v>8631</v>
      </c>
      <c r="C3500" s="2" t="s">
        <v>195</v>
      </c>
      <c r="D3500" s="2" t="s">
        <v>50</v>
      </c>
      <c r="E3500" s="5">
        <v>-30872</v>
      </c>
      <c r="F3500" s="3" t="s">
        <v>167</v>
      </c>
      <c r="G3500" s="3" t="s">
        <v>224</v>
      </c>
      <c r="H3500" s="2" t="s">
        <v>72</v>
      </c>
      <c r="I3500" s="2" t="s">
        <v>8632</v>
      </c>
      <c r="J3500" s="3" t="str">
        <f>HYPERLINK("https://www.boe.es/gazeta/dias/1815/06/22/pdfs/GMD-1815-75.pdf#page=9","Abrir facsímil")</f>
        <v>Abrir facsímil</v>
      </c>
      <c r="K3500" s="3" t="s">
        <v>74</v>
      </c>
    </row>
    <row r="3501" spans="1:11" ht="42" customHeight="1">
      <c r="A3501" s="2" t="s">
        <v>8633</v>
      </c>
      <c r="B3501" s="2" t="s">
        <v>8634</v>
      </c>
      <c r="C3501" s="2" t="s">
        <v>49</v>
      </c>
      <c r="D3501" s="2" t="s">
        <v>50</v>
      </c>
      <c r="E3501" s="5">
        <v>-30886</v>
      </c>
      <c r="F3501" s="3" t="s">
        <v>140</v>
      </c>
      <c r="G3501" s="3" t="s">
        <v>38</v>
      </c>
      <c r="H3501" s="2" t="s">
        <v>72</v>
      </c>
      <c r="I3501" s="2" t="s">
        <v>8635</v>
      </c>
      <c r="J3501" s="3" t="str">
        <f>HYPERLINK("https://www.boe.es/gazeta/dias/1815/06/08/pdfs/GMD-1815-69.pdf#page=8","Abrir facsímil")</f>
        <v>Abrir facsímil</v>
      </c>
      <c r="K3501" s="3" t="s">
        <v>74</v>
      </c>
    </row>
    <row r="3502" spans="1:11" ht="42" customHeight="1">
      <c r="A3502" s="2" t="s">
        <v>8636</v>
      </c>
      <c r="B3502" s="2" t="s">
        <v>8637</v>
      </c>
      <c r="C3502" s="2" t="s">
        <v>49</v>
      </c>
      <c r="D3502" s="2" t="s">
        <v>50</v>
      </c>
      <c r="E3502" s="5">
        <v>-30818</v>
      </c>
      <c r="F3502" s="3" t="s">
        <v>334</v>
      </c>
      <c r="G3502" s="3" t="s">
        <v>224</v>
      </c>
      <c r="H3502" s="2" t="s">
        <v>72</v>
      </c>
      <c r="I3502" s="2" t="s">
        <v>8638</v>
      </c>
      <c r="J3502" s="3" t="str">
        <f>HYPERLINK("https://www.boe.es/gazeta/dias/1815/08/15/pdfs/GMD-1815-100.pdf#page=9","Abrir facsímil")</f>
        <v>Abrir facsímil</v>
      </c>
      <c r="K3502" s="3" t="s">
        <v>74</v>
      </c>
    </row>
    <row r="3503" spans="1:11" ht="42" customHeight="1">
      <c r="A3503" s="2" t="s">
        <v>8639</v>
      </c>
      <c r="B3503" s="2" t="s">
        <v>8640</v>
      </c>
      <c r="C3503" s="2" t="s">
        <v>31</v>
      </c>
      <c r="D3503" s="2" t="s">
        <v>32</v>
      </c>
      <c r="E3503" s="5">
        <v>-30937</v>
      </c>
      <c r="F3503" s="3" t="s">
        <v>322</v>
      </c>
      <c r="G3503" s="3" t="s">
        <v>5101</v>
      </c>
      <c r="H3503" s="2" t="s">
        <v>72</v>
      </c>
      <c r="I3503" s="2" t="s">
        <v>8641</v>
      </c>
      <c r="J3503" s="3" t="str">
        <f>HYPERLINK("https://www.boe.es/gazeta/dias/1815/04/18/pdfs/GMD-1815-47.pdf#page=7","Abrir facsímil")</f>
        <v>Abrir facsímil</v>
      </c>
      <c r="K3503" s="3" t="s">
        <v>74</v>
      </c>
    </row>
    <row r="3504" spans="1:11" ht="42" customHeight="1">
      <c r="A3504" s="2" t="s">
        <v>8642</v>
      </c>
      <c r="B3504" s="2" t="s">
        <v>8643</v>
      </c>
      <c r="C3504" s="2" t="s">
        <v>61</v>
      </c>
      <c r="D3504" s="2" t="s">
        <v>50</v>
      </c>
      <c r="E3504" s="5">
        <v>-30720</v>
      </c>
      <c r="F3504" s="3" t="s">
        <v>373</v>
      </c>
      <c r="G3504" s="3" t="s">
        <v>88</v>
      </c>
      <c r="H3504" s="2" t="s">
        <v>72</v>
      </c>
      <c r="I3504" s="2" t="s">
        <v>8644</v>
      </c>
      <c r="J3504" s="3" t="str">
        <f>HYPERLINK("https://www.boe.es/gazeta/dias/1815/11/21/pdfs/GMD-1815-145.pdf#page=10","Abrir facsímil")</f>
        <v>Abrir facsímil</v>
      </c>
      <c r="K3504" s="3" t="s">
        <v>74</v>
      </c>
    </row>
    <row r="3505" spans="1:11" ht="42" customHeight="1">
      <c r="A3505" s="2" t="s">
        <v>8645</v>
      </c>
      <c r="B3505" s="2" t="s">
        <v>8646</v>
      </c>
      <c r="C3505" s="2" t="s">
        <v>31</v>
      </c>
      <c r="D3505" s="2" t="s">
        <v>32</v>
      </c>
      <c r="E3505" s="5">
        <v>-30975</v>
      </c>
      <c r="F3505" s="3" t="s">
        <v>1194</v>
      </c>
      <c r="G3505" s="3" t="s">
        <v>71</v>
      </c>
      <c r="H3505" s="2" t="s">
        <v>72</v>
      </c>
      <c r="I3505" s="2" t="s">
        <v>8647</v>
      </c>
      <c r="J3505" s="3" t="str">
        <f>HYPERLINK("https://www.boe.es/gazeta/dias/1815/03/11/pdfs/GMD-1815-30.pdf#page=7","Abrir facsímil")</f>
        <v>Abrir facsímil</v>
      </c>
      <c r="K3505" s="3" t="s">
        <v>74</v>
      </c>
    </row>
    <row r="3506" spans="1:11" ht="42" customHeight="1">
      <c r="A3506" s="2" t="s">
        <v>8648</v>
      </c>
      <c r="B3506" s="2" t="s">
        <v>8649</v>
      </c>
      <c r="C3506" s="2" t="s">
        <v>49</v>
      </c>
      <c r="D3506" s="2" t="s">
        <v>50</v>
      </c>
      <c r="E3506" s="5">
        <v>-30863</v>
      </c>
      <c r="F3506" s="3" t="s">
        <v>110</v>
      </c>
      <c r="G3506" s="3" t="s">
        <v>224</v>
      </c>
      <c r="H3506" s="2" t="s">
        <v>72</v>
      </c>
      <c r="I3506" s="2" t="s">
        <v>8650</v>
      </c>
      <c r="J3506" s="3" t="str">
        <f>HYPERLINK("https://www.boe.es/gazeta/dias/1815/07/01/pdfs/GMD-1815-79.pdf#page=9","Abrir facsímil")</f>
        <v>Abrir facsímil</v>
      </c>
      <c r="K3506" s="3" t="s">
        <v>74</v>
      </c>
    </row>
    <row r="3507" spans="1:11" ht="42" customHeight="1">
      <c r="A3507" s="2" t="s">
        <v>8651</v>
      </c>
      <c r="B3507" s="2" t="s">
        <v>8652</v>
      </c>
      <c r="C3507" s="2" t="s">
        <v>49</v>
      </c>
      <c r="D3507" s="2" t="s">
        <v>50</v>
      </c>
      <c r="E3507" s="5">
        <v>-30865</v>
      </c>
      <c r="F3507" s="3" t="s">
        <v>163</v>
      </c>
      <c r="G3507" s="3" t="s">
        <v>71</v>
      </c>
      <c r="H3507" s="2" t="s">
        <v>72</v>
      </c>
      <c r="I3507" s="2" t="s">
        <v>8653</v>
      </c>
      <c r="J3507" s="3" t="str">
        <f>HYPERLINK("https://www.boe.es/gazeta/dias/1815/06/29/pdfs/GMD-1815-78.pdf#page=7","Abrir facsímil")</f>
        <v>Abrir facsímil</v>
      </c>
      <c r="K3507" s="3" t="s">
        <v>74</v>
      </c>
    </row>
    <row r="3508" spans="1:11" ht="42" customHeight="1">
      <c r="A3508" s="2" t="s">
        <v>8654</v>
      </c>
      <c r="B3508" s="2" t="s">
        <v>8655</v>
      </c>
      <c r="C3508" s="2" t="s">
        <v>31</v>
      </c>
      <c r="D3508" s="2" t="s">
        <v>32</v>
      </c>
      <c r="E3508" s="5">
        <v>-30977</v>
      </c>
      <c r="F3508" s="3" t="s">
        <v>37</v>
      </c>
      <c r="G3508" s="3" t="s">
        <v>71</v>
      </c>
      <c r="H3508" s="2" t="s">
        <v>72</v>
      </c>
      <c r="I3508" s="2" t="s">
        <v>8656</v>
      </c>
      <c r="J3508" s="3" t="str">
        <f>HYPERLINK("https://www.boe.es/gazeta/dias/1815/03/09/pdfs/GMD-1815-29.pdf#page=7","Abrir facsímil")</f>
        <v>Abrir facsímil</v>
      </c>
      <c r="K3508" s="3" t="s">
        <v>74</v>
      </c>
    </row>
    <row r="3509" spans="1:11" ht="42" customHeight="1">
      <c r="A3509" s="2" t="s">
        <v>8657</v>
      </c>
      <c r="B3509" s="2" t="s">
        <v>8658</v>
      </c>
      <c r="C3509" s="2" t="s">
        <v>17</v>
      </c>
      <c r="D3509" s="2" t="s">
        <v>18</v>
      </c>
      <c r="E3509" s="5">
        <v>-30923</v>
      </c>
      <c r="F3509" s="3" t="s">
        <v>524</v>
      </c>
      <c r="G3509" s="3" t="s">
        <v>88</v>
      </c>
      <c r="H3509" s="2" t="s">
        <v>72</v>
      </c>
      <c r="I3509" s="2" t="s">
        <v>8659</v>
      </c>
      <c r="J3509" s="3" t="str">
        <f>HYPERLINK("https://www.boe.es/gazeta/dias/1815/05/02/pdfs/GMD-1815-53.pdf#page=10","Abrir facsímil")</f>
        <v>Abrir facsímil</v>
      </c>
      <c r="K3509" s="3" t="s">
        <v>74</v>
      </c>
    </row>
    <row r="3510" spans="1:11" ht="42" customHeight="1">
      <c r="A3510" s="2" t="s">
        <v>8660</v>
      </c>
      <c r="B3510" s="2" t="s">
        <v>8661</v>
      </c>
      <c r="C3510" s="2" t="s">
        <v>195</v>
      </c>
      <c r="D3510" s="2" t="s">
        <v>50</v>
      </c>
      <c r="E3510" s="5">
        <v>-30683</v>
      </c>
      <c r="F3510" s="3" t="s">
        <v>1693</v>
      </c>
      <c r="G3510" s="3" t="s">
        <v>38</v>
      </c>
      <c r="H3510" s="2" t="s">
        <v>72</v>
      </c>
      <c r="I3510" s="2" t="s">
        <v>8662</v>
      </c>
      <c r="J3510" s="3" t="str">
        <f>HYPERLINK("https://www.boe.es/gazeta/dias/1815/12/28/pdfs/GMD-1815-161.pdf#page=8","Abrir facsímil")</f>
        <v>Abrir facsímil</v>
      </c>
      <c r="K3510" s="3" t="s">
        <v>74</v>
      </c>
    </row>
    <row r="3511" spans="1:11" ht="42" customHeight="1">
      <c r="A3511" s="2" t="s">
        <v>8663</v>
      </c>
      <c r="B3511" s="2" t="s">
        <v>8664</v>
      </c>
      <c r="C3511" s="2" t="s">
        <v>195</v>
      </c>
      <c r="D3511" s="2" t="s">
        <v>50</v>
      </c>
      <c r="E3511" s="5">
        <v>-30888</v>
      </c>
      <c r="F3511" s="3" t="s">
        <v>368</v>
      </c>
      <c r="G3511" s="3" t="s">
        <v>224</v>
      </c>
      <c r="H3511" s="2" t="s">
        <v>72</v>
      </c>
      <c r="I3511" s="2" t="s">
        <v>8665</v>
      </c>
      <c r="J3511" s="3" t="str">
        <f>HYPERLINK("https://www.boe.es/gazeta/dias/1815/06/06/pdfs/GMD-1815-68.pdf#page=9","Abrir facsímil")</f>
        <v>Abrir facsímil</v>
      </c>
      <c r="K3511" s="3" t="s">
        <v>74</v>
      </c>
    </row>
    <row r="3512" spans="1:11" ht="42" customHeight="1">
      <c r="A3512" s="2" t="s">
        <v>8666</v>
      </c>
      <c r="B3512" s="2" t="s">
        <v>8667</v>
      </c>
      <c r="C3512" s="2" t="s">
        <v>31</v>
      </c>
      <c r="D3512" s="2" t="s">
        <v>32</v>
      </c>
      <c r="E3512" s="5">
        <v>-30879</v>
      </c>
      <c r="F3512" s="3" t="s">
        <v>754</v>
      </c>
      <c r="G3512" s="3" t="s">
        <v>8668</v>
      </c>
      <c r="H3512" s="2" t="s">
        <v>72</v>
      </c>
      <c r="I3512" s="2" t="s">
        <v>8669</v>
      </c>
      <c r="J3512" s="3" t="str">
        <f>HYPERLINK("https://www.boe.es/gazeta/dias/1815/06/15/pdfs/GMD-1815-72.pdf#page=9","Abrir facsímil")</f>
        <v>Abrir facsímil</v>
      </c>
      <c r="K3512" s="3" t="s">
        <v>74</v>
      </c>
    </row>
    <row r="3513" spans="1:11" ht="42" customHeight="1">
      <c r="A3513" s="2" t="s">
        <v>8670</v>
      </c>
      <c r="B3513" s="2" t="s">
        <v>8670</v>
      </c>
      <c r="C3513" s="2" t="s">
        <v>31</v>
      </c>
      <c r="D3513" s="2" t="s">
        <v>32</v>
      </c>
      <c r="E3513" s="5">
        <v>-30872</v>
      </c>
      <c r="F3513" s="3" t="s">
        <v>167</v>
      </c>
      <c r="G3513" s="3" t="s">
        <v>342</v>
      </c>
      <c r="H3513" s="2" t="s">
        <v>72</v>
      </c>
      <c r="I3513" s="2" t="s">
        <v>8671</v>
      </c>
      <c r="J3513" s="3" t="str">
        <f>HYPERLINK("https://www.boe.es/gazeta/dias/1815/06/22/pdfs/GMD-1815-75.pdf#page=8","Abrir facsímil")</f>
        <v>Abrir facsímil</v>
      </c>
      <c r="K3513" s="3" t="s">
        <v>74</v>
      </c>
    </row>
    <row r="3514" spans="1:11" ht="42" customHeight="1">
      <c r="A3514" s="2" t="s">
        <v>8670</v>
      </c>
      <c r="B3514" s="2" t="s">
        <v>8670</v>
      </c>
      <c r="C3514" s="2" t="s">
        <v>31</v>
      </c>
      <c r="D3514" s="2" t="s">
        <v>32</v>
      </c>
      <c r="E3514" s="5">
        <v>-30872</v>
      </c>
      <c r="F3514" s="3" t="s">
        <v>167</v>
      </c>
      <c r="G3514" s="3" t="s">
        <v>27</v>
      </c>
      <c r="H3514" s="2" t="s">
        <v>72</v>
      </c>
      <c r="I3514" s="2" t="s">
        <v>8672</v>
      </c>
      <c r="J3514" s="3" t="str">
        <f>HYPERLINK("https://www.boe.es/gazeta/dias/1815/06/22/pdfs/GMD-1815-75.pdf#page=6","Abrir facsímil")</f>
        <v>Abrir facsímil</v>
      </c>
      <c r="K3514" s="3" t="s">
        <v>74</v>
      </c>
    </row>
    <row r="3515" spans="1:11" ht="42" customHeight="1">
      <c r="A3515" s="2" t="s">
        <v>8670</v>
      </c>
      <c r="B3515" s="2" t="s">
        <v>8670</v>
      </c>
      <c r="C3515" s="2" t="s">
        <v>31</v>
      </c>
      <c r="D3515" s="2" t="s">
        <v>32</v>
      </c>
      <c r="E3515" s="5">
        <v>-30793</v>
      </c>
      <c r="F3515" s="3" t="s">
        <v>1704</v>
      </c>
      <c r="G3515" s="3" t="s">
        <v>410</v>
      </c>
      <c r="H3515" s="2" t="s">
        <v>72</v>
      </c>
      <c r="I3515" s="2" t="s">
        <v>8673</v>
      </c>
      <c r="J3515" s="3" t="str">
        <f>HYPERLINK("https://www.boe.es/gazeta/dias/1815/09/09/pdfs/GMD-1815-112.pdf#page=1","Abrir facsímil")</f>
        <v>Abrir facsímil</v>
      </c>
      <c r="K3515" s="3" t="s">
        <v>74</v>
      </c>
    </row>
    <row r="3516" spans="1:11" ht="42" customHeight="1">
      <c r="A3516" s="2" t="s">
        <v>8674</v>
      </c>
      <c r="B3516" s="2" t="s">
        <v>8675</v>
      </c>
      <c r="C3516" s="2" t="s">
        <v>31</v>
      </c>
      <c r="D3516" s="2" t="s">
        <v>32</v>
      </c>
      <c r="E3516" s="5">
        <v>-30881</v>
      </c>
      <c r="F3516" s="3" t="s">
        <v>446</v>
      </c>
      <c r="G3516" s="3" t="s">
        <v>1436</v>
      </c>
      <c r="H3516" s="2" t="s">
        <v>72</v>
      </c>
      <c r="I3516" s="2" t="s">
        <v>8676</v>
      </c>
      <c r="J3516" s="3" t="str">
        <f>HYPERLINK("https://www.boe.es/gazeta/dias/1815/06/13/pdfs/GMD-1815-71.pdf#page=9","Abrir facsímil")</f>
        <v>Abrir facsímil</v>
      </c>
      <c r="K3516" s="3" t="s">
        <v>74</v>
      </c>
    </row>
    <row r="3517" spans="1:11" ht="42" customHeight="1">
      <c r="A3517" s="2" t="s">
        <v>8677</v>
      </c>
      <c r="B3517" s="2" t="s">
        <v>8678</v>
      </c>
      <c r="C3517" s="2" t="s">
        <v>31</v>
      </c>
      <c r="D3517" s="2" t="s">
        <v>32</v>
      </c>
      <c r="E3517" s="5">
        <v>-30907</v>
      </c>
      <c r="F3517" s="3" t="s">
        <v>301</v>
      </c>
      <c r="G3517" s="3" t="s">
        <v>71</v>
      </c>
      <c r="H3517" s="2" t="s">
        <v>72</v>
      </c>
      <c r="I3517" s="2" t="s">
        <v>8679</v>
      </c>
      <c r="J3517" s="3" t="str">
        <f>HYPERLINK("https://www.boe.es/gazeta/dias/1815/05/18/pdfs/GMD-1815-60.pdf#page=7","Abrir facsímil")</f>
        <v>Abrir facsímil</v>
      </c>
      <c r="K3517" s="3" t="s">
        <v>74</v>
      </c>
    </row>
    <row r="3518" spans="1:11" ht="42" customHeight="1">
      <c r="A3518" s="2" t="s">
        <v>8677</v>
      </c>
      <c r="B3518" s="2" t="s">
        <v>8678</v>
      </c>
      <c r="C3518" s="2" t="s">
        <v>17</v>
      </c>
      <c r="D3518" s="2" t="s">
        <v>18</v>
      </c>
      <c r="E3518" s="5">
        <v>-30842</v>
      </c>
      <c r="F3518" s="3" t="s">
        <v>126</v>
      </c>
      <c r="G3518" s="3" t="s">
        <v>88</v>
      </c>
      <c r="H3518" s="2" t="s">
        <v>72</v>
      </c>
      <c r="I3518" s="2" t="s">
        <v>8680</v>
      </c>
      <c r="J3518" s="3" t="str">
        <f>HYPERLINK("https://www.boe.es/gazeta/dias/1815/07/22/pdfs/GMD-1815-90.pdf#page=10","Abrir facsímil")</f>
        <v>Abrir facsímil</v>
      </c>
      <c r="K3518" s="3" t="s">
        <v>74</v>
      </c>
    </row>
    <row r="3519" spans="1:11" ht="42" customHeight="1">
      <c r="A3519" s="2" t="s">
        <v>8681</v>
      </c>
      <c r="B3519" s="2" t="s">
        <v>8682</v>
      </c>
      <c r="C3519" s="2" t="s">
        <v>31</v>
      </c>
      <c r="D3519" s="2" t="s">
        <v>32</v>
      </c>
      <c r="E3519" s="5">
        <v>-30989</v>
      </c>
      <c r="F3519" s="3" t="s">
        <v>2441</v>
      </c>
      <c r="G3519" s="3" t="s">
        <v>5364</v>
      </c>
      <c r="H3519" s="2" t="s">
        <v>72</v>
      </c>
      <c r="I3519" s="2" t="s">
        <v>8683</v>
      </c>
      <c r="J3519" s="3" t="str">
        <f>HYPERLINK("https://www.boe.es/gazeta/dias/1815/02/25/pdfs/GMD-1815-24.pdf#page=8","Abrir facsímil")</f>
        <v>Abrir facsímil</v>
      </c>
      <c r="K3519" s="3" t="s">
        <v>74</v>
      </c>
    </row>
    <row r="3520" spans="1:11" ht="42" customHeight="1">
      <c r="A3520" s="2" t="s">
        <v>8684</v>
      </c>
      <c r="B3520" s="2" t="s">
        <v>8685</v>
      </c>
      <c r="C3520" s="2" t="s">
        <v>17</v>
      </c>
      <c r="D3520" s="2" t="s">
        <v>18</v>
      </c>
      <c r="E3520" s="5">
        <v>-30753</v>
      </c>
      <c r="F3520" s="3" t="s">
        <v>1635</v>
      </c>
      <c r="G3520" s="3" t="s">
        <v>71</v>
      </c>
      <c r="H3520" s="2" t="s">
        <v>21</v>
      </c>
      <c r="I3520" s="2" t="s">
        <v>8686</v>
      </c>
      <c r="J3520" s="3" t="str">
        <f>HYPERLINK("https://www.boe.es/gazeta/dias/1815/10/19/pdfs/GMD-1815-131.pdf#page=7","Abrir facsímil")</f>
        <v>Abrir facsímil</v>
      </c>
      <c r="K3520" s="3" t="s">
        <v>23</v>
      </c>
    </row>
    <row r="3521" spans="1:11" ht="42" customHeight="1">
      <c r="A3521" s="2" t="s">
        <v>8687</v>
      </c>
      <c r="B3521" s="2" t="s">
        <v>8688</v>
      </c>
      <c r="C3521" s="2" t="s">
        <v>31</v>
      </c>
      <c r="D3521" s="2" t="s">
        <v>32</v>
      </c>
      <c r="E3521" s="5">
        <v>-30872</v>
      </c>
      <c r="F3521" s="3" t="s">
        <v>167</v>
      </c>
      <c r="G3521" s="3" t="s">
        <v>71</v>
      </c>
      <c r="H3521" s="2" t="s">
        <v>72</v>
      </c>
      <c r="I3521" s="2" t="s">
        <v>8689</v>
      </c>
      <c r="J3521" s="3" t="str">
        <f>HYPERLINK("https://www.boe.es/gazeta/dias/1815/06/22/pdfs/GMD-1815-75.pdf#page=7","Abrir facsímil")</f>
        <v>Abrir facsímil</v>
      </c>
      <c r="K3521" s="3" t="s">
        <v>74</v>
      </c>
    </row>
    <row r="3522" spans="1:11" ht="42" customHeight="1">
      <c r="A3522" s="2" t="s">
        <v>8690</v>
      </c>
      <c r="B3522" s="2" t="s">
        <v>8691</v>
      </c>
      <c r="C3522" s="2" t="s">
        <v>17</v>
      </c>
      <c r="D3522" s="2" t="s">
        <v>18</v>
      </c>
      <c r="E3522" s="5">
        <v>-30874</v>
      </c>
      <c r="F3522" s="3" t="s">
        <v>208</v>
      </c>
      <c r="G3522" s="3" t="s">
        <v>38</v>
      </c>
      <c r="H3522" s="2" t="s">
        <v>72</v>
      </c>
      <c r="I3522" s="2" t="s">
        <v>8692</v>
      </c>
      <c r="J3522" s="3" t="str">
        <f>HYPERLINK("https://www.boe.es/gazeta/dias/1815/06/20/pdfs/GMD-1815-74.pdf#page=8","Abrir facsímil")</f>
        <v>Abrir facsímil</v>
      </c>
      <c r="K3522" s="3" t="s">
        <v>74</v>
      </c>
    </row>
    <row r="3523" spans="1:11" ht="42" customHeight="1">
      <c r="A3523" s="2" t="s">
        <v>8693</v>
      </c>
      <c r="B3523" s="2" t="s">
        <v>8694</v>
      </c>
      <c r="C3523" s="2" t="s">
        <v>49</v>
      </c>
      <c r="D3523" s="2" t="s">
        <v>50</v>
      </c>
      <c r="E3523" s="5">
        <v>-30865</v>
      </c>
      <c r="F3523" s="3" t="s">
        <v>163</v>
      </c>
      <c r="G3523" s="3" t="s">
        <v>27</v>
      </c>
      <c r="H3523" s="2" t="s">
        <v>72</v>
      </c>
      <c r="I3523" s="2" t="s">
        <v>8695</v>
      </c>
      <c r="J3523" s="3" t="str">
        <f>HYPERLINK("https://www.boe.es/gazeta/dias/1815/06/29/pdfs/GMD-1815-78.pdf#page=6","Abrir facsímil")</f>
        <v>Abrir facsímil</v>
      </c>
      <c r="K3523" s="3" t="s">
        <v>74</v>
      </c>
    </row>
    <row r="3524" spans="1:11" ht="42" customHeight="1">
      <c r="A3524" s="2" t="s">
        <v>8696</v>
      </c>
      <c r="B3524" s="2" t="s">
        <v>8697</v>
      </c>
      <c r="C3524" s="2" t="s">
        <v>49</v>
      </c>
      <c r="D3524" s="2" t="s">
        <v>50</v>
      </c>
      <c r="E3524" s="5">
        <v>-30886</v>
      </c>
      <c r="F3524" s="3" t="s">
        <v>140</v>
      </c>
      <c r="G3524" s="3" t="s">
        <v>38</v>
      </c>
      <c r="H3524" s="2" t="s">
        <v>72</v>
      </c>
      <c r="I3524" s="2" t="s">
        <v>8698</v>
      </c>
      <c r="J3524" s="3" t="str">
        <f>HYPERLINK("https://www.boe.es/gazeta/dias/1815/06/08/pdfs/GMD-1815-69.pdf#page=8","Abrir facsímil")</f>
        <v>Abrir facsímil</v>
      </c>
      <c r="K3524" s="3" t="s">
        <v>74</v>
      </c>
    </row>
    <row r="3525" spans="1:11" ht="42" customHeight="1">
      <c r="A3525" s="2" t="s">
        <v>8699</v>
      </c>
      <c r="B3525" s="2" t="s">
        <v>8700</v>
      </c>
      <c r="C3525" s="2" t="s">
        <v>49</v>
      </c>
      <c r="D3525" s="2" t="s">
        <v>50</v>
      </c>
      <c r="E3525" s="5">
        <v>-30877</v>
      </c>
      <c r="F3525" s="3" t="s">
        <v>548</v>
      </c>
      <c r="G3525" s="3" t="s">
        <v>224</v>
      </c>
      <c r="H3525" s="2" t="s">
        <v>72</v>
      </c>
      <c r="I3525" s="2" t="s">
        <v>8701</v>
      </c>
      <c r="J3525" s="3" t="str">
        <f>HYPERLINK("https://www.boe.es/gazeta/dias/1815/06/17/pdfs/GMD-1815-73.pdf#page=9","Abrir facsímil")</f>
        <v>Abrir facsímil</v>
      </c>
      <c r="K3525" s="3" t="s">
        <v>74</v>
      </c>
    </row>
    <row r="3526" spans="1:11" ht="42" customHeight="1">
      <c r="A3526" s="2" t="s">
        <v>8702</v>
      </c>
      <c r="B3526" s="2" t="s">
        <v>8703</v>
      </c>
      <c r="C3526" s="2" t="s">
        <v>31</v>
      </c>
      <c r="D3526" s="2" t="s">
        <v>32</v>
      </c>
      <c r="E3526" s="5">
        <v>-31028</v>
      </c>
      <c r="F3526" s="3" t="s">
        <v>517</v>
      </c>
      <c r="G3526" s="3" t="s">
        <v>88</v>
      </c>
      <c r="H3526" s="2" t="s">
        <v>72</v>
      </c>
      <c r="I3526" s="2" t="s">
        <v>8704</v>
      </c>
      <c r="J3526" s="3" t="str">
        <f>HYPERLINK("https://www.boe.es/gazeta/dias/1815/01/17/pdfs/GMD-1815-7.pdf#page=10","Abrir facsímil")</f>
        <v>Abrir facsímil</v>
      </c>
      <c r="K3526" s="3" t="s">
        <v>74</v>
      </c>
    </row>
    <row r="3527" spans="1:11" ht="42" customHeight="1">
      <c r="A3527" s="2" t="s">
        <v>8705</v>
      </c>
      <c r="B3527" s="2" t="s">
        <v>8706</v>
      </c>
      <c r="C3527" s="2" t="s">
        <v>31</v>
      </c>
      <c r="D3527" s="2" t="s">
        <v>32</v>
      </c>
      <c r="E3527" s="5">
        <v>-31010</v>
      </c>
      <c r="F3527" s="3" t="s">
        <v>1098</v>
      </c>
      <c r="G3527" s="3" t="s">
        <v>8707</v>
      </c>
      <c r="H3527" s="2" t="s">
        <v>72</v>
      </c>
      <c r="I3527" s="2" t="s">
        <v>8708</v>
      </c>
      <c r="J3527" s="3" t="str">
        <f>HYPERLINK("https://www.boe.es/gazeta/dias/1815/02/04/pdfs/GMD-1815-15.pdf#page=7","Abrir facsímil")</f>
        <v>Abrir facsímil</v>
      </c>
      <c r="K3527" s="3" t="s">
        <v>74</v>
      </c>
    </row>
    <row r="3528" spans="1:11" ht="42" customHeight="1">
      <c r="A3528" s="2" t="s">
        <v>8709</v>
      </c>
      <c r="B3528" s="2" t="s">
        <v>8710</v>
      </c>
      <c r="C3528" s="2" t="s">
        <v>49</v>
      </c>
      <c r="D3528" s="2" t="s">
        <v>50</v>
      </c>
      <c r="E3528" s="5">
        <v>-30732</v>
      </c>
      <c r="F3528" s="3" t="s">
        <v>554</v>
      </c>
      <c r="G3528" s="3" t="s">
        <v>71</v>
      </c>
      <c r="H3528" s="2" t="s">
        <v>72</v>
      </c>
      <c r="I3528" s="2" t="s">
        <v>8711</v>
      </c>
      <c r="J3528" s="3" t="str">
        <f>HYPERLINK("https://www.boe.es/gazeta/dias/1815/11/09/pdfs/GMD-1815-140.pdf#page=7","Abrir facsímil")</f>
        <v>Abrir facsímil</v>
      </c>
      <c r="K3528" s="3" t="s">
        <v>74</v>
      </c>
    </row>
    <row r="3529" spans="1:11" ht="42" customHeight="1">
      <c r="A3529" s="2" t="s">
        <v>8712</v>
      </c>
      <c r="B3529" s="2" t="s">
        <v>8713</v>
      </c>
      <c r="C3529" s="2" t="s">
        <v>49</v>
      </c>
      <c r="D3529" s="2" t="s">
        <v>50</v>
      </c>
      <c r="E3529" s="5">
        <v>-30870</v>
      </c>
      <c r="F3529" s="3" t="s">
        <v>122</v>
      </c>
      <c r="G3529" s="3" t="s">
        <v>88</v>
      </c>
      <c r="H3529" s="2" t="s">
        <v>72</v>
      </c>
      <c r="I3529" s="2" t="s">
        <v>8714</v>
      </c>
      <c r="J3529" s="3" t="str">
        <f>HYPERLINK("https://www.boe.es/gazeta/dias/1815/06/24/pdfs/GMD-1815-76.pdf#page=10","Abrir facsímil")</f>
        <v>Abrir facsímil</v>
      </c>
      <c r="K3529" s="3" t="s">
        <v>74</v>
      </c>
    </row>
    <row r="3530" spans="1:11" ht="42" customHeight="1">
      <c r="A3530" s="2" t="s">
        <v>8715</v>
      </c>
      <c r="B3530" s="2" t="s">
        <v>8716</v>
      </c>
      <c r="C3530" s="2" t="s">
        <v>17</v>
      </c>
      <c r="D3530" s="2" t="s">
        <v>18</v>
      </c>
      <c r="E3530" s="5">
        <v>-30844</v>
      </c>
      <c r="F3530" s="3" t="s">
        <v>114</v>
      </c>
      <c r="G3530" s="3" t="s">
        <v>71</v>
      </c>
      <c r="H3530" s="2" t="s">
        <v>72</v>
      </c>
      <c r="I3530" s="2" t="s">
        <v>8717</v>
      </c>
      <c r="J3530" s="3" t="str">
        <f>HYPERLINK("https://www.boe.es/gazeta/dias/1815/07/20/pdfs/GMD-1815-89.pdf#page=7","Abrir facsímil")</f>
        <v>Abrir facsímil</v>
      </c>
      <c r="K3530" s="3" t="s">
        <v>74</v>
      </c>
    </row>
    <row r="3531" spans="1:11" ht="42" customHeight="1">
      <c r="A3531" s="2" t="s">
        <v>8718</v>
      </c>
      <c r="B3531" s="2" t="s">
        <v>8719</v>
      </c>
      <c r="C3531" s="2" t="s">
        <v>49</v>
      </c>
      <c r="D3531" s="2" t="s">
        <v>50</v>
      </c>
      <c r="E3531" s="5">
        <v>-31005</v>
      </c>
      <c r="F3531" s="3" t="s">
        <v>576</v>
      </c>
      <c r="G3531" s="3" t="s">
        <v>27</v>
      </c>
      <c r="H3531" s="2" t="s">
        <v>72</v>
      </c>
      <c r="I3531" s="2" t="s">
        <v>8720</v>
      </c>
      <c r="J3531" s="3" t="str">
        <f>HYPERLINK("https://www.boe.es/gazeta/dias/1815/02/09/pdfs/GMD-1815-17.pdf#page=6","Abrir facsímil")</f>
        <v>Abrir facsímil</v>
      </c>
      <c r="K3531" s="3" t="s">
        <v>74</v>
      </c>
    </row>
    <row r="3532" spans="1:11" ht="42" customHeight="1">
      <c r="A3532" s="2" t="s">
        <v>8721</v>
      </c>
      <c r="B3532" s="2" t="s">
        <v>8722</v>
      </c>
      <c r="C3532" s="2" t="s">
        <v>49</v>
      </c>
      <c r="D3532" s="2" t="s">
        <v>50</v>
      </c>
      <c r="E3532" s="5">
        <v>-30865</v>
      </c>
      <c r="F3532" s="3" t="s">
        <v>163</v>
      </c>
      <c r="G3532" s="3" t="s">
        <v>27</v>
      </c>
      <c r="H3532" s="2" t="s">
        <v>72</v>
      </c>
      <c r="I3532" s="2" t="s">
        <v>8723</v>
      </c>
      <c r="J3532" s="3" t="str">
        <f>HYPERLINK("https://www.boe.es/gazeta/dias/1815/06/29/pdfs/GMD-1815-78.pdf#page=6","Abrir facsímil")</f>
        <v>Abrir facsímil</v>
      </c>
      <c r="K3532" s="3" t="s">
        <v>74</v>
      </c>
    </row>
    <row r="3533" spans="1:11" ht="42" customHeight="1">
      <c r="A3533" s="2" t="s">
        <v>8724</v>
      </c>
      <c r="B3533" s="2" t="s">
        <v>8725</v>
      </c>
      <c r="C3533" s="2" t="s">
        <v>49</v>
      </c>
      <c r="D3533" s="2" t="s">
        <v>50</v>
      </c>
      <c r="E3533" s="5">
        <v>-30835</v>
      </c>
      <c r="F3533" s="3" t="s">
        <v>544</v>
      </c>
      <c r="G3533" s="3" t="s">
        <v>224</v>
      </c>
      <c r="H3533" s="2" t="s">
        <v>72</v>
      </c>
      <c r="I3533" s="2" t="s">
        <v>8726</v>
      </c>
      <c r="J3533" s="3" t="str">
        <f>HYPERLINK("https://www.boe.es/gazeta/dias/1815/07/29/pdfs/GMD-1815-93.pdf#page=9","Abrir facsímil")</f>
        <v>Abrir facsímil</v>
      </c>
      <c r="K3533" s="3" t="s">
        <v>74</v>
      </c>
    </row>
    <row r="3534" spans="1:11" ht="42" customHeight="1">
      <c r="A3534" s="2" t="s">
        <v>8724</v>
      </c>
      <c r="B3534" s="2" t="s">
        <v>8725</v>
      </c>
      <c r="C3534" s="2" t="s">
        <v>49</v>
      </c>
      <c r="D3534" s="2" t="s">
        <v>50</v>
      </c>
      <c r="E3534" s="5">
        <v>-30830</v>
      </c>
      <c r="F3534" s="3" t="s">
        <v>33</v>
      </c>
      <c r="G3534" s="3" t="s">
        <v>52</v>
      </c>
      <c r="H3534" s="2" t="s">
        <v>72</v>
      </c>
      <c r="I3534" s="2" t="s">
        <v>8727</v>
      </c>
      <c r="J3534" s="3" t="str">
        <f>HYPERLINK("https://www.boe.es/gazeta/dias/1815/08/03/pdfs/GMD-1815-95.pdf#page=11","Abrir facsímil")</f>
        <v>Abrir facsímil</v>
      </c>
      <c r="K3534" s="3" t="s">
        <v>74</v>
      </c>
    </row>
    <row r="3535" spans="1:11" ht="42" customHeight="1">
      <c r="A3535" s="2" t="s">
        <v>8728</v>
      </c>
      <c r="B3535" s="2" t="s">
        <v>8729</v>
      </c>
      <c r="C3535" s="2" t="s">
        <v>31</v>
      </c>
      <c r="D3535" s="2" t="s">
        <v>32</v>
      </c>
      <c r="E3535" s="5">
        <v>-30825</v>
      </c>
      <c r="F3535" s="3" t="s">
        <v>669</v>
      </c>
      <c r="G3535" s="3" t="s">
        <v>52</v>
      </c>
      <c r="H3535" s="2" t="s">
        <v>72</v>
      </c>
      <c r="I3535" s="2" t="s">
        <v>8730</v>
      </c>
      <c r="J3535" s="3" t="str">
        <f>HYPERLINK("https://www.boe.es/gazeta/dias/1815/08/08/pdfs/GMD-1815-97.pdf#page=11","Abrir facsímil")</f>
        <v>Abrir facsímil</v>
      </c>
      <c r="K3535" s="3" t="s">
        <v>74</v>
      </c>
    </row>
    <row r="3536" spans="1:11" ht="42" customHeight="1">
      <c r="A3536" s="2" t="s">
        <v>8731</v>
      </c>
      <c r="B3536" s="2" t="s">
        <v>8732</v>
      </c>
      <c r="C3536" s="2" t="s">
        <v>49</v>
      </c>
      <c r="D3536" s="2" t="s">
        <v>50</v>
      </c>
      <c r="E3536" s="5">
        <v>-30865</v>
      </c>
      <c r="F3536" s="3" t="s">
        <v>163</v>
      </c>
      <c r="G3536" s="3" t="s">
        <v>71</v>
      </c>
      <c r="H3536" s="2" t="s">
        <v>72</v>
      </c>
      <c r="I3536" s="2" t="s">
        <v>8733</v>
      </c>
      <c r="J3536" s="3" t="str">
        <f>HYPERLINK("https://www.boe.es/gazeta/dias/1815/06/29/pdfs/GMD-1815-78.pdf#page=7","Abrir facsímil")</f>
        <v>Abrir facsímil</v>
      </c>
      <c r="K3536" s="3" t="s">
        <v>74</v>
      </c>
    </row>
    <row r="3537" spans="1:11" ht="42" customHeight="1">
      <c r="A3537" s="2" t="s">
        <v>8734</v>
      </c>
      <c r="B3537" s="2" t="s">
        <v>8735</v>
      </c>
      <c r="C3537" s="2" t="s">
        <v>49</v>
      </c>
      <c r="D3537" s="2" t="s">
        <v>50</v>
      </c>
      <c r="E3537" s="5">
        <v>-30865</v>
      </c>
      <c r="F3537" s="3" t="s">
        <v>163</v>
      </c>
      <c r="G3537" s="3" t="s">
        <v>38</v>
      </c>
      <c r="H3537" s="2" t="s">
        <v>72</v>
      </c>
      <c r="I3537" s="2" t="s">
        <v>8736</v>
      </c>
      <c r="J3537" s="3" t="str">
        <f>HYPERLINK("https://www.boe.es/gazeta/dias/1815/06/29/pdfs/GMD-1815-78.pdf#page=8","Abrir facsímil")</f>
        <v>Abrir facsímil</v>
      </c>
      <c r="K3537" s="3" t="s">
        <v>74</v>
      </c>
    </row>
    <row r="3538" spans="1:11" ht="42" customHeight="1">
      <c r="A3538" s="2" t="s">
        <v>8737</v>
      </c>
      <c r="B3538" s="2" t="s">
        <v>8737</v>
      </c>
      <c r="C3538" s="2" t="s">
        <v>31</v>
      </c>
      <c r="D3538" s="2" t="s">
        <v>32</v>
      </c>
      <c r="E3538" s="5">
        <v>-30832</v>
      </c>
      <c r="F3538" s="3" t="s">
        <v>266</v>
      </c>
      <c r="G3538" s="3" t="s">
        <v>57</v>
      </c>
      <c r="H3538" s="2" t="s">
        <v>72</v>
      </c>
      <c r="I3538" s="2" t="s">
        <v>8738</v>
      </c>
      <c r="J3538" s="3" t="str">
        <f>HYPERLINK("https://www.boe.es/gazeta/dias/1815/08/01/pdfs/GMD-1815-94.pdf#page=5","Abrir facsímil")</f>
        <v>Abrir facsímil</v>
      </c>
      <c r="K3538" s="3" t="s">
        <v>74</v>
      </c>
    </row>
    <row r="3539" spans="1:11" ht="42" customHeight="1">
      <c r="A3539" s="2" t="s">
        <v>8739</v>
      </c>
      <c r="B3539" s="2" t="s">
        <v>8740</v>
      </c>
      <c r="C3539" s="2" t="s">
        <v>49</v>
      </c>
      <c r="D3539" s="2" t="s">
        <v>50</v>
      </c>
      <c r="E3539" s="5">
        <v>-30767</v>
      </c>
      <c r="F3539" s="3" t="s">
        <v>228</v>
      </c>
      <c r="G3539" s="3" t="s">
        <v>88</v>
      </c>
      <c r="H3539" s="2" t="s">
        <v>21</v>
      </c>
      <c r="I3539" s="2" t="s">
        <v>8741</v>
      </c>
      <c r="J3539" s="3" t="str">
        <f>HYPERLINK("https://www.boe.es/gazeta/dias/1815/10/05/pdfs/GMD-1815-125.pdf#page=10","Abrir facsímil")</f>
        <v>Abrir facsímil</v>
      </c>
      <c r="K3539" s="3" t="s">
        <v>23</v>
      </c>
    </row>
    <row r="3540" spans="1:11" ht="42" customHeight="1">
      <c r="A3540" s="2" t="s">
        <v>8742</v>
      </c>
      <c r="B3540" s="2" t="s">
        <v>8743</v>
      </c>
      <c r="C3540" s="2" t="s">
        <v>31</v>
      </c>
      <c r="D3540" s="2" t="s">
        <v>32</v>
      </c>
      <c r="E3540" s="5">
        <v>-30697</v>
      </c>
      <c r="F3540" s="3" t="s">
        <v>381</v>
      </c>
      <c r="G3540" s="3" t="s">
        <v>5896</v>
      </c>
      <c r="H3540" s="2" t="s">
        <v>72</v>
      </c>
      <c r="I3540" s="2" t="s">
        <v>8744</v>
      </c>
      <c r="J3540" s="3" t="str">
        <f>HYPERLINK("https://www.boe.es/gazeta/dias/1815/12/14/pdfs/GMD-1815-155.pdf#page=6","Abrir facsímil")</f>
        <v>Abrir facsímil</v>
      </c>
      <c r="K3540" s="3" t="s">
        <v>74</v>
      </c>
    </row>
    <row r="3541" spans="1:11" ht="42" customHeight="1">
      <c r="A3541" s="2" t="s">
        <v>8745</v>
      </c>
      <c r="B3541" s="2" t="s">
        <v>8746</v>
      </c>
      <c r="C3541" s="2" t="s">
        <v>49</v>
      </c>
      <c r="D3541" s="2" t="s">
        <v>50</v>
      </c>
      <c r="E3541" s="5">
        <v>-30870</v>
      </c>
      <c r="F3541" s="3" t="s">
        <v>122</v>
      </c>
      <c r="G3541" s="3" t="s">
        <v>88</v>
      </c>
      <c r="H3541" s="2" t="s">
        <v>72</v>
      </c>
      <c r="I3541" s="2" t="s">
        <v>8747</v>
      </c>
      <c r="J3541" s="3" t="str">
        <f>HYPERLINK("https://www.boe.es/gazeta/dias/1815/06/24/pdfs/GMD-1815-76.pdf#page=10","Abrir facsímil")</f>
        <v>Abrir facsímil</v>
      </c>
      <c r="K3541" s="3" t="s">
        <v>74</v>
      </c>
    </row>
    <row r="3542" spans="1:11" ht="42" customHeight="1">
      <c r="A3542" s="2" t="s">
        <v>8748</v>
      </c>
      <c r="B3542" s="2" t="s">
        <v>8749</v>
      </c>
      <c r="C3542" s="2" t="s">
        <v>17</v>
      </c>
      <c r="D3542" s="2" t="s">
        <v>18</v>
      </c>
      <c r="E3542" s="5">
        <v>-30991</v>
      </c>
      <c r="F3542" s="3" t="s">
        <v>318</v>
      </c>
      <c r="G3542" s="3" t="s">
        <v>8750</v>
      </c>
      <c r="H3542" s="2" t="s">
        <v>72</v>
      </c>
      <c r="I3542" s="2" t="s">
        <v>8751</v>
      </c>
      <c r="J3542" s="3" t="str">
        <f>HYPERLINK("https://www.boe.es/gazeta/dias/1815/02/23/pdfs/GMD-1815-23.pdf#page=4","Abrir facsímil")</f>
        <v>Abrir facsímil</v>
      </c>
      <c r="K3542" s="3" t="s">
        <v>74</v>
      </c>
    </row>
    <row r="3543" spans="1:11" ht="42" customHeight="1">
      <c r="A3543" s="2" t="s">
        <v>8752</v>
      </c>
      <c r="B3543" s="2" t="s">
        <v>8753</v>
      </c>
      <c r="C3543" s="2" t="s">
        <v>17</v>
      </c>
      <c r="D3543" s="2" t="s">
        <v>18</v>
      </c>
      <c r="E3543" s="5">
        <v>-30993</v>
      </c>
      <c r="F3543" s="3" t="s">
        <v>66</v>
      </c>
      <c r="G3543" s="3" t="s">
        <v>57</v>
      </c>
      <c r="H3543" s="2" t="s">
        <v>72</v>
      </c>
      <c r="I3543" s="2" t="s">
        <v>8754</v>
      </c>
      <c r="J3543" s="3" t="str">
        <f>HYPERLINK("https://www.boe.es/gazeta/dias/1815/02/21/pdfs/GMD-1815-22.pdf#page=5","Abrir facsímil")</f>
        <v>Abrir facsímil</v>
      </c>
      <c r="K3543" s="3" t="s">
        <v>74</v>
      </c>
    </row>
    <row r="3544" spans="1:11" ht="42" customHeight="1">
      <c r="A3544" s="2" t="s">
        <v>8755</v>
      </c>
      <c r="B3544" s="2" t="s">
        <v>8756</v>
      </c>
      <c r="C3544" s="2" t="s">
        <v>81</v>
      </c>
      <c r="D3544" s="2" t="s">
        <v>50</v>
      </c>
      <c r="E3544" s="5">
        <v>-30877</v>
      </c>
      <c r="F3544" s="3" t="s">
        <v>548</v>
      </c>
      <c r="G3544" s="3" t="s">
        <v>276</v>
      </c>
      <c r="H3544" s="2" t="s">
        <v>72</v>
      </c>
      <c r="I3544" s="2" t="s">
        <v>8757</v>
      </c>
      <c r="J3544" s="3" t="str">
        <f>HYPERLINK("https://www.boe.es/gazeta/dias/1815/06/17/pdfs/GMD-1815-73.pdf#page=12","Abrir facsímil")</f>
        <v>Abrir facsímil</v>
      </c>
      <c r="K3544" s="3" t="s">
        <v>74</v>
      </c>
    </row>
    <row r="3545" spans="1:11" ht="42" customHeight="1">
      <c r="A3545" s="2" t="s">
        <v>8758</v>
      </c>
      <c r="B3545" s="2" t="s">
        <v>8759</v>
      </c>
      <c r="C3545" s="2" t="s">
        <v>131</v>
      </c>
      <c r="D3545" s="2" t="s">
        <v>50</v>
      </c>
      <c r="E3545" s="5">
        <v>-30807</v>
      </c>
      <c r="F3545" s="3" t="s">
        <v>586</v>
      </c>
      <c r="G3545" s="3" t="s">
        <v>662</v>
      </c>
      <c r="H3545" s="2" t="s">
        <v>72</v>
      </c>
      <c r="I3545" s="2" t="s">
        <v>8760</v>
      </c>
      <c r="J3545" s="3" t="str">
        <f>HYPERLINK("https://www.boe.es/gazeta/dias/1815/08/26/pdfs/GMD-1815-105.pdf#page=7","Abrir facsímil")</f>
        <v>Abrir facsímil</v>
      </c>
      <c r="K3545" s="3" t="s">
        <v>74</v>
      </c>
    </row>
    <row r="3546" spans="1:11" ht="42" customHeight="1">
      <c r="A3546" s="2" t="s">
        <v>8761</v>
      </c>
      <c r="B3546" s="2" t="s">
        <v>8762</v>
      </c>
      <c r="C3546" s="2" t="s">
        <v>31</v>
      </c>
      <c r="D3546" s="2" t="s">
        <v>32</v>
      </c>
      <c r="E3546" s="5">
        <v>-30776</v>
      </c>
      <c r="F3546" s="3" t="s">
        <v>118</v>
      </c>
      <c r="G3546" s="3" t="s">
        <v>71</v>
      </c>
      <c r="H3546" s="2" t="s">
        <v>21</v>
      </c>
      <c r="I3546" s="2" t="s">
        <v>8763</v>
      </c>
      <c r="J3546" s="3" t="str">
        <f>HYPERLINK("https://www.boe.es/gazeta/dias/1815/09/26/pdfs/GMD-1815-119.pdf#page=7","Abrir facsímil")</f>
        <v>Abrir facsímil</v>
      </c>
      <c r="K3546" s="3" t="s">
        <v>23</v>
      </c>
    </row>
    <row r="3547" spans="1:11" ht="42" customHeight="1">
      <c r="A3547" s="2" t="s">
        <v>8764</v>
      </c>
      <c r="B3547" s="2" t="s">
        <v>8765</v>
      </c>
      <c r="C3547" s="2" t="s">
        <v>195</v>
      </c>
      <c r="D3547" s="2" t="s">
        <v>50</v>
      </c>
      <c r="E3547" s="5">
        <v>-30930</v>
      </c>
      <c r="F3547" s="3" t="s">
        <v>51</v>
      </c>
      <c r="G3547" s="3" t="s">
        <v>71</v>
      </c>
      <c r="H3547" s="2" t="s">
        <v>21</v>
      </c>
      <c r="I3547" s="2" t="s">
        <v>8766</v>
      </c>
      <c r="J3547" s="3" t="str">
        <f>HYPERLINK("https://www.boe.es/gazeta/dias/1815/04/25/pdfs/GMD-1815-50.pdf#page=7","Abrir facsímil")</f>
        <v>Abrir facsímil</v>
      </c>
      <c r="K3547" s="3" t="s">
        <v>23</v>
      </c>
    </row>
    <row r="3548" spans="1:11" ht="42" customHeight="1">
      <c r="A3548" s="2" t="s">
        <v>8767</v>
      </c>
      <c r="B3548" s="2" t="s">
        <v>8768</v>
      </c>
      <c r="C3548" s="2" t="s">
        <v>195</v>
      </c>
      <c r="D3548" s="2" t="s">
        <v>50</v>
      </c>
      <c r="E3548" s="5">
        <v>-30874</v>
      </c>
      <c r="F3548" s="3" t="s">
        <v>208</v>
      </c>
      <c r="G3548" s="3" t="s">
        <v>38</v>
      </c>
      <c r="H3548" s="2" t="s">
        <v>72</v>
      </c>
      <c r="I3548" s="2" t="s">
        <v>8769</v>
      </c>
      <c r="J3548" s="3" t="str">
        <f>HYPERLINK("https://www.boe.es/gazeta/dias/1815/06/20/pdfs/GMD-1815-74.pdf#page=8","Abrir facsímil")</f>
        <v>Abrir facsímil</v>
      </c>
      <c r="K3548" s="3" t="s">
        <v>74</v>
      </c>
    </row>
    <row r="3549" spans="1:11" ht="42" customHeight="1">
      <c r="A3549" s="2" t="s">
        <v>8770</v>
      </c>
      <c r="B3549" s="2" t="s">
        <v>8771</v>
      </c>
      <c r="C3549" s="2" t="s">
        <v>17</v>
      </c>
      <c r="D3549" s="2" t="s">
        <v>18</v>
      </c>
      <c r="E3549" s="5">
        <v>-30919</v>
      </c>
      <c r="F3549" s="3" t="s">
        <v>792</v>
      </c>
      <c r="G3549" s="3" t="s">
        <v>6476</v>
      </c>
      <c r="H3549" s="2" t="s">
        <v>72</v>
      </c>
      <c r="I3549" s="2" t="s">
        <v>8772</v>
      </c>
      <c r="J3549" s="3" t="str">
        <f>HYPERLINK("https://www.boe.es/gazeta/dias/1815/05/06/pdfs/GMD-1815-55.pdf#page=7","Abrir facsímil")</f>
        <v>Abrir facsímil</v>
      </c>
      <c r="K3549" s="3" t="s">
        <v>74</v>
      </c>
    </row>
    <row r="3550" spans="1:11" ht="42" customHeight="1">
      <c r="A3550" s="2" t="s">
        <v>8773</v>
      </c>
      <c r="B3550" s="2" t="s">
        <v>8774</v>
      </c>
      <c r="C3550" s="2" t="s">
        <v>195</v>
      </c>
      <c r="D3550" s="2" t="s">
        <v>50</v>
      </c>
      <c r="E3550" s="5">
        <v>-30888</v>
      </c>
      <c r="F3550" s="3" t="s">
        <v>368</v>
      </c>
      <c r="G3550" s="3" t="s">
        <v>38</v>
      </c>
      <c r="H3550" s="2" t="s">
        <v>21</v>
      </c>
      <c r="I3550" s="2" t="s">
        <v>8775</v>
      </c>
      <c r="J3550" s="3" t="str">
        <f>HYPERLINK("https://www.boe.es/gazeta/dias/1815/06/06/pdfs/GMD-1815-68.pdf#page=8","Abrir facsímil")</f>
        <v>Abrir facsímil</v>
      </c>
      <c r="K3550" s="3" t="s">
        <v>23</v>
      </c>
    </row>
    <row r="3551" spans="1:11" ht="42" customHeight="1">
      <c r="A3551" s="2" t="s">
        <v>8776</v>
      </c>
      <c r="B3551" s="2" t="s">
        <v>8777</v>
      </c>
      <c r="C3551" s="2" t="s">
        <v>17</v>
      </c>
      <c r="D3551" s="2" t="s">
        <v>18</v>
      </c>
      <c r="E3551" s="5">
        <v>-30982</v>
      </c>
      <c r="F3551" s="3" t="s">
        <v>220</v>
      </c>
      <c r="G3551" s="3" t="s">
        <v>71</v>
      </c>
      <c r="H3551" s="2" t="s">
        <v>72</v>
      </c>
      <c r="I3551" s="2" t="s">
        <v>8778</v>
      </c>
      <c r="J3551" s="3" t="str">
        <f>HYPERLINK("https://www.boe.es/gazeta/dias/1815/03/04/pdfs/GMD-1815-27.pdf#page=7","Abrir facsímil")</f>
        <v>Abrir facsímil</v>
      </c>
      <c r="K3551" s="3" t="s">
        <v>74</v>
      </c>
    </row>
    <row r="3552" spans="1:11" ht="42" customHeight="1">
      <c r="A3552" s="2" t="s">
        <v>8776</v>
      </c>
      <c r="B3552" s="2" t="s">
        <v>8777</v>
      </c>
      <c r="C3552" s="2" t="s">
        <v>31</v>
      </c>
      <c r="D3552" s="2" t="s">
        <v>32</v>
      </c>
      <c r="E3552" s="5">
        <v>-30942</v>
      </c>
      <c r="F3552" s="3" t="s">
        <v>730</v>
      </c>
      <c r="G3552" s="3" t="s">
        <v>71</v>
      </c>
      <c r="H3552" s="2" t="s">
        <v>72</v>
      </c>
      <c r="I3552" s="2" t="s">
        <v>8779</v>
      </c>
      <c r="J3552" s="3" t="str">
        <f>HYPERLINK("https://www.boe.es/gazeta/dias/1815/04/13/pdfs/GMD-1815-45.pdf#page=7","Abrir facsímil")</f>
        <v>Abrir facsímil</v>
      </c>
      <c r="K3552" s="3" t="s">
        <v>74</v>
      </c>
    </row>
    <row r="3553" spans="1:11" ht="42" customHeight="1">
      <c r="A3553" s="2" t="s">
        <v>8780</v>
      </c>
      <c r="B3553" s="2" t="s">
        <v>8780</v>
      </c>
      <c r="C3553" s="2" t="s">
        <v>31</v>
      </c>
      <c r="D3553" s="2" t="s">
        <v>32</v>
      </c>
      <c r="E3553" s="5">
        <v>-30998</v>
      </c>
      <c r="F3553" s="3" t="s">
        <v>539</v>
      </c>
      <c r="G3553" s="3" t="s">
        <v>3441</v>
      </c>
      <c r="H3553" s="2" t="s">
        <v>72</v>
      </c>
      <c r="I3553" s="2" t="s">
        <v>8781</v>
      </c>
      <c r="J3553" s="3" t="str">
        <f>HYPERLINK("https://www.boe.es/gazeta/dias/1815/02/16/pdfs/GMD-1815-20.pdf#page=2","Abrir facsímil")</f>
        <v>Abrir facsímil</v>
      </c>
      <c r="K3553" s="3" t="s">
        <v>74</v>
      </c>
    </row>
    <row r="3554" spans="1:11" ht="42" customHeight="1">
      <c r="A3554" s="2" t="s">
        <v>8780</v>
      </c>
      <c r="B3554" s="2" t="s">
        <v>8780</v>
      </c>
      <c r="C3554" s="2" t="s">
        <v>897</v>
      </c>
      <c r="D3554" s="2" t="s">
        <v>50</v>
      </c>
      <c r="E3554" s="5">
        <v>-30863</v>
      </c>
      <c r="F3554" s="3" t="s">
        <v>110</v>
      </c>
      <c r="G3554" s="3" t="s">
        <v>71</v>
      </c>
      <c r="H3554" s="2" t="s">
        <v>72</v>
      </c>
      <c r="I3554" s="2" t="s">
        <v>8782</v>
      </c>
      <c r="J3554" s="3" t="str">
        <f>HYPERLINK("https://www.boe.es/gazeta/dias/1815/07/01/pdfs/GMD-1815-79.pdf#page=7","Abrir facsímil")</f>
        <v>Abrir facsímil</v>
      </c>
      <c r="K3554" s="3" t="s">
        <v>74</v>
      </c>
    </row>
    <row r="3555" spans="1:11" ht="42" customHeight="1">
      <c r="A3555" s="2" t="s">
        <v>8783</v>
      </c>
      <c r="B3555" s="2" t="s">
        <v>8784</v>
      </c>
      <c r="C3555" s="2" t="s">
        <v>49</v>
      </c>
      <c r="D3555" s="2" t="s">
        <v>50</v>
      </c>
      <c r="E3555" s="5">
        <v>-30907</v>
      </c>
      <c r="F3555" s="3" t="s">
        <v>301</v>
      </c>
      <c r="G3555" s="3" t="s">
        <v>3011</v>
      </c>
      <c r="H3555" s="2" t="s">
        <v>21</v>
      </c>
      <c r="I3555" s="2" t="s">
        <v>8785</v>
      </c>
      <c r="J3555" s="3" t="str">
        <f>HYPERLINK("https://www.boe.es/gazeta/dias/1815/05/18/pdfs/GMD-1815-60.pdf#page=8","Abrir facsímil")</f>
        <v>Abrir facsímil</v>
      </c>
      <c r="K3555" s="3" t="s">
        <v>23</v>
      </c>
    </row>
    <row r="3556" spans="1:11" ht="42" customHeight="1">
      <c r="A3556" s="2" t="s">
        <v>8786</v>
      </c>
      <c r="B3556" s="2" t="s">
        <v>8786</v>
      </c>
      <c r="C3556" s="2" t="s">
        <v>17</v>
      </c>
      <c r="D3556" s="2" t="s">
        <v>18</v>
      </c>
      <c r="E3556" s="5">
        <v>-30984</v>
      </c>
      <c r="F3556" s="3" t="s">
        <v>748</v>
      </c>
      <c r="G3556" s="3" t="s">
        <v>4039</v>
      </c>
      <c r="H3556" s="2" t="s">
        <v>72</v>
      </c>
      <c r="I3556" s="2" t="s">
        <v>8787</v>
      </c>
      <c r="J3556" s="3" t="str">
        <f>HYPERLINK("https://www.boe.es/gazeta/dias/1815/03/02/pdfs/GMD-1815-26.pdf#page=7","Abrir facsímil")</f>
        <v>Abrir facsímil</v>
      </c>
      <c r="K3556" s="3" t="s">
        <v>74</v>
      </c>
    </row>
    <row r="3557" spans="1:11" ht="42" customHeight="1">
      <c r="A3557" s="2" t="s">
        <v>8786</v>
      </c>
      <c r="B3557" s="2" t="s">
        <v>8786</v>
      </c>
      <c r="C3557" s="2" t="s">
        <v>195</v>
      </c>
      <c r="D3557" s="2" t="s">
        <v>50</v>
      </c>
      <c r="E3557" s="5">
        <v>-30872</v>
      </c>
      <c r="F3557" s="3" t="s">
        <v>167</v>
      </c>
      <c r="G3557" s="3" t="s">
        <v>224</v>
      </c>
      <c r="H3557" s="2" t="s">
        <v>72</v>
      </c>
      <c r="I3557" s="2" t="s">
        <v>8788</v>
      </c>
      <c r="J3557" s="3" t="str">
        <f>HYPERLINK("https://www.boe.es/gazeta/dias/1815/06/22/pdfs/GMD-1815-75.pdf#page=9","Abrir facsímil")</f>
        <v>Abrir facsímil</v>
      </c>
      <c r="K3557" s="3" t="s">
        <v>74</v>
      </c>
    </row>
    <row r="3558" spans="1:11" ht="42" customHeight="1">
      <c r="A3558" s="2" t="s">
        <v>8786</v>
      </c>
      <c r="B3558" s="2" t="s">
        <v>8786</v>
      </c>
      <c r="C3558" s="2" t="s">
        <v>49</v>
      </c>
      <c r="D3558" s="2" t="s">
        <v>50</v>
      </c>
      <c r="E3558" s="5">
        <v>-30853</v>
      </c>
      <c r="F3558" s="3" t="s">
        <v>1473</v>
      </c>
      <c r="G3558" s="3" t="s">
        <v>3505</v>
      </c>
      <c r="H3558" s="2" t="s">
        <v>72</v>
      </c>
      <c r="I3558" s="2" t="s">
        <v>8789</v>
      </c>
      <c r="J3558" s="3" t="str">
        <f>HYPERLINK("https://www.boe.es/gazeta/dias/1815/07/11/pdfs/GMD-1815-85.pdf#page=4","Abrir facsímil")</f>
        <v>Abrir facsímil</v>
      </c>
      <c r="K3558" s="3" t="s">
        <v>74</v>
      </c>
    </row>
    <row r="3559" spans="1:11" ht="42" customHeight="1">
      <c r="A3559" s="2" t="s">
        <v>8790</v>
      </c>
      <c r="B3559" s="2" t="s">
        <v>8791</v>
      </c>
      <c r="C3559" s="2" t="s">
        <v>49</v>
      </c>
      <c r="D3559" s="2" t="s">
        <v>50</v>
      </c>
      <c r="E3559" s="5">
        <v>-30839</v>
      </c>
      <c r="F3559" s="3" t="s">
        <v>616</v>
      </c>
      <c r="G3559" s="3" t="s">
        <v>71</v>
      </c>
      <c r="H3559" s="2" t="s">
        <v>72</v>
      </c>
      <c r="I3559" s="2" t="s">
        <v>8792</v>
      </c>
      <c r="J3559" s="3" t="str">
        <f>HYPERLINK("https://www.boe.es/gazeta/dias/1815/07/25/pdfs/GMD-1815-91.pdf#page=7","Abrir facsímil")</f>
        <v>Abrir facsímil</v>
      </c>
      <c r="K3559" s="3" t="s">
        <v>74</v>
      </c>
    </row>
    <row r="3560" spans="1:11" ht="42" customHeight="1">
      <c r="A3560" s="2" t="s">
        <v>8793</v>
      </c>
      <c r="B3560" s="2" t="s">
        <v>8794</v>
      </c>
      <c r="C3560" s="2" t="s">
        <v>17</v>
      </c>
      <c r="D3560" s="2" t="s">
        <v>18</v>
      </c>
      <c r="E3560" s="5">
        <v>-31038</v>
      </c>
      <c r="F3560" s="3" t="s">
        <v>395</v>
      </c>
      <c r="G3560" s="3" t="s">
        <v>27</v>
      </c>
      <c r="H3560" s="2" t="s">
        <v>72</v>
      </c>
      <c r="I3560" s="2" t="s">
        <v>8795</v>
      </c>
      <c r="J3560" s="3" t="str">
        <f>HYPERLINK("https://www.boe.es/gazeta/dias/1815/01/07/pdfs/GMD-1815-3.pdf#page=6","Abrir facsímil")</f>
        <v>Abrir facsímil</v>
      </c>
      <c r="K3560" s="3" t="s">
        <v>74</v>
      </c>
    </row>
    <row r="3561" spans="1:11" ht="42" customHeight="1">
      <c r="A3561" s="2" t="s">
        <v>8793</v>
      </c>
      <c r="B3561" s="2" t="s">
        <v>8794</v>
      </c>
      <c r="C3561" s="2" t="s">
        <v>195</v>
      </c>
      <c r="D3561" s="2" t="s">
        <v>50</v>
      </c>
      <c r="E3561" s="5">
        <v>-31012</v>
      </c>
      <c r="F3561" s="3" t="s">
        <v>529</v>
      </c>
      <c r="G3561" s="3" t="s">
        <v>57</v>
      </c>
      <c r="H3561" s="2" t="s">
        <v>72</v>
      </c>
      <c r="I3561" s="2" t="s">
        <v>8796</v>
      </c>
      <c r="J3561" s="3" t="str">
        <f>HYPERLINK("https://www.boe.es/gazeta/dias/1815/02/02/pdfs/GMD-1815-14.pdf#page=5","Abrir facsímil")</f>
        <v>Abrir facsímil</v>
      </c>
      <c r="K3561" s="3" t="s">
        <v>74</v>
      </c>
    </row>
    <row r="3562" spans="1:11" ht="42" customHeight="1">
      <c r="A3562" s="2" t="s">
        <v>8797</v>
      </c>
      <c r="B3562" s="2" t="s">
        <v>8798</v>
      </c>
      <c r="C3562" s="2" t="s">
        <v>61</v>
      </c>
      <c r="D3562" s="2" t="s">
        <v>50</v>
      </c>
      <c r="E3562" s="5">
        <v>-30697</v>
      </c>
      <c r="F3562" s="3" t="s">
        <v>381</v>
      </c>
      <c r="G3562" s="3" t="s">
        <v>5896</v>
      </c>
      <c r="H3562" s="2" t="s">
        <v>72</v>
      </c>
      <c r="I3562" s="2" t="s">
        <v>8799</v>
      </c>
      <c r="J3562" s="3" t="str">
        <f>HYPERLINK("https://www.boe.es/gazeta/dias/1815/12/14/pdfs/GMD-1815-155.pdf#page=6","Abrir facsímil")</f>
        <v>Abrir facsímil</v>
      </c>
      <c r="K3562" s="3" t="s">
        <v>74</v>
      </c>
    </row>
    <row r="3563" spans="1:11" ht="42" customHeight="1">
      <c r="A3563" s="2" t="s">
        <v>8800</v>
      </c>
      <c r="B3563" s="2" t="s">
        <v>8801</v>
      </c>
      <c r="C3563" s="2" t="s">
        <v>49</v>
      </c>
      <c r="D3563" s="2" t="s">
        <v>50</v>
      </c>
      <c r="E3563" s="5">
        <v>-30886</v>
      </c>
      <c r="F3563" s="3" t="s">
        <v>140</v>
      </c>
      <c r="G3563" s="3" t="s">
        <v>224</v>
      </c>
      <c r="H3563" s="2" t="s">
        <v>72</v>
      </c>
      <c r="I3563" s="2" t="s">
        <v>8802</v>
      </c>
      <c r="J3563" s="3" t="str">
        <f>HYPERLINK("https://www.boe.es/gazeta/dias/1815/06/08/pdfs/GMD-1815-69.pdf#page=9","Abrir facsímil")</f>
        <v>Abrir facsímil</v>
      </c>
      <c r="K3563" s="3" t="s">
        <v>74</v>
      </c>
    </row>
    <row r="3564" spans="1:11" ht="42" customHeight="1">
      <c r="A3564" s="2" t="s">
        <v>8803</v>
      </c>
      <c r="B3564" s="2" t="s">
        <v>8804</v>
      </c>
      <c r="C3564" s="2" t="s">
        <v>31</v>
      </c>
      <c r="D3564" s="2" t="s">
        <v>32</v>
      </c>
      <c r="E3564" s="5">
        <v>-30986</v>
      </c>
      <c r="F3564" s="3" t="s">
        <v>46</v>
      </c>
      <c r="G3564" s="3" t="s">
        <v>224</v>
      </c>
      <c r="H3564" s="2" t="s">
        <v>72</v>
      </c>
      <c r="I3564" s="2" t="s">
        <v>8805</v>
      </c>
      <c r="J3564" s="3" t="str">
        <f>HYPERLINK("https://www.boe.es/gazeta/dias/1815/02/28/pdfs/GMD-1815-25.pdf#page=9","Abrir facsímil")</f>
        <v>Abrir facsímil</v>
      </c>
      <c r="K3564" s="3" t="s">
        <v>74</v>
      </c>
    </row>
    <row r="3565" spans="1:11" ht="42" customHeight="1">
      <c r="A3565" s="2" t="s">
        <v>8806</v>
      </c>
      <c r="B3565" s="2" t="s">
        <v>8806</v>
      </c>
      <c r="C3565" s="2" t="s">
        <v>61</v>
      </c>
      <c r="D3565" s="2" t="s">
        <v>50</v>
      </c>
      <c r="E3565" s="5">
        <v>-30886</v>
      </c>
      <c r="F3565" s="3" t="s">
        <v>140</v>
      </c>
      <c r="G3565" s="3" t="s">
        <v>52</v>
      </c>
      <c r="H3565" s="2" t="s">
        <v>72</v>
      </c>
      <c r="I3565" s="2" t="s">
        <v>8807</v>
      </c>
      <c r="J3565" s="3" t="str">
        <f>HYPERLINK("https://www.boe.es/gazeta/dias/1815/06/08/pdfs/GMD-1815-69.pdf#page=11","Abrir facsímil")</f>
        <v>Abrir facsímil</v>
      </c>
      <c r="K3565" s="3" t="s">
        <v>74</v>
      </c>
    </row>
    <row r="3566" spans="1:11" ht="42" customHeight="1">
      <c r="A3566" s="2" t="s">
        <v>8808</v>
      </c>
      <c r="B3566" s="2" t="s">
        <v>8808</v>
      </c>
      <c r="C3566" s="2" t="s">
        <v>31</v>
      </c>
      <c r="D3566" s="2" t="s">
        <v>32</v>
      </c>
      <c r="E3566" s="5">
        <v>-30979</v>
      </c>
      <c r="F3566" s="3" t="s">
        <v>56</v>
      </c>
      <c r="G3566" s="3" t="s">
        <v>57</v>
      </c>
      <c r="H3566" s="2" t="s">
        <v>72</v>
      </c>
      <c r="I3566" s="2" t="s">
        <v>8809</v>
      </c>
      <c r="J3566" s="3" t="str">
        <f>HYPERLINK("https://www.boe.es/gazeta/dias/1815/03/07/pdfs/GMD-1815-28.pdf#page=5","Abrir facsímil")</f>
        <v>Abrir facsímil</v>
      </c>
      <c r="K3566" s="3" t="s">
        <v>74</v>
      </c>
    </row>
    <row r="3567" spans="1:11" ht="42" customHeight="1">
      <c r="A3567" s="2" t="s">
        <v>8808</v>
      </c>
      <c r="B3567" s="2" t="s">
        <v>8808</v>
      </c>
      <c r="C3567" s="2" t="s">
        <v>49</v>
      </c>
      <c r="D3567" s="2" t="s">
        <v>50</v>
      </c>
      <c r="E3567" s="5">
        <v>-30886</v>
      </c>
      <c r="F3567" s="3" t="s">
        <v>140</v>
      </c>
      <c r="G3567" s="3" t="s">
        <v>38</v>
      </c>
      <c r="H3567" s="2" t="s">
        <v>72</v>
      </c>
      <c r="I3567" s="2" t="s">
        <v>8810</v>
      </c>
      <c r="J3567" s="3" t="str">
        <f>HYPERLINK("https://www.boe.es/gazeta/dias/1815/06/08/pdfs/GMD-1815-69.pdf#page=8","Abrir facsímil")</f>
        <v>Abrir facsímil</v>
      </c>
      <c r="K3567" s="3" t="s">
        <v>74</v>
      </c>
    </row>
    <row r="3568" spans="1:11" ht="42" customHeight="1">
      <c r="A3568" s="2" t="s">
        <v>8811</v>
      </c>
      <c r="B3568" s="2" t="s">
        <v>8811</v>
      </c>
      <c r="C3568" s="2" t="s">
        <v>31</v>
      </c>
      <c r="D3568" s="2" t="s">
        <v>32</v>
      </c>
      <c r="E3568" s="5">
        <v>-30970</v>
      </c>
      <c r="F3568" s="3" t="s">
        <v>436</v>
      </c>
      <c r="G3568" s="3" t="s">
        <v>71</v>
      </c>
      <c r="H3568" s="2" t="s">
        <v>72</v>
      </c>
      <c r="I3568" s="2" t="s">
        <v>8812</v>
      </c>
      <c r="J3568" s="3" t="str">
        <f>HYPERLINK("https://www.boe.es/gazeta/dias/1815/03/16/pdfs/GMD-1815-32.pdf#page=7","Abrir facsímil")</f>
        <v>Abrir facsímil</v>
      </c>
      <c r="K3568" s="3" t="s">
        <v>74</v>
      </c>
    </row>
    <row r="3569" spans="1:11" ht="42" customHeight="1">
      <c r="A3569" s="2" t="s">
        <v>8811</v>
      </c>
      <c r="B3569" s="2" t="s">
        <v>8811</v>
      </c>
      <c r="C3569" s="2" t="s">
        <v>49</v>
      </c>
      <c r="D3569" s="2" t="s">
        <v>50</v>
      </c>
      <c r="E3569" s="5">
        <v>-30870</v>
      </c>
      <c r="F3569" s="3" t="s">
        <v>122</v>
      </c>
      <c r="G3569" s="3" t="s">
        <v>52</v>
      </c>
      <c r="H3569" s="2" t="s">
        <v>72</v>
      </c>
      <c r="I3569" s="2" t="s">
        <v>8813</v>
      </c>
      <c r="J3569" s="3" t="str">
        <f>HYPERLINK("https://www.boe.es/gazeta/dias/1815/06/24/pdfs/GMD-1815-76.pdf#page=11","Abrir facsímil")</f>
        <v>Abrir facsímil</v>
      </c>
      <c r="K3569" s="3" t="s">
        <v>74</v>
      </c>
    </row>
    <row r="3570" spans="1:11" ht="42" customHeight="1">
      <c r="A3570" s="2" t="s">
        <v>8814</v>
      </c>
      <c r="B3570" s="2" t="s">
        <v>8815</v>
      </c>
      <c r="C3570" s="2" t="s">
        <v>61</v>
      </c>
      <c r="D3570" s="2" t="s">
        <v>50</v>
      </c>
      <c r="E3570" s="5">
        <v>-30821</v>
      </c>
      <c r="F3570" s="3" t="s">
        <v>915</v>
      </c>
      <c r="G3570" s="3" t="s">
        <v>27</v>
      </c>
      <c r="H3570" s="2" t="s">
        <v>72</v>
      </c>
      <c r="I3570" s="2" t="s">
        <v>8816</v>
      </c>
      <c r="J3570" s="3" t="str">
        <f>HYPERLINK("https://www.boe.es/gazeta/dias/1815/08/12/pdfs/GMD-1815-99.pdf#page=6","Abrir facsímil")</f>
        <v>Abrir facsímil</v>
      </c>
      <c r="K3570" s="3" t="s">
        <v>74</v>
      </c>
    </row>
    <row r="3571" spans="1:11" ht="42" customHeight="1">
      <c r="A3571" s="2" t="s">
        <v>8817</v>
      </c>
      <c r="B3571" s="2" t="s">
        <v>8818</v>
      </c>
      <c r="C3571" s="2" t="s">
        <v>31</v>
      </c>
      <c r="D3571" s="2" t="s">
        <v>32</v>
      </c>
      <c r="E3571" s="5">
        <v>-30872</v>
      </c>
      <c r="F3571" s="3" t="s">
        <v>167</v>
      </c>
      <c r="G3571" s="3" t="s">
        <v>27</v>
      </c>
      <c r="H3571" s="2" t="s">
        <v>72</v>
      </c>
      <c r="I3571" s="2" t="s">
        <v>8819</v>
      </c>
      <c r="J3571" s="3" t="str">
        <f>HYPERLINK("https://www.boe.es/gazeta/dias/1815/06/22/pdfs/GMD-1815-75.pdf#page=6","Abrir facsímil")</f>
        <v>Abrir facsímil</v>
      </c>
      <c r="K3571" s="3" t="s">
        <v>74</v>
      </c>
    </row>
    <row r="3572" spans="1:11" ht="42" customHeight="1">
      <c r="A3572" s="2" t="s">
        <v>8820</v>
      </c>
      <c r="B3572" s="2" t="s">
        <v>8821</v>
      </c>
      <c r="C3572" s="2" t="s">
        <v>31</v>
      </c>
      <c r="D3572" s="2" t="s">
        <v>32</v>
      </c>
      <c r="E3572" s="5">
        <v>-30979</v>
      </c>
      <c r="F3572" s="3" t="s">
        <v>56</v>
      </c>
      <c r="G3572" s="3" t="s">
        <v>38</v>
      </c>
      <c r="H3572" s="2" t="s">
        <v>72</v>
      </c>
      <c r="I3572" s="2" t="s">
        <v>8822</v>
      </c>
      <c r="J3572" s="3" t="str">
        <f>HYPERLINK("https://www.boe.es/gazeta/dias/1815/03/07/pdfs/GMD-1815-28.pdf#page=8","Abrir facsímil")</f>
        <v>Abrir facsímil</v>
      </c>
      <c r="K3572" s="3" t="s">
        <v>74</v>
      </c>
    </row>
    <row r="3573" spans="1:11" ht="42" customHeight="1">
      <c r="A3573" s="2" t="s">
        <v>8823</v>
      </c>
      <c r="B3573" s="2" t="s">
        <v>8824</v>
      </c>
      <c r="C3573" s="2" t="s">
        <v>31</v>
      </c>
      <c r="D3573" s="2" t="s">
        <v>32</v>
      </c>
      <c r="E3573" s="5">
        <v>-30958</v>
      </c>
      <c r="F3573" s="3" t="s">
        <v>297</v>
      </c>
      <c r="G3573" s="3" t="s">
        <v>57</v>
      </c>
      <c r="H3573" s="2" t="s">
        <v>72</v>
      </c>
      <c r="I3573" s="2" t="s">
        <v>8825</v>
      </c>
      <c r="J3573" s="3" t="str">
        <f>HYPERLINK("https://www.boe.es/gazeta/dias/1815/03/28/pdfs/GMD-1815-37.pdf#page=5","Abrir facsímil")</f>
        <v>Abrir facsímil</v>
      </c>
      <c r="K3573" s="3" t="s">
        <v>74</v>
      </c>
    </row>
    <row r="3574" spans="1:11" ht="42" customHeight="1">
      <c r="A3574" s="2" t="s">
        <v>8826</v>
      </c>
      <c r="B3574" s="2" t="s">
        <v>8826</v>
      </c>
      <c r="C3574" s="2" t="s">
        <v>17</v>
      </c>
      <c r="D3574" s="2" t="s">
        <v>18</v>
      </c>
      <c r="E3574" s="5">
        <v>-30760</v>
      </c>
      <c r="F3574" s="3" t="s">
        <v>349</v>
      </c>
      <c r="G3574" s="3" t="s">
        <v>27</v>
      </c>
      <c r="H3574" s="2" t="s">
        <v>72</v>
      </c>
      <c r="I3574" s="2" t="s">
        <v>8827</v>
      </c>
      <c r="J3574" s="3" t="str">
        <f>HYPERLINK("https://www.boe.es/gazeta/dias/1815/10/12/pdfs/GMD-1815-128.pdf#page=6","Abrir facsímil")</f>
        <v>Abrir facsímil</v>
      </c>
      <c r="K3574" s="3" t="s">
        <v>74</v>
      </c>
    </row>
    <row r="3575" spans="1:11" ht="42" customHeight="1">
      <c r="A3575" s="2" t="s">
        <v>8828</v>
      </c>
      <c r="B3575" s="2" t="s">
        <v>8828</v>
      </c>
      <c r="C3575" s="2" t="s">
        <v>17</v>
      </c>
      <c r="D3575" s="2" t="s">
        <v>18</v>
      </c>
      <c r="E3575" s="5">
        <v>-30828</v>
      </c>
      <c r="F3575" s="3" t="s">
        <v>1402</v>
      </c>
      <c r="G3575" s="3" t="s">
        <v>71</v>
      </c>
      <c r="H3575" s="2" t="s">
        <v>72</v>
      </c>
      <c r="I3575" s="2" t="s">
        <v>8829</v>
      </c>
      <c r="J3575" s="3" t="str">
        <f>HYPERLINK("https://www.boe.es/gazeta/dias/1815/08/05/pdfs/GMD-1815-96.pdf#page=7","Abrir facsímil")</f>
        <v>Abrir facsímil</v>
      </c>
      <c r="K3575" s="3" t="s">
        <v>74</v>
      </c>
    </row>
    <row r="3576" spans="1:11" ht="42" customHeight="1">
      <c r="A3576" s="2" t="s">
        <v>8830</v>
      </c>
      <c r="B3576" s="2" t="s">
        <v>8830</v>
      </c>
      <c r="C3576" s="2" t="s">
        <v>31</v>
      </c>
      <c r="D3576" s="2" t="s">
        <v>179</v>
      </c>
      <c r="E3576" s="5">
        <v>-30863</v>
      </c>
      <c r="F3576" s="3" t="s">
        <v>2024</v>
      </c>
      <c r="G3576" s="3" t="s">
        <v>20</v>
      </c>
      <c r="H3576" s="2" t="s">
        <v>72</v>
      </c>
      <c r="I3576" s="2" t="s">
        <v>8831</v>
      </c>
      <c r="J3576" s="3" t="str">
        <f>HYPERLINK("https://www.boe.es/gazeta/dias/1815/07/01/pdfs/GMD-1815-80E.pdf#page=4","Abrir facsímil")</f>
        <v>Abrir facsímil</v>
      </c>
      <c r="K3576" s="3" t="s">
        <v>74</v>
      </c>
    </row>
    <row r="3577" spans="1:11" ht="42" customHeight="1">
      <c r="A3577" s="2" t="s">
        <v>8832</v>
      </c>
      <c r="B3577" s="2" t="s">
        <v>8833</v>
      </c>
      <c r="C3577" s="2" t="s">
        <v>49</v>
      </c>
      <c r="D3577" s="2" t="s">
        <v>50</v>
      </c>
      <c r="E3577" s="5">
        <v>-30835</v>
      </c>
      <c r="F3577" s="3" t="s">
        <v>544</v>
      </c>
      <c r="G3577" s="3" t="s">
        <v>224</v>
      </c>
      <c r="H3577" s="2" t="s">
        <v>72</v>
      </c>
      <c r="I3577" s="2" t="s">
        <v>8834</v>
      </c>
      <c r="J3577" s="3" t="str">
        <f>HYPERLINK("https://www.boe.es/gazeta/dias/1815/07/29/pdfs/GMD-1815-93.pdf#page=9","Abrir facsímil")</f>
        <v>Abrir facsímil</v>
      </c>
      <c r="K3577" s="3" t="s">
        <v>74</v>
      </c>
    </row>
    <row r="3578" spans="1:11" ht="42" customHeight="1">
      <c r="A3578" s="2" t="s">
        <v>8835</v>
      </c>
      <c r="B3578" s="2" t="s">
        <v>8836</v>
      </c>
      <c r="C3578" s="2" t="s">
        <v>49</v>
      </c>
      <c r="D3578" s="2" t="s">
        <v>50</v>
      </c>
      <c r="E3578" s="5">
        <v>-30982</v>
      </c>
      <c r="F3578" s="3" t="s">
        <v>220</v>
      </c>
      <c r="G3578" s="3" t="s">
        <v>57</v>
      </c>
      <c r="H3578" s="2" t="s">
        <v>72</v>
      </c>
      <c r="I3578" s="2" t="s">
        <v>8837</v>
      </c>
      <c r="J3578" s="3" t="str">
        <f>HYPERLINK("https://www.boe.es/gazeta/dias/1815/03/04/pdfs/GMD-1815-27.pdf#page=5","Abrir facsímil")</f>
        <v>Abrir facsímil</v>
      </c>
      <c r="K3578" s="3" t="s">
        <v>74</v>
      </c>
    </row>
    <row r="3579" spans="1:11" ht="42" customHeight="1">
      <c r="A3579" s="2" t="s">
        <v>8838</v>
      </c>
      <c r="B3579" s="2" t="s">
        <v>8838</v>
      </c>
      <c r="C3579" s="2" t="s">
        <v>31</v>
      </c>
      <c r="D3579" s="2" t="s">
        <v>179</v>
      </c>
      <c r="E3579" s="5">
        <v>-30863</v>
      </c>
      <c r="F3579" s="3" t="s">
        <v>2024</v>
      </c>
      <c r="G3579" s="3" t="s">
        <v>377</v>
      </c>
      <c r="H3579" s="2" t="s">
        <v>72</v>
      </c>
      <c r="I3579" s="2" t="s">
        <v>8839</v>
      </c>
      <c r="J3579" s="3" t="str">
        <f>HYPERLINK("https://www.boe.es/gazeta/dias/1815/07/01/pdfs/GMD-1815-80E.pdf#page=2","Abrir facsímil")</f>
        <v>Abrir facsímil</v>
      </c>
      <c r="K3579" s="3" t="s">
        <v>74</v>
      </c>
    </row>
    <row r="3580" spans="1:11" ht="42" customHeight="1">
      <c r="A3580" s="2" t="s">
        <v>8840</v>
      </c>
      <c r="B3580" s="2" t="s">
        <v>8840</v>
      </c>
      <c r="C3580" s="2" t="s">
        <v>31</v>
      </c>
      <c r="D3580" s="2" t="s">
        <v>32</v>
      </c>
      <c r="E3580" s="5">
        <v>-30816</v>
      </c>
      <c r="F3580" s="3" t="s">
        <v>1253</v>
      </c>
      <c r="G3580" s="3" t="s">
        <v>27</v>
      </c>
      <c r="H3580" s="2" t="s">
        <v>72</v>
      </c>
      <c r="I3580" s="2" t="s">
        <v>8841</v>
      </c>
      <c r="J3580" s="3" t="str">
        <f>HYPERLINK("https://www.boe.es/gazeta/dias/1815/08/17/pdfs/GMD-1815-101.pdf#page=6","Abrir facsímil")</f>
        <v>Abrir facsímil</v>
      </c>
      <c r="K3580" s="3" t="s">
        <v>74</v>
      </c>
    </row>
    <row r="3581" spans="1:11" ht="42" customHeight="1">
      <c r="A3581" s="2" t="s">
        <v>8842</v>
      </c>
      <c r="B3581" s="2" t="s">
        <v>8843</v>
      </c>
      <c r="C3581" s="2" t="s">
        <v>81</v>
      </c>
      <c r="D3581" s="2" t="s">
        <v>50</v>
      </c>
      <c r="E3581" s="5">
        <v>-30730</v>
      </c>
      <c r="F3581" s="3" t="s">
        <v>953</v>
      </c>
      <c r="G3581" s="3" t="s">
        <v>38</v>
      </c>
      <c r="H3581" s="2" t="s">
        <v>21</v>
      </c>
      <c r="I3581" s="2" t="s">
        <v>8844</v>
      </c>
      <c r="J3581" s="3" t="str">
        <f>HYPERLINK("https://www.boe.es/gazeta/dias/1815/11/11/pdfs/GMD-1815-141.pdf#page=8","Abrir facsímil")</f>
        <v>Abrir facsímil</v>
      </c>
      <c r="K3581" s="3" t="s">
        <v>23</v>
      </c>
    </row>
    <row r="3582" spans="1:11" ht="42" customHeight="1">
      <c r="A3582" s="2" t="s">
        <v>8845</v>
      </c>
      <c r="B3582" s="2" t="s">
        <v>8846</v>
      </c>
      <c r="C3582" s="2" t="s">
        <v>49</v>
      </c>
      <c r="D3582" s="2" t="s">
        <v>50</v>
      </c>
      <c r="E3582" s="5">
        <v>-30865</v>
      </c>
      <c r="F3582" s="3" t="s">
        <v>163</v>
      </c>
      <c r="G3582" s="3" t="s">
        <v>71</v>
      </c>
      <c r="H3582" s="2" t="s">
        <v>72</v>
      </c>
      <c r="I3582" s="2" t="s">
        <v>8847</v>
      </c>
      <c r="J3582" s="3" t="str">
        <f>HYPERLINK("https://www.boe.es/gazeta/dias/1815/06/29/pdfs/GMD-1815-78.pdf#page=7","Abrir facsímil")</f>
        <v>Abrir facsímil</v>
      </c>
      <c r="K3582" s="3" t="s">
        <v>74</v>
      </c>
    </row>
    <row r="3583" spans="1:11" ht="42" customHeight="1">
      <c r="A3583" s="2" t="s">
        <v>8848</v>
      </c>
      <c r="B3583" s="2" t="s">
        <v>8849</v>
      </c>
      <c r="C3583" s="2" t="s">
        <v>49</v>
      </c>
      <c r="D3583" s="2" t="s">
        <v>50</v>
      </c>
      <c r="E3583" s="5">
        <v>-30886</v>
      </c>
      <c r="F3583" s="3" t="s">
        <v>140</v>
      </c>
      <c r="G3583" s="3" t="s">
        <v>38</v>
      </c>
      <c r="H3583" s="2" t="s">
        <v>72</v>
      </c>
      <c r="I3583" s="2" t="s">
        <v>8850</v>
      </c>
      <c r="J3583" s="3" t="str">
        <f>HYPERLINK("https://www.boe.es/gazeta/dias/1815/06/08/pdfs/GMD-1815-69.pdf#page=8","Abrir facsímil")</f>
        <v>Abrir facsímil</v>
      </c>
      <c r="K3583" s="3" t="s">
        <v>74</v>
      </c>
    </row>
    <row r="3584" spans="1:11" ht="42" customHeight="1">
      <c r="A3584" s="2" t="s">
        <v>8851</v>
      </c>
      <c r="B3584" s="2" t="s">
        <v>8852</v>
      </c>
      <c r="C3584" s="2" t="s">
        <v>31</v>
      </c>
      <c r="D3584" s="2" t="s">
        <v>32</v>
      </c>
      <c r="E3584" s="5">
        <v>-30884</v>
      </c>
      <c r="F3584" s="3" t="s">
        <v>136</v>
      </c>
      <c r="G3584" s="3" t="s">
        <v>38</v>
      </c>
      <c r="H3584" s="2" t="s">
        <v>21</v>
      </c>
      <c r="I3584" s="2" t="s">
        <v>8853</v>
      </c>
      <c r="J3584" s="3" t="str">
        <f>HYPERLINK("https://www.boe.es/gazeta/dias/1815/06/10/pdfs/GMD-1815-70.pdf#page=8","Abrir facsímil")</f>
        <v>Abrir facsímil</v>
      </c>
      <c r="K3584" s="3" t="s">
        <v>23</v>
      </c>
    </row>
    <row r="3585" spans="1:11" ht="42" customHeight="1">
      <c r="A3585" s="2" t="s">
        <v>8854</v>
      </c>
      <c r="B3585" s="2" t="s">
        <v>8855</v>
      </c>
      <c r="C3585" s="2" t="s">
        <v>195</v>
      </c>
      <c r="D3585" s="2" t="s">
        <v>50</v>
      </c>
      <c r="E3585" s="5">
        <v>-30888</v>
      </c>
      <c r="F3585" s="3" t="s">
        <v>368</v>
      </c>
      <c r="G3585" s="3" t="s">
        <v>224</v>
      </c>
      <c r="H3585" s="2" t="s">
        <v>72</v>
      </c>
      <c r="I3585" s="2" t="s">
        <v>8856</v>
      </c>
      <c r="J3585" s="3" t="str">
        <f>HYPERLINK("https://www.boe.es/gazeta/dias/1815/06/06/pdfs/GMD-1815-68.pdf#page=9","Abrir facsímil")</f>
        <v>Abrir facsímil</v>
      </c>
      <c r="K3585" s="3" t="s">
        <v>74</v>
      </c>
    </row>
    <row r="3586" spans="1:11" ht="42" customHeight="1">
      <c r="A3586" s="2" t="s">
        <v>8857</v>
      </c>
      <c r="B3586" s="2" t="s">
        <v>8858</v>
      </c>
      <c r="C3586" s="2" t="s">
        <v>17</v>
      </c>
      <c r="D3586" s="2" t="s">
        <v>18</v>
      </c>
      <c r="E3586" s="5">
        <v>-30727</v>
      </c>
      <c r="F3586" s="3" t="s">
        <v>262</v>
      </c>
      <c r="G3586" s="3" t="s">
        <v>38</v>
      </c>
      <c r="H3586" s="2" t="s">
        <v>72</v>
      </c>
      <c r="I3586" s="2" t="s">
        <v>8859</v>
      </c>
      <c r="J3586" s="3" t="str">
        <f>HYPERLINK("https://www.boe.es/gazeta/dias/1815/11/14/pdfs/GMD-1815-142.pdf#page=8","Abrir facsímil")</f>
        <v>Abrir facsímil</v>
      </c>
      <c r="K3586" s="3" t="s">
        <v>74</v>
      </c>
    </row>
    <row r="3587" spans="1:11" ht="42" customHeight="1">
      <c r="A3587" s="2" t="s">
        <v>8860</v>
      </c>
      <c r="B3587" s="2" t="s">
        <v>8861</v>
      </c>
      <c r="C3587" s="2" t="s">
        <v>31</v>
      </c>
      <c r="D3587" s="2" t="s">
        <v>32</v>
      </c>
      <c r="E3587" s="5">
        <v>-30865</v>
      </c>
      <c r="F3587" s="3" t="s">
        <v>163</v>
      </c>
      <c r="G3587" s="3" t="s">
        <v>276</v>
      </c>
      <c r="H3587" s="2" t="s">
        <v>72</v>
      </c>
      <c r="I3587" s="2" t="s">
        <v>8862</v>
      </c>
      <c r="J3587" s="3" t="str">
        <f>HYPERLINK("https://www.boe.es/gazeta/dias/1815/06/29/pdfs/GMD-1815-78.pdf#page=12","Abrir facsímil")</f>
        <v>Abrir facsímil</v>
      </c>
      <c r="K3587" s="3" t="s">
        <v>74</v>
      </c>
    </row>
    <row r="3588" spans="1:11" ht="42" customHeight="1">
      <c r="A3588" s="2" t="s">
        <v>8863</v>
      </c>
      <c r="B3588" s="2" t="s">
        <v>8863</v>
      </c>
      <c r="C3588" s="2" t="s">
        <v>31</v>
      </c>
      <c r="D3588" s="2" t="s">
        <v>32</v>
      </c>
      <c r="E3588" s="5">
        <v>-30961</v>
      </c>
      <c r="F3588" s="3" t="s">
        <v>1176</v>
      </c>
      <c r="G3588" s="3" t="s">
        <v>57</v>
      </c>
      <c r="H3588" s="2" t="s">
        <v>72</v>
      </c>
      <c r="I3588" s="2" t="s">
        <v>8864</v>
      </c>
      <c r="J3588" s="3" t="str">
        <f>HYPERLINK("https://www.boe.es/gazeta/dias/1815/03/25/pdfs/GMD-1815-36.pdf#page=5","Abrir facsímil")</f>
        <v>Abrir facsímil</v>
      </c>
      <c r="K3588" s="3" t="s">
        <v>74</v>
      </c>
    </row>
    <row r="3589" spans="1:11" ht="42" customHeight="1">
      <c r="A3589" s="2" t="s">
        <v>8865</v>
      </c>
      <c r="B3589" s="2" t="s">
        <v>8865</v>
      </c>
      <c r="C3589" s="2" t="s">
        <v>31</v>
      </c>
      <c r="D3589" s="2" t="s">
        <v>32</v>
      </c>
      <c r="E3589" s="5">
        <v>-30961</v>
      </c>
      <c r="F3589" s="3" t="s">
        <v>1176</v>
      </c>
      <c r="G3589" s="3" t="s">
        <v>57</v>
      </c>
      <c r="H3589" s="2" t="s">
        <v>72</v>
      </c>
      <c r="I3589" s="2" t="s">
        <v>8866</v>
      </c>
      <c r="J3589" s="3" t="str">
        <f>HYPERLINK("https://www.boe.es/gazeta/dias/1815/03/25/pdfs/GMD-1815-36.pdf#page=5","Abrir facsímil")</f>
        <v>Abrir facsímil</v>
      </c>
      <c r="K3589" s="3" t="s">
        <v>74</v>
      </c>
    </row>
    <row r="3590" spans="1:11" ht="42" customHeight="1">
      <c r="A3590" s="2" t="s">
        <v>8867</v>
      </c>
      <c r="B3590" s="2" t="s">
        <v>8868</v>
      </c>
      <c r="C3590" s="2" t="s">
        <v>49</v>
      </c>
      <c r="D3590" s="2" t="s">
        <v>50</v>
      </c>
      <c r="E3590" s="5">
        <v>-30818</v>
      </c>
      <c r="F3590" s="3" t="s">
        <v>334</v>
      </c>
      <c r="G3590" s="3" t="s">
        <v>224</v>
      </c>
      <c r="H3590" s="2" t="s">
        <v>72</v>
      </c>
      <c r="I3590" s="2" t="s">
        <v>8869</v>
      </c>
      <c r="J3590" s="3" t="str">
        <f>HYPERLINK("https://www.boe.es/gazeta/dias/1815/08/15/pdfs/GMD-1815-100.pdf#page=9","Abrir facsímil")</f>
        <v>Abrir facsímil</v>
      </c>
      <c r="K3590" s="3" t="s">
        <v>74</v>
      </c>
    </row>
    <row r="3591" spans="1:11" ht="42" customHeight="1">
      <c r="A3591" s="2" t="s">
        <v>8870</v>
      </c>
      <c r="B3591" s="2" t="s">
        <v>8871</v>
      </c>
      <c r="C3591" s="2" t="s">
        <v>49</v>
      </c>
      <c r="D3591" s="2" t="s">
        <v>50</v>
      </c>
      <c r="E3591" s="5">
        <v>-30830</v>
      </c>
      <c r="F3591" s="3" t="s">
        <v>33</v>
      </c>
      <c r="G3591" s="3" t="s">
        <v>52</v>
      </c>
      <c r="H3591" s="2" t="s">
        <v>72</v>
      </c>
      <c r="I3591" s="2" t="s">
        <v>8872</v>
      </c>
      <c r="J3591" s="3" t="str">
        <f>HYPERLINK("https://www.boe.es/gazeta/dias/1815/08/03/pdfs/GMD-1815-95.pdf#page=11","Abrir facsímil")</f>
        <v>Abrir facsímil</v>
      </c>
      <c r="K3591" s="3" t="s">
        <v>74</v>
      </c>
    </row>
    <row r="3592" spans="1:11" ht="42" customHeight="1">
      <c r="A3592" s="2" t="s">
        <v>8873</v>
      </c>
      <c r="B3592" s="2" t="s">
        <v>8874</v>
      </c>
      <c r="C3592" s="2" t="s">
        <v>49</v>
      </c>
      <c r="D3592" s="2" t="s">
        <v>50</v>
      </c>
      <c r="E3592" s="5">
        <v>-30832</v>
      </c>
      <c r="F3592" s="3" t="s">
        <v>266</v>
      </c>
      <c r="G3592" s="3" t="s">
        <v>224</v>
      </c>
      <c r="H3592" s="2" t="s">
        <v>72</v>
      </c>
      <c r="I3592" s="2" t="s">
        <v>8875</v>
      </c>
      <c r="J3592" s="3" t="str">
        <f>HYPERLINK("https://www.boe.es/gazeta/dias/1815/08/01/pdfs/GMD-1815-94.pdf#page=9","Abrir facsímil")</f>
        <v>Abrir facsímil</v>
      </c>
      <c r="K3592" s="3" t="s">
        <v>74</v>
      </c>
    </row>
    <row r="3593" spans="1:11" ht="42" customHeight="1">
      <c r="A3593" s="2" t="s">
        <v>8876</v>
      </c>
      <c r="B3593" s="2" t="s">
        <v>8877</v>
      </c>
      <c r="C3593" s="2" t="s">
        <v>49</v>
      </c>
      <c r="D3593" s="2" t="s">
        <v>50</v>
      </c>
      <c r="E3593" s="5">
        <v>-30886</v>
      </c>
      <c r="F3593" s="3" t="s">
        <v>140</v>
      </c>
      <c r="G3593" s="3" t="s">
        <v>38</v>
      </c>
      <c r="H3593" s="2" t="s">
        <v>72</v>
      </c>
      <c r="I3593" s="2" t="s">
        <v>8878</v>
      </c>
      <c r="J3593" s="3" t="str">
        <f>HYPERLINK("https://www.boe.es/gazeta/dias/1815/06/08/pdfs/GMD-1815-69.pdf#page=8","Abrir facsímil")</f>
        <v>Abrir facsímil</v>
      </c>
      <c r="K3593" s="3" t="s">
        <v>74</v>
      </c>
    </row>
    <row r="3594" spans="1:11" ht="42" customHeight="1">
      <c r="A3594" s="2" t="s">
        <v>8879</v>
      </c>
      <c r="B3594" s="2" t="s">
        <v>8880</v>
      </c>
      <c r="C3594" s="2" t="s">
        <v>49</v>
      </c>
      <c r="D3594" s="2" t="s">
        <v>50</v>
      </c>
      <c r="E3594" s="5">
        <v>-30982</v>
      </c>
      <c r="F3594" s="3" t="s">
        <v>220</v>
      </c>
      <c r="G3594" s="3" t="s">
        <v>57</v>
      </c>
      <c r="H3594" s="2" t="s">
        <v>72</v>
      </c>
      <c r="I3594" s="2" t="s">
        <v>8881</v>
      </c>
      <c r="J3594" s="3" t="str">
        <f>HYPERLINK("https://www.boe.es/gazeta/dias/1815/03/04/pdfs/GMD-1815-27.pdf#page=5","Abrir facsímil")</f>
        <v>Abrir facsímil</v>
      </c>
      <c r="K3594" s="3" t="s">
        <v>74</v>
      </c>
    </row>
    <row r="3595" spans="1:11" ht="42" customHeight="1">
      <c r="A3595" s="2" t="s">
        <v>8882</v>
      </c>
      <c r="B3595" s="2" t="s">
        <v>8883</v>
      </c>
      <c r="C3595" s="2" t="s">
        <v>17</v>
      </c>
      <c r="D3595" s="2" t="s">
        <v>18</v>
      </c>
      <c r="E3595" s="5">
        <v>-30723</v>
      </c>
      <c r="F3595" s="3" t="s">
        <v>77</v>
      </c>
      <c r="G3595" s="3" t="s">
        <v>27</v>
      </c>
      <c r="H3595" s="2" t="s">
        <v>21</v>
      </c>
      <c r="I3595" s="2" t="s">
        <v>8884</v>
      </c>
      <c r="J3595" s="3" t="str">
        <f>HYPERLINK("https://www.boe.es/gazeta/dias/1815/11/18/pdfs/GMD-1815-144.pdf#page=6","Abrir facsímil")</f>
        <v>Abrir facsímil</v>
      </c>
      <c r="K3595" s="3" t="s">
        <v>23</v>
      </c>
    </row>
    <row r="3596" spans="1:11" ht="42" customHeight="1">
      <c r="A3596" s="2" t="s">
        <v>8885</v>
      </c>
      <c r="B3596" s="2" t="s">
        <v>8886</v>
      </c>
      <c r="C3596" s="2" t="s">
        <v>31</v>
      </c>
      <c r="D3596" s="2" t="s">
        <v>32</v>
      </c>
      <c r="E3596" s="5">
        <v>-30872</v>
      </c>
      <c r="F3596" s="3" t="s">
        <v>167</v>
      </c>
      <c r="G3596" s="3" t="s">
        <v>224</v>
      </c>
      <c r="H3596" s="2" t="s">
        <v>72</v>
      </c>
      <c r="I3596" s="2" t="s">
        <v>8887</v>
      </c>
      <c r="J3596" s="3" t="str">
        <f>HYPERLINK("https://www.boe.es/gazeta/dias/1815/06/22/pdfs/GMD-1815-75.pdf#page=9","Abrir facsímil")</f>
        <v>Abrir facsímil</v>
      </c>
      <c r="K3596" s="3" t="s">
        <v>74</v>
      </c>
    </row>
    <row r="3597" spans="1:11" ht="42" customHeight="1">
      <c r="A3597" s="2" t="s">
        <v>8888</v>
      </c>
      <c r="B3597" s="2" t="s">
        <v>8889</v>
      </c>
      <c r="C3597" s="2" t="s">
        <v>31</v>
      </c>
      <c r="D3597" s="2" t="s">
        <v>32</v>
      </c>
      <c r="E3597" s="5">
        <v>-30739</v>
      </c>
      <c r="F3597" s="3" t="s">
        <v>254</v>
      </c>
      <c r="G3597" s="3" t="s">
        <v>224</v>
      </c>
      <c r="H3597" s="2" t="s">
        <v>72</v>
      </c>
      <c r="I3597" s="2" t="s">
        <v>8890</v>
      </c>
      <c r="J3597" s="3" t="str">
        <f>HYPERLINK("https://www.boe.es/gazeta/dias/1815/11/02/pdfs/GMD-1815-137.pdf#page=9","Abrir facsímil")</f>
        <v>Abrir facsímil</v>
      </c>
      <c r="K3597" s="3" t="s">
        <v>74</v>
      </c>
    </row>
    <row r="3598" spans="1:11" ht="42" customHeight="1">
      <c r="A3598" s="2" t="s">
        <v>8891</v>
      </c>
      <c r="B3598" s="2" t="s">
        <v>8892</v>
      </c>
      <c r="C3598" s="2" t="s">
        <v>31</v>
      </c>
      <c r="D3598" s="2" t="s">
        <v>32</v>
      </c>
      <c r="E3598" s="5">
        <v>-30958</v>
      </c>
      <c r="F3598" s="3" t="s">
        <v>297</v>
      </c>
      <c r="G3598" s="3" t="s">
        <v>27</v>
      </c>
      <c r="H3598" s="2" t="s">
        <v>72</v>
      </c>
      <c r="I3598" s="2" t="s">
        <v>8893</v>
      </c>
      <c r="J3598" s="3" t="str">
        <f>HYPERLINK("https://www.boe.es/gazeta/dias/1815/03/28/pdfs/GMD-1815-37.pdf#page=6","Abrir facsímil")</f>
        <v>Abrir facsímil</v>
      </c>
      <c r="K3598" s="3" t="s">
        <v>74</v>
      </c>
    </row>
    <row r="3599" spans="1:11" ht="42" customHeight="1">
      <c r="A3599" s="2" t="s">
        <v>8894</v>
      </c>
      <c r="B3599" s="2" t="s">
        <v>8895</v>
      </c>
      <c r="C3599" s="2" t="s">
        <v>17</v>
      </c>
      <c r="D3599" s="2" t="s">
        <v>18</v>
      </c>
      <c r="E3599" s="5">
        <v>-30842</v>
      </c>
      <c r="F3599" s="3" t="s">
        <v>126</v>
      </c>
      <c r="G3599" s="3" t="s">
        <v>88</v>
      </c>
      <c r="H3599" s="2" t="s">
        <v>72</v>
      </c>
      <c r="I3599" s="2" t="s">
        <v>8896</v>
      </c>
      <c r="J3599" s="3" t="str">
        <f>HYPERLINK("https://www.boe.es/gazeta/dias/1815/07/22/pdfs/GMD-1815-90.pdf#page=10","Abrir facsímil")</f>
        <v>Abrir facsímil</v>
      </c>
      <c r="K3599" s="3" t="s">
        <v>74</v>
      </c>
    </row>
    <row r="3600" spans="1:11" ht="42" customHeight="1">
      <c r="A3600" s="2" t="s">
        <v>8897</v>
      </c>
      <c r="B3600" s="2" t="s">
        <v>8898</v>
      </c>
      <c r="C3600" s="2" t="s">
        <v>31</v>
      </c>
      <c r="D3600" s="2" t="s">
        <v>32</v>
      </c>
      <c r="E3600" s="5">
        <v>-30818</v>
      </c>
      <c r="F3600" s="3" t="s">
        <v>334</v>
      </c>
      <c r="G3600" s="3" t="s">
        <v>38</v>
      </c>
      <c r="H3600" s="2" t="s">
        <v>72</v>
      </c>
      <c r="I3600" s="2" t="s">
        <v>8899</v>
      </c>
      <c r="J3600" s="3" t="str">
        <f>HYPERLINK("https://www.boe.es/gazeta/dias/1815/08/15/pdfs/GMD-1815-100.pdf#page=8","Abrir facsímil")</f>
        <v>Abrir facsímil</v>
      </c>
      <c r="K3600" s="3" t="s">
        <v>74</v>
      </c>
    </row>
    <row r="3601" spans="1:11" ht="42" customHeight="1">
      <c r="A3601" s="2" t="s">
        <v>8900</v>
      </c>
      <c r="B3601" s="2" t="s">
        <v>8901</v>
      </c>
      <c r="C3601" s="2" t="s">
        <v>49</v>
      </c>
      <c r="D3601" s="2" t="s">
        <v>50</v>
      </c>
      <c r="E3601" s="5">
        <v>-30818</v>
      </c>
      <c r="F3601" s="3" t="s">
        <v>334</v>
      </c>
      <c r="G3601" s="3" t="s">
        <v>224</v>
      </c>
      <c r="H3601" s="2" t="s">
        <v>72</v>
      </c>
      <c r="I3601" s="2" t="s">
        <v>8902</v>
      </c>
      <c r="J3601" s="3" t="str">
        <f>HYPERLINK("https://www.boe.es/gazeta/dias/1815/08/15/pdfs/GMD-1815-100.pdf#page=9","Abrir facsímil")</f>
        <v>Abrir facsímil</v>
      </c>
      <c r="K3601" s="3" t="s">
        <v>74</v>
      </c>
    </row>
    <row r="3602" spans="1:11" ht="42" customHeight="1">
      <c r="A3602" s="2" t="s">
        <v>8903</v>
      </c>
      <c r="B3602" s="2" t="s">
        <v>8904</v>
      </c>
      <c r="C3602" s="2" t="s">
        <v>17</v>
      </c>
      <c r="D3602" s="2" t="s">
        <v>18</v>
      </c>
      <c r="E3602" s="5">
        <v>-30874</v>
      </c>
      <c r="F3602" s="3" t="s">
        <v>208</v>
      </c>
      <c r="G3602" s="3" t="s">
        <v>38</v>
      </c>
      <c r="H3602" s="2" t="s">
        <v>72</v>
      </c>
      <c r="I3602" s="2" t="s">
        <v>8905</v>
      </c>
      <c r="J3602" s="3" t="str">
        <f>HYPERLINK("https://www.boe.es/gazeta/dias/1815/06/20/pdfs/GMD-1815-74.pdf#page=8","Abrir facsímil")</f>
        <v>Abrir facsímil</v>
      </c>
      <c r="K3602" s="3" t="s">
        <v>74</v>
      </c>
    </row>
    <row r="3603" spans="1:11" ht="42" customHeight="1">
      <c r="A3603" s="2" t="s">
        <v>8906</v>
      </c>
      <c r="B3603" s="2" t="s">
        <v>8907</v>
      </c>
      <c r="C3603" s="2" t="s">
        <v>49</v>
      </c>
      <c r="D3603" s="2" t="s">
        <v>50</v>
      </c>
      <c r="E3603" s="5">
        <v>-30921</v>
      </c>
      <c r="F3603" s="3" t="s">
        <v>191</v>
      </c>
      <c r="G3603" s="3" t="s">
        <v>71</v>
      </c>
      <c r="H3603" s="2" t="s">
        <v>72</v>
      </c>
      <c r="I3603" s="2" t="s">
        <v>8908</v>
      </c>
      <c r="J3603" s="3" t="str">
        <f>HYPERLINK("https://www.boe.es/gazeta/dias/1815/05/04/pdfs/GMD-1815-54.pdf#page=7","Abrir facsímil")</f>
        <v>Abrir facsímil</v>
      </c>
      <c r="K3603" s="3" t="s">
        <v>74</v>
      </c>
    </row>
    <row r="3604" spans="1:11" ht="42" customHeight="1">
      <c r="A3604" s="2" t="s">
        <v>8909</v>
      </c>
      <c r="B3604" s="2" t="s">
        <v>8909</v>
      </c>
      <c r="C3604" s="2" t="s">
        <v>31</v>
      </c>
      <c r="D3604" s="2" t="s">
        <v>32</v>
      </c>
      <c r="E3604" s="5">
        <v>-30727</v>
      </c>
      <c r="F3604" s="3" t="s">
        <v>262</v>
      </c>
      <c r="G3604" s="3" t="s">
        <v>5122</v>
      </c>
      <c r="H3604" s="2" t="s">
        <v>72</v>
      </c>
      <c r="I3604" s="2" t="s">
        <v>8910</v>
      </c>
      <c r="J3604" s="3" t="str">
        <f>HYPERLINK("https://www.boe.es/gazeta/dias/1815/11/14/pdfs/GMD-1815-142.pdf#page=5","Abrir facsímil")</f>
        <v>Abrir facsímil</v>
      </c>
      <c r="K3604" s="3" t="s">
        <v>74</v>
      </c>
    </row>
    <row r="3605" spans="1:11" ht="42" customHeight="1">
      <c r="A3605" s="2" t="s">
        <v>8911</v>
      </c>
      <c r="B3605" s="2" t="s">
        <v>8912</v>
      </c>
      <c r="C3605" s="2" t="s">
        <v>31</v>
      </c>
      <c r="D3605" s="2" t="s">
        <v>32</v>
      </c>
      <c r="E3605" s="5">
        <v>-30986</v>
      </c>
      <c r="F3605" s="3" t="s">
        <v>46</v>
      </c>
      <c r="G3605" s="3" t="s">
        <v>88</v>
      </c>
      <c r="H3605" s="2" t="s">
        <v>72</v>
      </c>
      <c r="I3605" s="2" t="s">
        <v>8913</v>
      </c>
      <c r="J3605" s="3" t="str">
        <f>HYPERLINK("https://www.boe.es/gazeta/dias/1815/02/28/pdfs/GMD-1815-25.pdf#page=10","Abrir facsímil")</f>
        <v>Abrir facsímil</v>
      </c>
      <c r="K3605" s="3" t="s">
        <v>74</v>
      </c>
    </row>
    <row r="3606" spans="1:11" ht="42" customHeight="1">
      <c r="A3606" s="2" t="s">
        <v>8914</v>
      </c>
      <c r="B3606" s="2" t="s">
        <v>8915</v>
      </c>
      <c r="C3606" s="2" t="s">
        <v>31</v>
      </c>
      <c r="D3606" s="2" t="s">
        <v>32</v>
      </c>
      <c r="E3606" s="5">
        <v>-30986</v>
      </c>
      <c r="F3606" s="3" t="s">
        <v>46</v>
      </c>
      <c r="G3606" s="3" t="s">
        <v>224</v>
      </c>
      <c r="H3606" s="2" t="s">
        <v>72</v>
      </c>
      <c r="I3606" s="2" t="s">
        <v>8916</v>
      </c>
      <c r="J3606" s="3" t="str">
        <f>HYPERLINK("https://www.boe.es/gazeta/dias/1815/02/28/pdfs/GMD-1815-25.pdf#page=9","Abrir facsímil")</f>
        <v>Abrir facsímil</v>
      </c>
      <c r="K3606" s="3" t="s">
        <v>74</v>
      </c>
    </row>
    <row r="3607" spans="1:11" ht="42" customHeight="1">
      <c r="A3607" s="2" t="s">
        <v>8917</v>
      </c>
      <c r="B3607" s="2" t="s">
        <v>8918</v>
      </c>
      <c r="C3607" s="2" t="s">
        <v>31</v>
      </c>
      <c r="D3607" s="2" t="s">
        <v>32</v>
      </c>
      <c r="E3607" s="5">
        <v>-30916</v>
      </c>
      <c r="F3607" s="3" t="s">
        <v>147</v>
      </c>
      <c r="G3607" s="3" t="s">
        <v>38</v>
      </c>
      <c r="H3607" s="2" t="s">
        <v>72</v>
      </c>
      <c r="I3607" s="2" t="s">
        <v>8919</v>
      </c>
      <c r="J3607" s="3" t="str">
        <f>HYPERLINK("https://www.boe.es/gazeta/dias/1815/05/09/pdfs/GMD-1815-56.pdf#page=8","Abrir facsímil")</f>
        <v>Abrir facsímil</v>
      </c>
      <c r="K3607" s="3" t="s">
        <v>74</v>
      </c>
    </row>
    <row r="3608" spans="1:11" ht="42" customHeight="1">
      <c r="A3608" s="2" t="s">
        <v>8920</v>
      </c>
      <c r="B3608" s="2" t="s">
        <v>8921</v>
      </c>
      <c r="C3608" s="2" t="s">
        <v>17</v>
      </c>
      <c r="D3608" s="2" t="s">
        <v>18</v>
      </c>
      <c r="E3608" s="5">
        <v>-30767</v>
      </c>
      <c r="F3608" s="3" t="s">
        <v>228</v>
      </c>
      <c r="G3608" s="3" t="s">
        <v>224</v>
      </c>
      <c r="H3608" s="2" t="s">
        <v>72</v>
      </c>
      <c r="I3608" s="2" t="s">
        <v>8922</v>
      </c>
      <c r="J3608" s="3" t="str">
        <f>HYPERLINK("https://www.boe.es/gazeta/dias/1815/10/05/pdfs/GMD-1815-125.pdf#page=9","Abrir facsímil")</f>
        <v>Abrir facsímil</v>
      </c>
      <c r="K3608" s="3" t="s">
        <v>74</v>
      </c>
    </row>
    <row r="3609" spans="1:11" ht="42" customHeight="1">
      <c r="A3609" s="2" t="s">
        <v>8923</v>
      </c>
      <c r="B3609" s="2" t="s">
        <v>8924</v>
      </c>
      <c r="C3609" s="2" t="s">
        <v>17</v>
      </c>
      <c r="D3609" s="2" t="s">
        <v>18</v>
      </c>
      <c r="E3609" s="5">
        <v>-30881</v>
      </c>
      <c r="F3609" s="3" t="s">
        <v>446</v>
      </c>
      <c r="G3609" s="3" t="s">
        <v>1436</v>
      </c>
      <c r="H3609" s="2" t="s">
        <v>21</v>
      </c>
      <c r="I3609" s="2" t="s">
        <v>8925</v>
      </c>
      <c r="J3609" s="3" t="str">
        <f>HYPERLINK("https://www.boe.es/gazeta/dias/1815/06/13/pdfs/GMD-1815-71.pdf#page=9","Abrir facsímil")</f>
        <v>Abrir facsímil</v>
      </c>
      <c r="K3609" s="3" t="s">
        <v>23</v>
      </c>
    </row>
    <row r="3610" spans="1:11" ht="42" customHeight="1">
      <c r="A3610" s="2" t="s">
        <v>8926</v>
      </c>
      <c r="B3610" s="2" t="s">
        <v>8927</v>
      </c>
      <c r="C3610" s="2" t="s">
        <v>49</v>
      </c>
      <c r="D3610" s="2" t="s">
        <v>50</v>
      </c>
      <c r="E3610" s="5">
        <v>-30842</v>
      </c>
      <c r="F3610" s="3" t="s">
        <v>126</v>
      </c>
      <c r="G3610" s="3" t="s">
        <v>52</v>
      </c>
      <c r="H3610" s="2" t="s">
        <v>72</v>
      </c>
      <c r="I3610" s="2" t="s">
        <v>8928</v>
      </c>
      <c r="J3610" s="3" t="str">
        <f>HYPERLINK("https://www.boe.es/gazeta/dias/1815/07/22/pdfs/GMD-1815-90.pdf#page=11","Abrir facsímil")</f>
        <v>Abrir facsímil</v>
      </c>
      <c r="K3610" s="3" t="s">
        <v>74</v>
      </c>
    </row>
    <row r="3611" spans="1:11" ht="42" customHeight="1">
      <c r="A3611" s="2" t="s">
        <v>8929</v>
      </c>
      <c r="B3611" s="2" t="s">
        <v>8929</v>
      </c>
      <c r="C3611" s="2" t="s">
        <v>31</v>
      </c>
      <c r="D3611" s="2" t="s">
        <v>32</v>
      </c>
      <c r="E3611" s="5">
        <v>-30774</v>
      </c>
      <c r="F3611" s="3" t="s">
        <v>1143</v>
      </c>
      <c r="G3611" s="3" t="s">
        <v>4416</v>
      </c>
      <c r="H3611" s="2" t="s">
        <v>72</v>
      </c>
      <c r="I3611" s="2" t="s">
        <v>8930</v>
      </c>
      <c r="J3611" s="3" t="str">
        <f>HYPERLINK("https://www.boe.es/gazeta/dias/1815/09/28/pdfs/GMD-1815-121.pdf#page=3","Abrir facsímil")</f>
        <v>Abrir facsímil</v>
      </c>
      <c r="K3611" s="3" t="s">
        <v>74</v>
      </c>
    </row>
    <row r="3612" spans="1:11" ht="42" customHeight="1">
      <c r="A3612" s="2" t="s">
        <v>8931</v>
      </c>
      <c r="B3612" s="2" t="s">
        <v>8932</v>
      </c>
      <c r="C3612" s="2" t="s">
        <v>195</v>
      </c>
      <c r="D3612" s="2" t="s">
        <v>50</v>
      </c>
      <c r="E3612" s="5">
        <v>-30874</v>
      </c>
      <c r="F3612" s="3" t="s">
        <v>208</v>
      </c>
      <c r="G3612" s="3" t="s">
        <v>71</v>
      </c>
      <c r="H3612" s="2" t="s">
        <v>72</v>
      </c>
      <c r="I3612" s="2" t="s">
        <v>8933</v>
      </c>
      <c r="J3612" s="3" t="str">
        <f>HYPERLINK("https://www.boe.es/gazeta/dias/1815/06/20/pdfs/GMD-1815-74.pdf#page=7","Abrir facsímil")</f>
        <v>Abrir facsímil</v>
      </c>
      <c r="K3612" s="3" t="s">
        <v>74</v>
      </c>
    </row>
    <row r="3613" spans="1:11" ht="42" customHeight="1">
      <c r="A3613" s="2" t="s">
        <v>8934</v>
      </c>
      <c r="B3613" s="2" t="s">
        <v>8935</v>
      </c>
      <c r="C3613" s="2" t="s">
        <v>81</v>
      </c>
      <c r="D3613" s="2" t="s">
        <v>50</v>
      </c>
      <c r="E3613" s="5">
        <v>-30923</v>
      </c>
      <c r="F3613" s="3" t="s">
        <v>524</v>
      </c>
      <c r="G3613" s="3" t="s">
        <v>1314</v>
      </c>
      <c r="H3613" s="2" t="s">
        <v>72</v>
      </c>
      <c r="I3613" s="2" t="s">
        <v>8936</v>
      </c>
      <c r="J3613" s="3" t="str">
        <f>HYPERLINK("https://www.boe.es/gazeta/dias/1815/05/02/pdfs/GMD-1815-53.pdf#page=12","Abrir facsímil")</f>
        <v>Abrir facsímil</v>
      </c>
      <c r="K3613" s="3" t="s">
        <v>74</v>
      </c>
    </row>
    <row r="3614" spans="1:11" ht="42" customHeight="1">
      <c r="A3614" s="2" t="s">
        <v>8937</v>
      </c>
      <c r="B3614" s="2" t="s">
        <v>8938</v>
      </c>
      <c r="C3614" s="2" t="s">
        <v>49</v>
      </c>
      <c r="D3614" s="2" t="s">
        <v>50</v>
      </c>
      <c r="E3614" s="5">
        <v>-30865</v>
      </c>
      <c r="F3614" s="3" t="s">
        <v>163</v>
      </c>
      <c r="G3614" s="3" t="s">
        <v>27</v>
      </c>
      <c r="H3614" s="2" t="s">
        <v>72</v>
      </c>
      <c r="I3614" s="2" t="s">
        <v>8939</v>
      </c>
      <c r="J3614" s="3" t="str">
        <f>HYPERLINK("https://www.boe.es/gazeta/dias/1815/06/29/pdfs/GMD-1815-78.pdf#page=6","Abrir facsímil")</f>
        <v>Abrir facsímil</v>
      </c>
      <c r="K3614" s="3" t="s">
        <v>74</v>
      </c>
    </row>
    <row r="3615" spans="1:11" ht="42" customHeight="1">
      <c r="A3615" s="2" t="s">
        <v>8937</v>
      </c>
      <c r="B3615" s="2" t="s">
        <v>8938</v>
      </c>
      <c r="C3615" s="2" t="s">
        <v>49</v>
      </c>
      <c r="D3615" s="2" t="s">
        <v>50</v>
      </c>
      <c r="E3615" s="5">
        <v>-30681</v>
      </c>
      <c r="F3615" s="3" t="s">
        <v>2093</v>
      </c>
      <c r="G3615" s="3" t="s">
        <v>71</v>
      </c>
      <c r="H3615" s="2" t="s">
        <v>72</v>
      </c>
      <c r="I3615" s="2" t="s">
        <v>8940</v>
      </c>
      <c r="J3615" s="3" t="str">
        <f>HYPERLINK("https://www.boe.es/gazeta/dias/1815/12/30/pdfs/GMD-1815-162.pdf#page=7","Abrir facsímil")</f>
        <v>Abrir facsímil</v>
      </c>
      <c r="K3615" s="3" t="s">
        <v>74</v>
      </c>
    </row>
    <row r="3616" spans="1:11" ht="42" customHeight="1">
      <c r="A3616" s="2" t="s">
        <v>8941</v>
      </c>
      <c r="B3616" s="2" t="s">
        <v>8942</v>
      </c>
      <c r="C3616" s="2" t="s">
        <v>31</v>
      </c>
      <c r="D3616" s="2" t="s">
        <v>32</v>
      </c>
      <c r="E3616" s="5">
        <v>-30872</v>
      </c>
      <c r="F3616" s="3" t="s">
        <v>167</v>
      </c>
      <c r="G3616" s="3" t="s">
        <v>52</v>
      </c>
      <c r="H3616" s="2" t="s">
        <v>21</v>
      </c>
      <c r="I3616" s="2" t="s">
        <v>8943</v>
      </c>
      <c r="J3616" s="3" t="str">
        <f>HYPERLINK("https://www.boe.es/gazeta/dias/1815/06/22/pdfs/GMD-1815-75.pdf#page=11","Abrir facsímil")</f>
        <v>Abrir facsímil</v>
      </c>
      <c r="K3616" s="3" t="s">
        <v>23</v>
      </c>
    </row>
    <row r="3617" spans="1:11" ht="42" customHeight="1">
      <c r="A3617" s="2" t="s">
        <v>8944</v>
      </c>
      <c r="B3617" s="2" t="s">
        <v>8945</v>
      </c>
      <c r="C3617" s="2" t="s">
        <v>49</v>
      </c>
      <c r="D3617" s="2" t="s">
        <v>50</v>
      </c>
      <c r="E3617" s="5">
        <v>-30870</v>
      </c>
      <c r="F3617" s="3" t="s">
        <v>122</v>
      </c>
      <c r="G3617" s="3" t="s">
        <v>88</v>
      </c>
      <c r="H3617" s="2" t="s">
        <v>72</v>
      </c>
      <c r="I3617" s="2" t="s">
        <v>8946</v>
      </c>
      <c r="J3617" s="3" t="str">
        <f>HYPERLINK("https://www.boe.es/gazeta/dias/1815/06/24/pdfs/GMD-1815-76.pdf#page=10","Abrir facsímil")</f>
        <v>Abrir facsímil</v>
      </c>
      <c r="K3617" s="3" t="s">
        <v>74</v>
      </c>
    </row>
    <row r="3618" spans="1:11" ht="42" customHeight="1">
      <c r="A3618" s="2" t="s">
        <v>8947</v>
      </c>
      <c r="B3618" s="2" t="s">
        <v>8948</v>
      </c>
      <c r="C3618" s="2" t="s">
        <v>31</v>
      </c>
      <c r="D3618" s="2" t="s">
        <v>32</v>
      </c>
      <c r="E3618" s="5">
        <v>-30958</v>
      </c>
      <c r="F3618" s="3" t="s">
        <v>297</v>
      </c>
      <c r="G3618" s="3" t="s">
        <v>71</v>
      </c>
      <c r="H3618" s="2" t="s">
        <v>21</v>
      </c>
      <c r="I3618" s="2" t="s">
        <v>8949</v>
      </c>
      <c r="J3618" s="3" t="str">
        <f>HYPERLINK("https://www.boe.es/gazeta/dias/1815/03/28/pdfs/GMD-1815-37.pdf#page=7","Abrir facsímil")</f>
        <v>Abrir facsímil</v>
      </c>
      <c r="K3618" s="3" t="s">
        <v>23</v>
      </c>
    </row>
    <row r="3619" spans="1:11" ht="42" customHeight="1">
      <c r="A3619" s="2" t="s">
        <v>8950</v>
      </c>
      <c r="B3619" s="2" t="s">
        <v>8951</v>
      </c>
      <c r="C3619" s="2" t="s">
        <v>61</v>
      </c>
      <c r="D3619" s="2" t="s">
        <v>50</v>
      </c>
      <c r="E3619" s="5">
        <v>-30716</v>
      </c>
      <c r="F3619" s="3" t="s">
        <v>589</v>
      </c>
      <c r="G3619" s="3" t="s">
        <v>27</v>
      </c>
      <c r="H3619" s="2" t="s">
        <v>21</v>
      </c>
      <c r="I3619" s="2" t="s">
        <v>8952</v>
      </c>
      <c r="J3619" s="3" t="str">
        <f>HYPERLINK("https://www.boe.es/gazeta/dias/1815/11/25/pdfs/GMD-1815-147.pdf#page=6","Abrir facsímil")</f>
        <v>Abrir facsímil</v>
      </c>
      <c r="K3619" s="3" t="s">
        <v>23</v>
      </c>
    </row>
    <row r="3620" spans="1:11" ht="42" customHeight="1">
      <c r="A3620" s="2" t="s">
        <v>8953</v>
      </c>
      <c r="B3620" s="2" t="s">
        <v>8954</v>
      </c>
      <c r="C3620" s="2" t="s">
        <v>17</v>
      </c>
      <c r="D3620" s="2" t="s">
        <v>18</v>
      </c>
      <c r="E3620" s="5">
        <v>-30741</v>
      </c>
      <c r="F3620" s="3" t="s">
        <v>1000</v>
      </c>
      <c r="G3620" s="3" t="s">
        <v>7593</v>
      </c>
      <c r="H3620" s="2" t="s">
        <v>21</v>
      </c>
      <c r="I3620" s="2" t="s">
        <v>8955</v>
      </c>
      <c r="J3620" s="3" t="str">
        <f>HYPERLINK("https://www.boe.es/gazeta/dias/1815/10/31/pdfs/GMD-1815-136.pdf#page=6","Abrir facsímil")</f>
        <v>Abrir facsímil</v>
      </c>
      <c r="K3620" s="3" t="s">
        <v>23</v>
      </c>
    </row>
    <row r="3621" spans="1:11" ht="42" customHeight="1">
      <c r="A3621" s="2" t="s">
        <v>8956</v>
      </c>
      <c r="B3621" s="2" t="s">
        <v>8957</v>
      </c>
      <c r="C3621" s="2" t="s">
        <v>17</v>
      </c>
      <c r="D3621" s="2" t="s">
        <v>18</v>
      </c>
      <c r="E3621" s="5">
        <v>-30996</v>
      </c>
      <c r="F3621" s="3" t="s">
        <v>289</v>
      </c>
      <c r="G3621" s="3" t="s">
        <v>27</v>
      </c>
      <c r="H3621" s="2" t="s">
        <v>72</v>
      </c>
      <c r="I3621" s="2" t="s">
        <v>8958</v>
      </c>
      <c r="J3621" s="3" t="str">
        <f>HYPERLINK("https://www.boe.es/gazeta/dias/1815/02/18/pdfs/GMD-1815-21.pdf#page=6","Abrir facsímil")</f>
        <v>Abrir facsímil</v>
      </c>
      <c r="K3621" s="3" t="s">
        <v>74</v>
      </c>
    </row>
    <row r="3622" spans="1:11" ht="42" customHeight="1">
      <c r="A3622" s="2" t="s">
        <v>8959</v>
      </c>
      <c r="B3622" s="2" t="s">
        <v>8959</v>
      </c>
      <c r="C3622" s="2" t="s">
        <v>31</v>
      </c>
      <c r="D3622" s="2" t="s">
        <v>32</v>
      </c>
      <c r="E3622" s="5">
        <v>-30818</v>
      </c>
      <c r="F3622" s="3" t="s">
        <v>334</v>
      </c>
      <c r="G3622" s="3" t="s">
        <v>97</v>
      </c>
      <c r="H3622" s="2" t="s">
        <v>72</v>
      </c>
      <c r="I3622" s="2" t="s">
        <v>8960</v>
      </c>
      <c r="J3622" s="3" t="str">
        <f>HYPERLINK("https://www.boe.es/gazeta/dias/1815/08/15/pdfs/GMD-1815-100.pdf#page=3","Abrir facsímil")</f>
        <v>Abrir facsímil</v>
      </c>
      <c r="K3622" s="3" t="s">
        <v>74</v>
      </c>
    </row>
    <row r="3623" spans="1:11" ht="42" customHeight="1">
      <c r="A3623" s="2" t="s">
        <v>8961</v>
      </c>
      <c r="B3623" s="2" t="s">
        <v>8962</v>
      </c>
      <c r="C3623" s="2" t="s">
        <v>49</v>
      </c>
      <c r="D3623" s="2" t="s">
        <v>50</v>
      </c>
      <c r="E3623" s="5">
        <v>-30886</v>
      </c>
      <c r="F3623" s="3" t="s">
        <v>140</v>
      </c>
      <c r="G3623" s="3" t="s">
        <v>38</v>
      </c>
      <c r="H3623" s="2" t="s">
        <v>72</v>
      </c>
      <c r="I3623" s="2" t="s">
        <v>8963</v>
      </c>
      <c r="J3623" s="3" t="str">
        <f>HYPERLINK("https://www.boe.es/gazeta/dias/1815/06/08/pdfs/GMD-1815-69.pdf#page=8","Abrir facsímil")</f>
        <v>Abrir facsímil</v>
      </c>
      <c r="K3623" s="3" t="s">
        <v>74</v>
      </c>
    </row>
    <row r="3624" spans="1:11" ht="42" customHeight="1">
      <c r="A3624" s="2" t="s">
        <v>8964</v>
      </c>
      <c r="B3624" s="2" t="s">
        <v>8965</v>
      </c>
      <c r="C3624" s="2" t="s">
        <v>49</v>
      </c>
      <c r="D3624" s="2" t="s">
        <v>50</v>
      </c>
      <c r="E3624" s="5">
        <v>-30977</v>
      </c>
      <c r="F3624" s="3" t="s">
        <v>37</v>
      </c>
      <c r="G3624" s="3" t="s">
        <v>71</v>
      </c>
      <c r="H3624" s="2" t="s">
        <v>72</v>
      </c>
      <c r="I3624" s="2" t="s">
        <v>8966</v>
      </c>
      <c r="J3624" s="3" t="str">
        <f>HYPERLINK("https://www.boe.es/gazeta/dias/1815/03/09/pdfs/GMD-1815-29.pdf#page=7","Abrir facsímil")</f>
        <v>Abrir facsímil</v>
      </c>
      <c r="K3624" s="3" t="s">
        <v>74</v>
      </c>
    </row>
    <row r="3625" spans="1:11" ht="42" customHeight="1">
      <c r="A3625" s="2" t="s">
        <v>8967</v>
      </c>
      <c r="B3625" s="2" t="s">
        <v>8968</v>
      </c>
      <c r="C3625" s="2" t="s">
        <v>49</v>
      </c>
      <c r="D3625" s="2" t="s">
        <v>50</v>
      </c>
      <c r="E3625" s="5">
        <v>-30863</v>
      </c>
      <c r="F3625" s="3" t="s">
        <v>110</v>
      </c>
      <c r="G3625" s="3" t="s">
        <v>224</v>
      </c>
      <c r="H3625" s="2" t="s">
        <v>72</v>
      </c>
      <c r="I3625" s="2" t="s">
        <v>8969</v>
      </c>
      <c r="J3625" s="3" t="str">
        <f>HYPERLINK("https://www.boe.es/gazeta/dias/1815/07/01/pdfs/GMD-1815-79.pdf#page=9","Abrir facsímil")</f>
        <v>Abrir facsímil</v>
      </c>
      <c r="K3625" s="3" t="s">
        <v>74</v>
      </c>
    </row>
    <row r="3626" spans="1:11" ht="42" customHeight="1">
      <c r="A3626" s="2" t="s">
        <v>8970</v>
      </c>
      <c r="B3626" s="2" t="s">
        <v>8970</v>
      </c>
      <c r="C3626" s="2" t="s">
        <v>31</v>
      </c>
      <c r="D3626" s="2" t="s">
        <v>32</v>
      </c>
      <c r="E3626" s="5">
        <v>-30716</v>
      </c>
      <c r="F3626" s="3" t="s">
        <v>589</v>
      </c>
      <c r="G3626" s="3" t="s">
        <v>27</v>
      </c>
      <c r="H3626" s="2" t="s">
        <v>72</v>
      </c>
      <c r="I3626" s="2" t="s">
        <v>8971</v>
      </c>
      <c r="J3626" s="3" t="str">
        <f>HYPERLINK("https://www.boe.es/gazeta/dias/1815/11/25/pdfs/GMD-1815-147.pdf#page=6","Abrir facsímil")</f>
        <v>Abrir facsímil</v>
      </c>
      <c r="K3626" s="3" t="s">
        <v>74</v>
      </c>
    </row>
    <row r="3627" spans="1:11" ht="42" customHeight="1">
      <c r="A3627" s="2" t="s">
        <v>8972</v>
      </c>
      <c r="B3627" s="2" t="s">
        <v>8972</v>
      </c>
      <c r="C3627" s="2" t="s">
        <v>31</v>
      </c>
      <c r="D3627" s="2" t="s">
        <v>32</v>
      </c>
      <c r="E3627" s="5">
        <v>-30788</v>
      </c>
      <c r="F3627" s="3" t="s">
        <v>96</v>
      </c>
      <c r="G3627" s="3" t="s">
        <v>377</v>
      </c>
      <c r="H3627" s="2" t="s">
        <v>72</v>
      </c>
      <c r="I3627" s="2" t="s">
        <v>8973</v>
      </c>
      <c r="J3627" s="3" t="str">
        <f>HYPERLINK("https://www.boe.es/gazeta/dias/1815/09/14/pdfs/GMD-1815-114.pdf#page=2","Abrir facsímil")</f>
        <v>Abrir facsímil</v>
      </c>
      <c r="K3627" s="3" t="s">
        <v>74</v>
      </c>
    </row>
    <row r="3628" spans="1:11" ht="42" customHeight="1">
      <c r="A3628" s="2" t="s">
        <v>8974</v>
      </c>
      <c r="B3628" s="2" t="s">
        <v>8974</v>
      </c>
      <c r="C3628" s="2" t="s">
        <v>31</v>
      </c>
      <c r="D3628" s="2" t="s">
        <v>32</v>
      </c>
      <c r="E3628" s="5">
        <v>-30788</v>
      </c>
      <c r="F3628" s="3" t="s">
        <v>96</v>
      </c>
      <c r="G3628" s="3" t="s">
        <v>377</v>
      </c>
      <c r="H3628" s="2" t="s">
        <v>72</v>
      </c>
      <c r="I3628" s="2" t="s">
        <v>8975</v>
      </c>
      <c r="J3628" s="3" t="str">
        <f>HYPERLINK("https://www.boe.es/gazeta/dias/1815/09/14/pdfs/GMD-1815-114.pdf#page=2","Abrir facsímil")</f>
        <v>Abrir facsímil</v>
      </c>
      <c r="K3628" s="3" t="s">
        <v>74</v>
      </c>
    </row>
    <row r="3629" spans="1:11" ht="42" customHeight="1">
      <c r="A3629" s="2" t="s">
        <v>8976</v>
      </c>
      <c r="B3629" s="2" t="s">
        <v>8977</v>
      </c>
      <c r="C3629" s="2" t="s">
        <v>17</v>
      </c>
      <c r="D3629" s="2" t="s">
        <v>18</v>
      </c>
      <c r="E3629" s="5">
        <v>-30902</v>
      </c>
      <c r="F3629" s="3" t="s">
        <v>648</v>
      </c>
      <c r="G3629" s="3" t="s">
        <v>71</v>
      </c>
      <c r="H3629" s="2" t="s">
        <v>21</v>
      </c>
      <c r="I3629" s="2" t="s">
        <v>8978</v>
      </c>
      <c r="J3629" s="3" t="str">
        <f>HYPERLINK("https://www.boe.es/gazeta/dias/1815/05/23/pdfs/GMD-1815-62.pdf#page=7","Abrir facsímil")</f>
        <v>Abrir facsímil</v>
      </c>
      <c r="K3629" s="3" t="s">
        <v>23</v>
      </c>
    </row>
    <row r="3630" spans="1:11" ht="42" customHeight="1">
      <c r="A3630" s="2" t="s">
        <v>8979</v>
      </c>
      <c r="B3630" s="2" t="s">
        <v>8980</v>
      </c>
      <c r="C3630" s="2" t="s">
        <v>61</v>
      </c>
      <c r="D3630" s="2" t="s">
        <v>50</v>
      </c>
      <c r="E3630" s="5">
        <v>-30716</v>
      </c>
      <c r="F3630" s="3" t="s">
        <v>589</v>
      </c>
      <c r="G3630" s="3" t="s">
        <v>27</v>
      </c>
      <c r="H3630" s="2" t="s">
        <v>72</v>
      </c>
      <c r="I3630" s="2" t="s">
        <v>8981</v>
      </c>
      <c r="J3630" s="3" t="str">
        <f>HYPERLINK("https://www.boe.es/gazeta/dias/1815/11/25/pdfs/GMD-1815-147.pdf#page=6","Abrir facsímil")</f>
        <v>Abrir facsímil</v>
      </c>
      <c r="K3630" s="3" t="s">
        <v>74</v>
      </c>
    </row>
    <row r="3631" spans="1:11" ht="42" customHeight="1">
      <c r="A3631" s="2" t="s">
        <v>8982</v>
      </c>
      <c r="B3631" s="2" t="s">
        <v>8983</v>
      </c>
      <c r="C3631" s="2" t="s">
        <v>195</v>
      </c>
      <c r="D3631" s="2" t="s">
        <v>50</v>
      </c>
      <c r="E3631" s="5">
        <v>-30874</v>
      </c>
      <c r="F3631" s="3" t="s">
        <v>208</v>
      </c>
      <c r="G3631" s="3" t="s">
        <v>38</v>
      </c>
      <c r="H3631" s="2" t="s">
        <v>72</v>
      </c>
      <c r="I3631" s="2" t="s">
        <v>8984</v>
      </c>
      <c r="J3631" s="3" t="str">
        <f>HYPERLINK("https://www.boe.es/gazeta/dias/1815/06/20/pdfs/GMD-1815-74.pdf#page=8","Abrir facsímil")</f>
        <v>Abrir facsímil</v>
      </c>
      <c r="K3631" s="3" t="s">
        <v>74</v>
      </c>
    </row>
    <row r="3632" spans="1:11" ht="42" customHeight="1">
      <c r="A3632" s="2" t="s">
        <v>8985</v>
      </c>
      <c r="B3632" s="2" t="s">
        <v>8986</v>
      </c>
      <c r="C3632" s="2" t="s">
        <v>49</v>
      </c>
      <c r="D3632" s="2" t="s">
        <v>50</v>
      </c>
      <c r="E3632" s="5">
        <v>-30839</v>
      </c>
      <c r="F3632" s="3" t="s">
        <v>616</v>
      </c>
      <c r="G3632" s="3" t="s">
        <v>71</v>
      </c>
      <c r="H3632" s="2" t="s">
        <v>72</v>
      </c>
      <c r="I3632" s="2" t="s">
        <v>8987</v>
      </c>
      <c r="J3632" s="3" t="str">
        <f>HYPERLINK("https://www.boe.es/gazeta/dias/1815/07/25/pdfs/GMD-1815-91.pdf#page=7","Abrir facsímil")</f>
        <v>Abrir facsímil</v>
      </c>
      <c r="K3632" s="3" t="s">
        <v>74</v>
      </c>
    </row>
    <row r="3633" spans="1:11" ht="42" customHeight="1">
      <c r="A3633" s="2" t="s">
        <v>8988</v>
      </c>
      <c r="B3633" s="2" t="s">
        <v>8989</v>
      </c>
      <c r="C3633" s="2" t="s">
        <v>49</v>
      </c>
      <c r="D3633" s="2" t="s">
        <v>50</v>
      </c>
      <c r="E3633" s="5">
        <v>-30688</v>
      </c>
      <c r="F3633" s="3" t="s">
        <v>62</v>
      </c>
      <c r="G3633" s="3" t="s">
        <v>38</v>
      </c>
      <c r="H3633" s="2" t="s">
        <v>72</v>
      </c>
      <c r="I3633" s="2" t="s">
        <v>8990</v>
      </c>
      <c r="J3633" s="3" t="str">
        <f>HYPERLINK("https://www.boe.es/gazeta/dias/1815/12/23/pdfs/GMD-1815-159.pdf#page=8","Abrir facsímil")</f>
        <v>Abrir facsímil</v>
      </c>
      <c r="K3633" s="3" t="s">
        <v>74</v>
      </c>
    </row>
    <row r="3634" spans="1:11" ht="42" customHeight="1">
      <c r="A3634" s="2" t="s">
        <v>8991</v>
      </c>
      <c r="B3634" s="2" t="s">
        <v>8992</v>
      </c>
      <c r="C3634" s="2" t="s">
        <v>49</v>
      </c>
      <c r="D3634" s="2" t="s">
        <v>50</v>
      </c>
      <c r="E3634" s="5">
        <v>-30839</v>
      </c>
      <c r="F3634" s="3" t="s">
        <v>616</v>
      </c>
      <c r="G3634" s="3" t="s">
        <v>27</v>
      </c>
      <c r="H3634" s="2" t="s">
        <v>72</v>
      </c>
      <c r="I3634" s="2" t="s">
        <v>8993</v>
      </c>
      <c r="J3634" s="3" t="str">
        <f>HYPERLINK("https://www.boe.es/gazeta/dias/1815/07/25/pdfs/GMD-1815-91.pdf#page=6","Abrir facsímil")</f>
        <v>Abrir facsímil</v>
      </c>
      <c r="K3634" s="3" t="s">
        <v>74</v>
      </c>
    </row>
    <row r="3635" spans="1:11" ht="42" customHeight="1">
      <c r="A3635" s="2" t="s">
        <v>8994</v>
      </c>
      <c r="B3635" s="2" t="s">
        <v>8995</v>
      </c>
      <c r="C3635" s="2" t="s">
        <v>195</v>
      </c>
      <c r="D3635" s="2" t="s">
        <v>50</v>
      </c>
      <c r="E3635" s="5">
        <v>-31003</v>
      </c>
      <c r="F3635" s="3" t="s">
        <v>405</v>
      </c>
      <c r="G3635" s="3" t="s">
        <v>1136</v>
      </c>
      <c r="H3635" s="2" t="s">
        <v>72</v>
      </c>
      <c r="I3635" s="2" t="s">
        <v>8996</v>
      </c>
      <c r="J3635" s="3" t="str">
        <f>HYPERLINK("https://www.boe.es/gazeta/dias/1815/02/11/pdfs/GMD-1815-18.pdf#page=7","Abrir facsímil")</f>
        <v>Abrir facsímil</v>
      </c>
      <c r="K3635" s="3" t="s">
        <v>74</v>
      </c>
    </row>
    <row r="3636" spans="1:11" ht="42" customHeight="1">
      <c r="A3636" s="2" t="s">
        <v>8997</v>
      </c>
      <c r="B3636" s="2" t="s">
        <v>8998</v>
      </c>
      <c r="C3636" s="2" t="s">
        <v>49</v>
      </c>
      <c r="D3636" s="2" t="s">
        <v>50</v>
      </c>
      <c r="E3636" s="5">
        <v>-30993</v>
      </c>
      <c r="F3636" s="3" t="s">
        <v>66</v>
      </c>
      <c r="G3636" s="3" t="s">
        <v>20</v>
      </c>
      <c r="H3636" s="2" t="s">
        <v>21</v>
      </c>
      <c r="I3636" s="2" t="s">
        <v>8999</v>
      </c>
      <c r="J3636" s="3" t="str">
        <f>HYPERLINK("https://www.boe.es/gazeta/dias/1815/02/21/pdfs/GMD-1815-22.pdf#page=4","Abrir facsímil")</f>
        <v>Abrir facsímil</v>
      </c>
      <c r="K3636" s="3" t="s">
        <v>23</v>
      </c>
    </row>
    <row r="3637" spans="1:11" ht="42" customHeight="1">
      <c r="A3637" s="2" t="s">
        <v>9000</v>
      </c>
      <c r="B3637" s="2" t="s">
        <v>9001</v>
      </c>
      <c r="C3637" s="2" t="s">
        <v>31</v>
      </c>
      <c r="D3637" s="2" t="s">
        <v>32</v>
      </c>
      <c r="E3637" s="5">
        <v>-30825</v>
      </c>
      <c r="F3637" s="3" t="s">
        <v>669</v>
      </c>
      <c r="G3637" s="3" t="s">
        <v>224</v>
      </c>
      <c r="H3637" s="2" t="s">
        <v>72</v>
      </c>
      <c r="I3637" s="2" t="s">
        <v>9002</v>
      </c>
      <c r="J3637" s="3" t="str">
        <f>HYPERLINK("https://www.boe.es/gazeta/dias/1815/08/08/pdfs/GMD-1815-97.pdf#page=9","Abrir facsímil")</f>
        <v>Abrir facsímil</v>
      </c>
      <c r="K3637" s="3" t="s">
        <v>74</v>
      </c>
    </row>
    <row r="3638" spans="1:11" ht="42" customHeight="1">
      <c r="A3638" s="2" t="s">
        <v>9003</v>
      </c>
      <c r="B3638" s="2" t="s">
        <v>9004</v>
      </c>
      <c r="C3638" s="2" t="s">
        <v>49</v>
      </c>
      <c r="D3638" s="2" t="s">
        <v>50</v>
      </c>
      <c r="E3638" s="5">
        <v>-30767</v>
      </c>
      <c r="F3638" s="3" t="s">
        <v>228</v>
      </c>
      <c r="G3638" s="3" t="s">
        <v>88</v>
      </c>
      <c r="H3638" s="2" t="s">
        <v>21</v>
      </c>
      <c r="I3638" s="2" t="s">
        <v>9005</v>
      </c>
      <c r="J3638" s="3" t="str">
        <f>HYPERLINK("https://www.boe.es/gazeta/dias/1815/10/05/pdfs/GMD-1815-125.pdf#page=10","Abrir facsímil")</f>
        <v>Abrir facsímil</v>
      </c>
      <c r="K3638" s="3" t="s">
        <v>23</v>
      </c>
    </row>
    <row r="3639" spans="1:11" ht="42" customHeight="1">
      <c r="A3639" s="2" t="s">
        <v>9006</v>
      </c>
      <c r="B3639" s="2" t="s">
        <v>9007</v>
      </c>
      <c r="C3639" s="2" t="s">
        <v>31</v>
      </c>
      <c r="D3639" s="2" t="s">
        <v>32</v>
      </c>
      <c r="E3639" s="5">
        <v>-30807</v>
      </c>
      <c r="F3639" s="3" t="s">
        <v>586</v>
      </c>
      <c r="G3639" s="3" t="s">
        <v>662</v>
      </c>
      <c r="H3639" s="2" t="s">
        <v>72</v>
      </c>
      <c r="I3639" s="2" t="s">
        <v>9008</v>
      </c>
      <c r="J3639" s="3" t="str">
        <f>HYPERLINK("https://www.boe.es/gazeta/dias/1815/08/26/pdfs/GMD-1815-105.pdf#page=7","Abrir facsímil")</f>
        <v>Abrir facsímil</v>
      </c>
      <c r="K3639" s="3" t="s">
        <v>74</v>
      </c>
    </row>
    <row r="3640" spans="1:11" ht="42" customHeight="1">
      <c r="A3640" s="2" t="s">
        <v>9006</v>
      </c>
      <c r="B3640" s="2" t="s">
        <v>9007</v>
      </c>
      <c r="C3640" s="2" t="s">
        <v>31</v>
      </c>
      <c r="D3640" s="2" t="s">
        <v>32</v>
      </c>
      <c r="E3640" s="5">
        <v>-30807</v>
      </c>
      <c r="F3640" s="3" t="s">
        <v>586</v>
      </c>
      <c r="G3640" s="3" t="s">
        <v>20</v>
      </c>
      <c r="H3640" s="2" t="s">
        <v>72</v>
      </c>
      <c r="I3640" s="2" t="s">
        <v>9009</v>
      </c>
      <c r="J3640" s="3" t="str">
        <f>HYPERLINK("https://www.boe.es/gazeta/dias/1815/08/26/pdfs/GMD-1815-105.pdf#page=4","Abrir facsímil")</f>
        <v>Abrir facsímil</v>
      </c>
      <c r="K3640" s="3" t="s">
        <v>74</v>
      </c>
    </row>
    <row r="3641" spans="1:11" ht="42" customHeight="1">
      <c r="A3641" s="2" t="s">
        <v>9006</v>
      </c>
      <c r="B3641" s="2" t="s">
        <v>9007</v>
      </c>
      <c r="C3641" s="2" t="s">
        <v>31</v>
      </c>
      <c r="D3641" s="2" t="s">
        <v>32</v>
      </c>
      <c r="E3641" s="5">
        <v>-30727</v>
      </c>
      <c r="F3641" s="3" t="s">
        <v>262</v>
      </c>
      <c r="G3641" s="3" t="s">
        <v>27</v>
      </c>
      <c r="H3641" s="2" t="s">
        <v>72</v>
      </c>
      <c r="I3641" s="2" t="s">
        <v>9010</v>
      </c>
      <c r="J3641" s="3" t="str">
        <f>HYPERLINK("https://www.boe.es/gazeta/dias/1815/11/14/pdfs/GMD-1815-142.pdf#page=6","Abrir facsímil")</f>
        <v>Abrir facsímil</v>
      </c>
      <c r="K3641" s="3" t="s">
        <v>74</v>
      </c>
    </row>
    <row r="3642" spans="1:11" ht="42" customHeight="1">
      <c r="A3642" s="2" t="s">
        <v>9011</v>
      </c>
      <c r="B3642" s="2" t="s">
        <v>9012</v>
      </c>
      <c r="C3642" s="2" t="s">
        <v>17</v>
      </c>
      <c r="D3642" s="2" t="s">
        <v>18</v>
      </c>
      <c r="E3642" s="5">
        <v>-30849</v>
      </c>
      <c r="F3642" s="3" t="s">
        <v>501</v>
      </c>
      <c r="G3642" s="3" t="s">
        <v>52</v>
      </c>
      <c r="H3642" s="2" t="s">
        <v>21</v>
      </c>
      <c r="I3642" s="2" t="s">
        <v>9013</v>
      </c>
      <c r="J3642" s="3" t="str">
        <f>HYPERLINK("https://www.boe.es/gazeta/dias/1815/07/15/pdfs/GMD-1815-87.pdf#page=11","Abrir facsímil")</f>
        <v>Abrir facsímil</v>
      </c>
      <c r="K3642" s="3" t="s">
        <v>23</v>
      </c>
    </row>
    <row r="3643" spans="1:11" ht="42" customHeight="1">
      <c r="A3643" s="2" t="s">
        <v>9014</v>
      </c>
      <c r="B3643" s="2" t="s">
        <v>9015</v>
      </c>
      <c r="C3643" s="2" t="s">
        <v>31</v>
      </c>
      <c r="D3643" s="2" t="s">
        <v>32</v>
      </c>
      <c r="E3643" s="5">
        <v>-30739</v>
      </c>
      <c r="F3643" s="3" t="s">
        <v>254</v>
      </c>
      <c r="G3643" s="3" t="s">
        <v>52</v>
      </c>
      <c r="H3643" s="2" t="s">
        <v>72</v>
      </c>
      <c r="I3643" s="2" t="s">
        <v>9016</v>
      </c>
      <c r="J3643" s="3" t="str">
        <f>HYPERLINK("https://www.boe.es/gazeta/dias/1815/11/02/pdfs/GMD-1815-137.pdf#page=11","Abrir facsímil")</f>
        <v>Abrir facsímil</v>
      </c>
      <c r="K3643" s="3" t="s">
        <v>74</v>
      </c>
    </row>
    <row r="3644" spans="1:11" ht="42" customHeight="1">
      <c r="A3644" s="2" t="s">
        <v>9017</v>
      </c>
      <c r="B3644" s="2" t="s">
        <v>9018</v>
      </c>
      <c r="C3644" s="2" t="s">
        <v>49</v>
      </c>
      <c r="D3644" s="2" t="s">
        <v>50</v>
      </c>
      <c r="E3644" s="5">
        <v>-30830</v>
      </c>
      <c r="F3644" s="3" t="s">
        <v>33</v>
      </c>
      <c r="G3644" s="3" t="s">
        <v>52</v>
      </c>
      <c r="H3644" s="2" t="s">
        <v>72</v>
      </c>
      <c r="I3644" s="2" t="s">
        <v>9019</v>
      </c>
      <c r="J3644" s="3" t="str">
        <f>HYPERLINK("https://www.boe.es/gazeta/dias/1815/08/03/pdfs/GMD-1815-95.pdf#page=11","Abrir facsímil")</f>
        <v>Abrir facsímil</v>
      </c>
      <c r="K3644" s="3" t="s">
        <v>74</v>
      </c>
    </row>
    <row r="3645" spans="1:11" ht="42" customHeight="1">
      <c r="A3645" s="2" t="s">
        <v>9020</v>
      </c>
      <c r="B3645" s="2" t="s">
        <v>9021</v>
      </c>
      <c r="C3645" s="2" t="s">
        <v>195</v>
      </c>
      <c r="D3645" s="2" t="s">
        <v>50</v>
      </c>
      <c r="E3645" s="5">
        <v>-30874</v>
      </c>
      <c r="F3645" s="3" t="s">
        <v>208</v>
      </c>
      <c r="G3645" s="3" t="s">
        <v>38</v>
      </c>
      <c r="H3645" s="2" t="s">
        <v>72</v>
      </c>
      <c r="I3645" s="2" t="s">
        <v>9022</v>
      </c>
      <c r="J3645" s="3" t="str">
        <f>HYPERLINK("https://www.boe.es/gazeta/dias/1815/06/20/pdfs/GMD-1815-74.pdf#page=8","Abrir facsímil")</f>
        <v>Abrir facsímil</v>
      </c>
      <c r="K3645" s="3" t="s">
        <v>74</v>
      </c>
    </row>
    <row r="3646" spans="1:11" ht="42" customHeight="1">
      <c r="A3646" s="2" t="s">
        <v>9023</v>
      </c>
      <c r="B3646" s="2" t="s">
        <v>9024</v>
      </c>
      <c r="C3646" s="2" t="s">
        <v>49</v>
      </c>
      <c r="D3646" s="2" t="s">
        <v>50</v>
      </c>
      <c r="E3646" s="5">
        <v>-30996</v>
      </c>
      <c r="F3646" s="3" t="s">
        <v>289</v>
      </c>
      <c r="G3646" s="3" t="s">
        <v>27</v>
      </c>
      <c r="H3646" s="2" t="s">
        <v>72</v>
      </c>
      <c r="I3646" s="2" t="s">
        <v>9025</v>
      </c>
      <c r="J3646" s="3" t="str">
        <f>HYPERLINK("https://www.boe.es/gazeta/dias/1815/02/18/pdfs/GMD-1815-21.pdf#page=6","Abrir facsímil")</f>
        <v>Abrir facsímil</v>
      </c>
      <c r="K3646" s="3" t="s">
        <v>74</v>
      </c>
    </row>
    <row r="3647" spans="1:11" ht="42" customHeight="1">
      <c r="A3647" s="2" t="s">
        <v>9026</v>
      </c>
      <c r="B3647" s="2" t="s">
        <v>9027</v>
      </c>
      <c r="C3647" s="2" t="s">
        <v>49</v>
      </c>
      <c r="D3647" s="2" t="s">
        <v>50</v>
      </c>
      <c r="E3647" s="5">
        <v>-30865</v>
      </c>
      <c r="F3647" s="3" t="s">
        <v>163</v>
      </c>
      <c r="G3647" s="3" t="s">
        <v>71</v>
      </c>
      <c r="H3647" s="2" t="s">
        <v>72</v>
      </c>
      <c r="I3647" s="2" t="s">
        <v>9028</v>
      </c>
      <c r="J3647" s="3" t="str">
        <f>HYPERLINK("https://www.boe.es/gazeta/dias/1815/06/29/pdfs/GMD-1815-78.pdf#page=7","Abrir facsímil")</f>
        <v>Abrir facsímil</v>
      </c>
      <c r="K3647" s="3" t="s">
        <v>74</v>
      </c>
    </row>
    <row r="3648" spans="1:11" ht="42" customHeight="1">
      <c r="A3648" s="2" t="s">
        <v>9029</v>
      </c>
      <c r="B3648" s="2" t="s">
        <v>9030</v>
      </c>
      <c r="C3648" s="2" t="s">
        <v>31</v>
      </c>
      <c r="D3648" s="2" t="s">
        <v>32</v>
      </c>
      <c r="E3648" s="5">
        <v>-30730</v>
      </c>
      <c r="F3648" s="3" t="s">
        <v>953</v>
      </c>
      <c r="G3648" s="3" t="s">
        <v>97</v>
      </c>
      <c r="H3648" s="2" t="s">
        <v>72</v>
      </c>
      <c r="I3648" s="2" t="s">
        <v>9031</v>
      </c>
      <c r="J3648" s="3" t="str">
        <f>HYPERLINK("https://www.boe.es/gazeta/dias/1815/11/11/pdfs/GMD-1815-141.pdf#page=3","Abrir facsímil")</f>
        <v>Abrir facsímil</v>
      </c>
      <c r="K3648" s="3" t="s">
        <v>74</v>
      </c>
    </row>
    <row r="3649" spans="1:11" ht="42" customHeight="1">
      <c r="A3649" s="2" t="s">
        <v>9032</v>
      </c>
      <c r="B3649" s="2" t="s">
        <v>9033</v>
      </c>
      <c r="C3649" s="2" t="s">
        <v>31</v>
      </c>
      <c r="D3649" s="2" t="s">
        <v>32</v>
      </c>
      <c r="E3649" s="5">
        <v>-30818</v>
      </c>
      <c r="F3649" s="3" t="s">
        <v>334</v>
      </c>
      <c r="G3649" s="3" t="s">
        <v>224</v>
      </c>
      <c r="H3649" s="2" t="s">
        <v>72</v>
      </c>
      <c r="I3649" s="2" t="s">
        <v>9034</v>
      </c>
      <c r="J3649" s="3" t="str">
        <f>HYPERLINK("https://www.boe.es/gazeta/dias/1815/08/15/pdfs/GMD-1815-100.pdf#page=9","Abrir facsímil")</f>
        <v>Abrir facsímil</v>
      </c>
      <c r="K3649" s="3" t="s">
        <v>74</v>
      </c>
    </row>
    <row r="3650" spans="1:11" ht="42" customHeight="1">
      <c r="A3650" s="2" t="s">
        <v>9035</v>
      </c>
      <c r="B3650" s="2" t="s">
        <v>9036</v>
      </c>
      <c r="C3650" s="2" t="s">
        <v>31</v>
      </c>
      <c r="D3650" s="2" t="s">
        <v>32</v>
      </c>
      <c r="E3650" s="5">
        <v>-30970</v>
      </c>
      <c r="F3650" s="3" t="s">
        <v>436</v>
      </c>
      <c r="G3650" s="3" t="s">
        <v>71</v>
      </c>
      <c r="H3650" s="2" t="s">
        <v>72</v>
      </c>
      <c r="I3650" s="2" t="s">
        <v>9037</v>
      </c>
      <c r="J3650" s="3" t="str">
        <f>HYPERLINK("https://www.boe.es/gazeta/dias/1815/03/16/pdfs/GMD-1815-32.pdf#page=7","Abrir facsímil")</f>
        <v>Abrir facsímil</v>
      </c>
      <c r="K3650" s="3" t="s">
        <v>74</v>
      </c>
    </row>
    <row r="3651" spans="1:11" ht="42" customHeight="1">
      <c r="A3651" s="2" t="s">
        <v>9038</v>
      </c>
      <c r="B3651" s="2" t="s">
        <v>9039</v>
      </c>
      <c r="C3651" s="2" t="s">
        <v>49</v>
      </c>
      <c r="D3651" s="2" t="s">
        <v>50</v>
      </c>
      <c r="E3651" s="5">
        <v>-30893</v>
      </c>
      <c r="F3651" s="3" t="s">
        <v>132</v>
      </c>
      <c r="G3651" s="3" t="s">
        <v>155</v>
      </c>
      <c r="H3651" s="2" t="s">
        <v>72</v>
      </c>
      <c r="I3651" s="2" t="s">
        <v>9040</v>
      </c>
      <c r="J3651" s="3" t="str">
        <f>HYPERLINK("https://www.boe.es/gazeta/dias/1815/06/01/pdfs/GMD-1815-66.pdf#page=6","Abrir facsímil")</f>
        <v>Abrir facsímil</v>
      </c>
      <c r="K3651" s="3" t="s">
        <v>74</v>
      </c>
    </row>
    <row r="3652" spans="1:11" ht="42" customHeight="1">
      <c r="A3652" s="2" t="s">
        <v>9041</v>
      </c>
      <c r="B3652" s="2" t="s">
        <v>9042</v>
      </c>
      <c r="C3652" s="2" t="s">
        <v>31</v>
      </c>
      <c r="D3652" s="2" t="s">
        <v>32</v>
      </c>
      <c r="E3652" s="5">
        <v>-30872</v>
      </c>
      <c r="F3652" s="3" t="s">
        <v>167</v>
      </c>
      <c r="G3652" s="3" t="s">
        <v>27</v>
      </c>
      <c r="H3652" s="2" t="s">
        <v>72</v>
      </c>
      <c r="I3652" s="2" t="s">
        <v>9043</v>
      </c>
      <c r="J3652" s="3" t="str">
        <f>HYPERLINK("https://www.boe.es/gazeta/dias/1815/06/22/pdfs/GMD-1815-75.pdf#page=6","Abrir facsímil")</f>
        <v>Abrir facsímil</v>
      </c>
      <c r="K3652" s="3" t="s">
        <v>74</v>
      </c>
    </row>
    <row r="3653" spans="1:11" ht="42" customHeight="1">
      <c r="A3653" s="2" t="s">
        <v>9044</v>
      </c>
      <c r="B3653" s="2" t="s">
        <v>9045</v>
      </c>
      <c r="C3653" s="2" t="s">
        <v>195</v>
      </c>
      <c r="D3653" s="2" t="s">
        <v>50</v>
      </c>
      <c r="E3653" s="5">
        <v>-31024</v>
      </c>
      <c r="F3653" s="3" t="s">
        <v>101</v>
      </c>
      <c r="G3653" s="3" t="s">
        <v>71</v>
      </c>
      <c r="H3653" s="2" t="s">
        <v>72</v>
      </c>
      <c r="I3653" s="2" t="s">
        <v>9046</v>
      </c>
      <c r="J3653" s="3" t="str">
        <f>HYPERLINK("https://www.boe.es/gazeta/dias/1815/01/21/pdfs/GMD-1815-9.pdf#page=7","Abrir facsímil")</f>
        <v>Abrir facsímil</v>
      </c>
      <c r="K3653" s="3" t="s">
        <v>74</v>
      </c>
    </row>
    <row r="3654" spans="1:11" ht="42" customHeight="1">
      <c r="A3654" s="2" t="s">
        <v>9047</v>
      </c>
      <c r="B3654" s="2" t="s">
        <v>9048</v>
      </c>
      <c r="C3654" s="2" t="s">
        <v>31</v>
      </c>
      <c r="D3654" s="2" t="s">
        <v>32</v>
      </c>
      <c r="E3654" s="5">
        <v>-30886</v>
      </c>
      <c r="F3654" s="3" t="s">
        <v>140</v>
      </c>
      <c r="G3654" s="3" t="s">
        <v>88</v>
      </c>
      <c r="H3654" s="2" t="s">
        <v>72</v>
      </c>
      <c r="I3654" s="2" t="s">
        <v>9049</v>
      </c>
      <c r="J3654" s="3" t="str">
        <f>HYPERLINK("https://www.boe.es/gazeta/dias/1815/06/08/pdfs/GMD-1815-69.pdf#page=10","Abrir facsímil")</f>
        <v>Abrir facsímil</v>
      </c>
      <c r="K3654" s="3" t="s">
        <v>74</v>
      </c>
    </row>
    <row r="3655" spans="1:11" ht="42" customHeight="1">
      <c r="A3655" s="2" t="s">
        <v>9050</v>
      </c>
      <c r="B3655" s="2" t="s">
        <v>9051</v>
      </c>
      <c r="C3655" s="2" t="s">
        <v>49</v>
      </c>
      <c r="D3655" s="2" t="s">
        <v>50</v>
      </c>
      <c r="E3655" s="5">
        <v>-30893</v>
      </c>
      <c r="F3655" s="3" t="s">
        <v>132</v>
      </c>
      <c r="G3655" s="3" t="s">
        <v>155</v>
      </c>
      <c r="H3655" s="2" t="s">
        <v>21</v>
      </c>
      <c r="I3655" s="2" t="s">
        <v>9052</v>
      </c>
      <c r="J3655" s="3" t="str">
        <f>HYPERLINK("https://www.boe.es/gazeta/dias/1815/06/01/pdfs/GMD-1815-66.pdf#page=6","Abrir facsímil")</f>
        <v>Abrir facsímil</v>
      </c>
      <c r="K3655" s="3" t="s">
        <v>23</v>
      </c>
    </row>
    <row r="3656" spans="1:11" ht="42" customHeight="1">
      <c r="A3656" s="2" t="s">
        <v>9053</v>
      </c>
      <c r="B3656" s="2" t="s">
        <v>9054</v>
      </c>
      <c r="C3656" s="2" t="s">
        <v>49</v>
      </c>
      <c r="D3656" s="2" t="s">
        <v>50</v>
      </c>
      <c r="E3656" s="5">
        <v>-30907</v>
      </c>
      <c r="F3656" s="3" t="s">
        <v>301</v>
      </c>
      <c r="G3656" s="3" t="s">
        <v>71</v>
      </c>
      <c r="H3656" s="2" t="s">
        <v>72</v>
      </c>
      <c r="I3656" s="2" t="s">
        <v>9055</v>
      </c>
      <c r="J3656" s="3" t="str">
        <f>HYPERLINK("https://www.boe.es/gazeta/dias/1815/05/18/pdfs/GMD-1815-60.pdf#page=7","Abrir facsímil")</f>
        <v>Abrir facsímil</v>
      </c>
      <c r="K3656" s="3" t="s">
        <v>74</v>
      </c>
    </row>
    <row r="3657" spans="1:11" ht="42" customHeight="1">
      <c r="A3657" s="2" t="s">
        <v>9056</v>
      </c>
      <c r="B3657" s="2" t="s">
        <v>9057</v>
      </c>
      <c r="C3657" s="2" t="s">
        <v>195</v>
      </c>
      <c r="D3657" s="2" t="s">
        <v>50</v>
      </c>
      <c r="E3657" s="5">
        <v>-30888</v>
      </c>
      <c r="F3657" s="3" t="s">
        <v>368</v>
      </c>
      <c r="G3657" s="3" t="s">
        <v>224</v>
      </c>
      <c r="H3657" s="2" t="s">
        <v>72</v>
      </c>
      <c r="I3657" s="2" t="s">
        <v>9058</v>
      </c>
      <c r="J3657" s="3" t="str">
        <f>HYPERLINK("https://www.boe.es/gazeta/dias/1815/06/06/pdfs/GMD-1815-68.pdf#page=9","Abrir facsímil")</f>
        <v>Abrir facsímil</v>
      </c>
      <c r="K3657" s="3" t="s">
        <v>74</v>
      </c>
    </row>
    <row r="3658" spans="1:11" ht="42" customHeight="1">
      <c r="A3658" s="2" t="s">
        <v>9059</v>
      </c>
      <c r="B3658" s="2" t="s">
        <v>9060</v>
      </c>
      <c r="C3658" s="2" t="s">
        <v>17</v>
      </c>
      <c r="D3658" s="2" t="s">
        <v>18</v>
      </c>
      <c r="E3658" s="5">
        <v>-30739</v>
      </c>
      <c r="F3658" s="3" t="s">
        <v>254</v>
      </c>
      <c r="G3658" s="3" t="s">
        <v>88</v>
      </c>
      <c r="H3658" s="2" t="s">
        <v>72</v>
      </c>
      <c r="I3658" s="2" t="s">
        <v>9061</v>
      </c>
      <c r="J3658" s="3" t="str">
        <f>HYPERLINK("https://www.boe.es/gazeta/dias/1815/11/02/pdfs/GMD-1815-137.pdf#page=10","Abrir facsímil")</f>
        <v>Abrir facsímil</v>
      </c>
      <c r="K3658" s="3" t="s">
        <v>74</v>
      </c>
    </row>
    <row r="3659" spans="1:11" ht="42" customHeight="1">
      <c r="A3659" s="2" t="s">
        <v>9062</v>
      </c>
      <c r="B3659" s="2" t="s">
        <v>9063</v>
      </c>
      <c r="C3659" s="2" t="s">
        <v>17</v>
      </c>
      <c r="D3659" s="2" t="s">
        <v>18</v>
      </c>
      <c r="E3659" s="5">
        <v>-30851</v>
      </c>
      <c r="F3659" s="3" t="s">
        <v>442</v>
      </c>
      <c r="G3659" s="3" t="s">
        <v>38</v>
      </c>
      <c r="H3659" s="2" t="s">
        <v>72</v>
      </c>
      <c r="I3659" s="2" t="s">
        <v>9064</v>
      </c>
      <c r="J3659" s="3" t="str">
        <f>HYPERLINK("https://www.boe.es/gazeta/dias/1815/07/13/pdfs/GMD-1815-86.pdf#page=8","Abrir facsímil")</f>
        <v>Abrir facsímil</v>
      </c>
      <c r="K3659" s="3" t="s">
        <v>74</v>
      </c>
    </row>
    <row r="3660" spans="1:11" ht="42" customHeight="1">
      <c r="A3660" s="2" t="s">
        <v>9065</v>
      </c>
      <c r="B3660" s="2" t="s">
        <v>9066</v>
      </c>
      <c r="C3660" s="2" t="s">
        <v>31</v>
      </c>
      <c r="D3660" s="2" t="s">
        <v>32</v>
      </c>
      <c r="E3660" s="5">
        <v>-30977</v>
      </c>
      <c r="F3660" s="3" t="s">
        <v>37</v>
      </c>
      <c r="G3660" s="3" t="s">
        <v>71</v>
      </c>
      <c r="H3660" s="2" t="s">
        <v>72</v>
      </c>
      <c r="I3660" s="2" t="s">
        <v>9067</v>
      </c>
      <c r="J3660" s="3" t="str">
        <f>HYPERLINK("https://www.boe.es/gazeta/dias/1815/03/09/pdfs/GMD-1815-29.pdf#page=7","Abrir facsímil")</f>
        <v>Abrir facsímil</v>
      </c>
      <c r="K3660" s="3" t="s">
        <v>74</v>
      </c>
    </row>
    <row r="3661" spans="1:11" ht="42" customHeight="1">
      <c r="A3661" s="2" t="s">
        <v>9068</v>
      </c>
      <c r="B3661" s="2" t="s">
        <v>9069</v>
      </c>
      <c r="C3661" s="2" t="s">
        <v>31</v>
      </c>
      <c r="D3661" s="2" t="s">
        <v>32</v>
      </c>
      <c r="E3661" s="5">
        <v>-30739</v>
      </c>
      <c r="F3661" s="3" t="s">
        <v>254</v>
      </c>
      <c r="G3661" s="3" t="s">
        <v>52</v>
      </c>
      <c r="H3661" s="2" t="s">
        <v>72</v>
      </c>
      <c r="I3661" s="2" t="s">
        <v>9070</v>
      </c>
      <c r="J3661" s="3" t="str">
        <f>HYPERLINK("https://www.boe.es/gazeta/dias/1815/11/02/pdfs/GMD-1815-137.pdf#page=11","Abrir facsímil")</f>
        <v>Abrir facsímil</v>
      </c>
      <c r="K3661" s="3" t="s">
        <v>74</v>
      </c>
    </row>
    <row r="3662" spans="1:11" ht="42" customHeight="1">
      <c r="A3662" s="2" t="s">
        <v>9071</v>
      </c>
      <c r="B3662" s="2" t="s">
        <v>9072</v>
      </c>
      <c r="C3662" s="2" t="s">
        <v>17</v>
      </c>
      <c r="D3662" s="2" t="s">
        <v>18</v>
      </c>
      <c r="E3662" s="5">
        <v>-30975</v>
      </c>
      <c r="F3662" s="3" t="s">
        <v>1194</v>
      </c>
      <c r="G3662" s="3" t="s">
        <v>71</v>
      </c>
      <c r="H3662" s="2" t="s">
        <v>72</v>
      </c>
      <c r="I3662" s="2" t="s">
        <v>9073</v>
      </c>
      <c r="J3662" s="3" t="str">
        <f>HYPERLINK("https://www.boe.es/gazeta/dias/1815/03/11/pdfs/GMD-1815-30.pdf#page=7","Abrir facsímil")</f>
        <v>Abrir facsímil</v>
      </c>
      <c r="K3662" s="3" t="s">
        <v>74</v>
      </c>
    </row>
    <row r="3663" spans="1:11" ht="42" customHeight="1">
      <c r="A3663" s="2" t="s">
        <v>9074</v>
      </c>
      <c r="B3663" s="2" t="s">
        <v>9075</v>
      </c>
      <c r="C3663" s="2" t="s">
        <v>195</v>
      </c>
      <c r="D3663" s="2" t="s">
        <v>50</v>
      </c>
      <c r="E3663" s="5">
        <v>-30900</v>
      </c>
      <c r="F3663" s="3" t="s">
        <v>921</v>
      </c>
      <c r="G3663" s="3" t="s">
        <v>88</v>
      </c>
      <c r="H3663" s="2" t="s">
        <v>72</v>
      </c>
      <c r="I3663" s="2" t="s">
        <v>9076</v>
      </c>
      <c r="J3663" s="3" t="str">
        <f>HYPERLINK("https://www.boe.es/gazeta/dias/1815/05/25/pdfs/GMD-1815-63.pdf#page=10","Abrir facsímil")</f>
        <v>Abrir facsímil</v>
      </c>
      <c r="K3663" s="3" t="s">
        <v>74</v>
      </c>
    </row>
    <row r="3664" spans="1:11" ht="42" customHeight="1">
      <c r="A3664" s="2" t="s">
        <v>9077</v>
      </c>
      <c r="B3664" s="2" t="s">
        <v>9078</v>
      </c>
      <c r="C3664" s="2" t="s">
        <v>61</v>
      </c>
      <c r="D3664" s="2" t="s">
        <v>50</v>
      </c>
      <c r="E3664" s="5">
        <v>-30886</v>
      </c>
      <c r="F3664" s="3" t="s">
        <v>140</v>
      </c>
      <c r="G3664" s="3" t="s">
        <v>52</v>
      </c>
      <c r="H3664" s="2" t="s">
        <v>72</v>
      </c>
      <c r="I3664" s="2" t="s">
        <v>9079</v>
      </c>
      <c r="J3664" s="3" t="str">
        <f>HYPERLINK("https://www.boe.es/gazeta/dias/1815/06/08/pdfs/GMD-1815-69.pdf#page=11","Abrir facsímil")</f>
        <v>Abrir facsímil</v>
      </c>
      <c r="K3664" s="3" t="s">
        <v>74</v>
      </c>
    </row>
    <row r="3665" spans="1:11" ht="42" customHeight="1">
      <c r="A3665" s="2" t="s">
        <v>9080</v>
      </c>
      <c r="B3665" s="2" t="s">
        <v>9081</v>
      </c>
      <c r="C3665" s="2" t="s">
        <v>195</v>
      </c>
      <c r="D3665" s="2" t="s">
        <v>50</v>
      </c>
      <c r="E3665" s="5">
        <v>-30874</v>
      </c>
      <c r="F3665" s="3" t="s">
        <v>208</v>
      </c>
      <c r="G3665" s="3" t="s">
        <v>38</v>
      </c>
      <c r="H3665" s="2" t="s">
        <v>72</v>
      </c>
      <c r="I3665" s="2" t="s">
        <v>9082</v>
      </c>
      <c r="J3665" s="3" t="str">
        <f>HYPERLINK("https://www.boe.es/gazeta/dias/1815/06/20/pdfs/GMD-1815-74.pdf#page=8","Abrir facsímil")</f>
        <v>Abrir facsímil</v>
      </c>
      <c r="K3665" s="3" t="s">
        <v>74</v>
      </c>
    </row>
    <row r="3666" spans="1:11" ht="42" customHeight="1">
      <c r="A3666" s="2" t="s">
        <v>9083</v>
      </c>
      <c r="B3666" s="2" t="s">
        <v>9084</v>
      </c>
      <c r="C3666" s="2" t="s">
        <v>17</v>
      </c>
      <c r="D3666" s="2" t="s">
        <v>18</v>
      </c>
      <c r="E3666" s="5">
        <v>-31014</v>
      </c>
      <c r="F3666" s="3" t="s">
        <v>3193</v>
      </c>
      <c r="G3666" s="3" t="s">
        <v>20</v>
      </c>
      <c r="H3666" s="2" t="s">
        <v>72</v>
      </c>
      <c r="I3666" s="2" t="s">
        <v>9085</v>
      </c>
      <c r="J3666" s="3" t="str">
        <f>HYPERLINK("https://www.boe.es/gazeta/dias/1815/01/31/pdfs/GMD-1815-13.pdf#page=4","Abrir facsímil")</f>
        <v>Abrir facsímil</v>
      </c>
      <c r="K3666" s="3" t="s">
        <v>74</v>
      </c>
    </row>
    <row r="3667" spans="1:11" ht="42" customHeight="1">
      <c r="A3667" s="2" t="s">
        <v>9086</v>
      </c>
      <c r="B3667" s="2" t="s">
        <v>9086</v>
      </c>
      <c r="C3667" s="2" t="s">
        <v>195</v>
      </c>
      <c r="D3667" s="2" t="s">
        <v>50</v>
      </c>
      <c r="E3667" s="5">
        <v>-30697</v>
      </c>
      <c r="F3667" s="3" t="s">
        <v>381</v>
      </c>
      <c r="G3667" s="3" t="s">
        <v>1556</v>
      </c>
      <c r="H3667" s="2" t="s">
        <v>72</v>
      </c>
      <c r="I3667" s="2" t="s">
        <v>9087</v>
      </c>
      <c r="J3667" s="3" t="str">
        <f>HYPERLINK("https://www.boe.es/gazeta/dias/1815/12/14/pdfs/GMD-1815-155.pdf#page=8","Abrir facsímil")</f>
        <v>Abrir facsímil</v>
      </c>
      <c r="K3667" s="3" t="s">
        <v>74</v>
      </c>
    </row>
    <row r="3668" spans="1:11" ht="42" customHeight="1">
      <c r="A3668" s="2" t="s">
        <v>9088</v>
      </c>
      <c r="B3668" s="2" t="s">
        <v>9089</v>
      </c>
      <c r="C3668" s="2" t="s">
        <v>49</v>
      </c>
      <c r="D3668" s="2" t="s">
        <v>50</v>
      </c>
      <c r="E3668" s="5">
        <v>-30865</v>
      </c>
      <c r="F3668" s="3" t="s">
        <v>163</v>
      </c>
      <c r="G3668" s="3" t="s">
        <v>71</v>
      </c>
      <c r="H3668" s="2" t="s">
        <v>72</v>
      </c>
      <c r="I3668" s="2" t="s">
        <v>9090</v>
      </c>
      <c r="J3668" s="3" t="str">
        <f>HYPERLINK("https://www.boe.es/gazeta/dias/1815/06/29/pdfs/GMD-1815-78.pdf#page=7","Abrir facsímil")</f>
        <v>Abrir facsímil</v>
      </c>
      <c r="K3668" s="3" t="s">
        <v>74</v>
      </c>
    </row>
    <row r="3669" spans="1:11" ht="42" customHeight="1">
      <c r="A3669" s="2" t="s">
        <v>9091</v>
      </c>
      <c r="B3669" s="2" t="s">
        <v>9092</v>
      </c>
      <c r="C3669" s="2" t="s">
        <v>195</v>
      </c>
      <c r="D3669" s="2" t="s">
        <v>50</v>
      </c>
      <c r="E3669" s="5">
        <v>-30996</v>
      </c>
      <c r="F3669" s="3" t="s">
        <v>289</v>
      </c>
      <c r="G3669" s="3" t="s">
        <v>27</v>
      </c>
      <c r="H3669" s="2" t="s">
        <v>72</v>
      </c>
      <c r="I3669" s="2" t="s">
        <v>9093</v>
      </c>
      <c r="J3669" s="3" t="str">
        <f>HYPERLINK("https://www.boe.es/gazeta/dias/1815/02/18/pdfs/GMD-1815-21.pdf#page=6","Abrir facsímil")</f>
        <v>Abrir facsímil</v>
      </c>
      <c r="K3669" s="3" t="s">
        <v>74</v>
      </c>
    </row>
    <row r="3670" spans="1:11" ht="42" customHeight="1">
      <c r="A3670" s="2" t="s">
        <v>9094</v>
      </c>
      <c r="B3670" s="2" t="s">
        <v>9095</v>
      </c>
      <c r="C3670" s="2" t="s">
        <v>17</v>
      </c>
      <c r="D3670" s="2" t="s">
        <v>18</v>
      </c>
      <c r="E3670" s="5">
        <v>-30772</v>
      </c>
      <c r="F3670" s="3" t="s">
        <v>216</v>
      </c>
      <c r="G3670" s="3" t="s">
        <v>990</v>
      </c>
      <c r="H3670" s="2" t="s">
        <v>72</v>
      </c>
      <c r="I3670" s="2" t="s">
        <v>9096</v>
      </c>
      <c r="J3670" s="3" t="str">
        <f>HYPERLINK("https://www.boe.es/gazeta/dias/1815/09/30/pdfs/GMD-1815-123.pdf#page=8","Abrir facsímil")</f>
        <v>Abrir facsímil</v>
      </c>
      <c r="K3670" s="3" t="s">
        <v>74</v>
      </c>
    </row>
    <row r="3671" spans="1:11" ht="42" customHeight="1">
      <c r="A3671" s="2" t="s">
        <v>9094</v>
      </c>
      <c r="B3671" s="2" t="s">
        <v>9095</v>
      </c>
      <c r="C3671" s="2" t="s">
        <v>61</v>
      </c>
      <c r="D3671" s="2" t="s">
        <v>50</v>
      </c>
      <c r="E3671" s="5">
        <v>-30751</v>
      </c>
      <c r="F3671" s="3" t="s">
        <v>819</v>
      </c>
      <c r="G3671" s="3" t="s">
        <v>38</v>
      </c>
      <c r="H3671" s="2" t="s">
        <v>72</v>
      </c>
      <c r="I3671" s="2" t="s">
        <v>9097</v>
      </c>
      <c r="J3671" s="3" t="str">
        <f>HYPERLINK("https://www.boe.es/gazeta/dias/1815/10/21/pdfs/GMD-1815-132.pdf#page=8","Abrir facsímil")</f>
        <v>Abrir facsímil</v>
      </c>
      <c r="K3671" s="3" t="s">
        <v>74</v>
      </c>
    </row>
    <row r="3672" spans="1:11" ht="42" customHeight="1">
      <c r="A3672" s="2" t="s">
        <v>9098</v>
      </c>
      <c r="B3672" s="2" t="s">
        <v>9099</v>
      </c>
      <c r="C3672" s="2" t="s">
        <v>49</v>
      </c>
      <c r="D3672" s="2" t="s">
        <v>50</v>
      </c>
      <c r="E3672" s="5">
        <v>-30767</v>
      </c>
      <c r="F3672" s="3" t="s">
        <v>228</v>
      </c>
      <c r="G3672" s="3" t="s">
        <v>88</v>
      </c>
      <c r="H3672" s="2" t="s">
        <v>72</v>
      </c>
      <c r="I3672" s="2" t="s">
        <v>9100</v>
      </c>
      <c r="J3672" s="3" t="str">
        <f>HYPERLINK("https://www.boe.es/gazeta/dias/1815/10/05/pdfs/GMD-1815-125.pdf#page=10","Abrir facsímil")</f>
        <v>Abrir facsímil</v>
      </c>
      <c r="K3672" s="3" t="s">
        <v>74</v>
      </c>
    </row>
    <row r="3673" spans="1:11" ht="42" customHeight="1">
      <c r="A3673" s="2" t="s">
        <v>9101</v>
      </c>
      <c r="B3673" s="2" t="s">
        <v>9102</v>
      </c>
      <c r="C3673" s="2" t="s">
        <v>31</v>
      </c>
      <c r="D3673" s="2" t="s">
        <v>32</v>
      </c>
      <c r="E3673" s="5">
        <v>-30818</v>
      </c>
      <c r="F3673" s="3" t="s">
        <v>334</v>
      </c>
      <c r="G3673" s="3" t="s">
        <v>38</v>
      </c>
      <c r="H3673" s="2" t="s">
        <v>72</v>
      </c>
      <c r="I3673" s="2" t="s">
        <v>9103</v>
      </c>
      <c r="J3673" s="3" t="str">
        <f>HYPERLINK("https://www.boe.es/gazeta/dias/1815/08/15/pdfs/GMD-1815-100.pdf#page=8","Abrir facsímil")</f>
        <v>Abrir facsímil</v>
      </c>
      <c r="K3673" s="3" t="s">
        <v>74</v>
      </c>
    </row>
    <row r="3674" spans="1:11" ht="42" customHeight="1">
      <c r="A3674" s="2" t="s">
        <v>9104</v>
      </c>
      <c r="B3674" s="2" t="s">
        <v>9105</v>
      </c>
      <c r="C3674" s="2" t="s">
        <v>49</v>
      </c>
      <c r="D3674" s="2" t="s">
        <v>50</v>
      </c>
      <c r="E3674" s="5">
        <v>-30860</v>
      </c>
      <c r="F3674" s="3" t="s">
        <v>184</v>
      </c>
      <c r="G3674" s="3" t="s">
        <v>20</v>
      </c>
      <c r="H3674" s="2" t="s">
        <v>72</v>
      </c>
      <c r="I3674" s="2" t="s">
        <v>9106</v>
      </c>
      <c r="J3674" s="3" t="str">
        <f>HYPERLINK("https://www.boe.es/gazeta/dias/1815/07/04/pdfs/GMD-1815-81.pdf#page=4","Abrir facsímil")</f>
        <v>Abrir facsímil</v>
      </c>
      <c r="K3674" s="3" t="s">
        <v>74</v>
      </c>
    </row>
    <row r="3675" spans="1:11" ht="42" customHeight="1">
      <c r="A3675" s="2" t="s">
        <v>9107</v>
      </c>
      <c r="B3675" s="2" t="s">
        <v>9108</v>
      </c>
      <c r="C3675" s="2" t="s">
        <v>17</v>
      </c>
      <c r="D3675" s="2" t="s">
        <v>18</v>
      </c>
      <c r="E3675" s="5">
        <v>-30975</v>
      </c>
      <c r="F3675" s="3" t="s">
        <v>1194</v>
      </c>
      <c r="G3675" s="3" t="s">
        <v>38</v>
      </c>
      <c r="H3675" s="2" t="s">
        <v>21</v>
      </c>
      <c r="I3675" s="2" t="s">
        <v>9109</v>
      </c>
      <c r="J3675" s="3" t="str">
        <f>HYPERLINK("https://www.boe.es/gazeta/dias/1815/03/11/pdfs/GMD-1815-30.pdf#page=8","Abrir facsímil")</f>
        <v>Abrir facsímil</v>
      </c>
      <c r="K3675" s="3" t="s">
        <v>23</v>
      </c>
    </row>
    <row r="3676" spans="1:11" ht="42" customHeight="1">
      <c r="A3676" s="2" t="s">
        <v>9110</v>
      </c>
      <c r="B3676" s="2" t="s">
        <v>9111</v>
      </c>
      <c r="C3676" s="2" t="s">
        <v>195</v>
      </c>
      <c r="D3676" s="2" t="s">
        <v>50</v>
      </c>
      <c r="E3676" s="5">
        <v>-30739</v>
      </c>
      <c r="F3676" s="3" t="s">
        <v>254</v>
      </c>
      <c r="G3676" s="3" t="s">
        <v>52</v>
      </c>
      <c r="H3676" s="2" t="s">
        <v>72</v>
      </c>
      <c r="I3676" s="2" t="s">
        <v>9112</v>
      </c>
      <c r="J3676" s="3" t="str">
        <f>HYPERLINK("https://www.boe.es/gazeta/dias/1815/11/02/pdfs/GMD-1815-137.pdf#page=11","Abrir facsímil")</f>
        <v>Abrir facsímil</v>
      </c>
      <c r="K3676" s="3" t="s">
        <v>74</v>
      </c>
    </row>
    <row r="3677" spans="1:11" ht="42" customHeight="1">
      <c r="A3677" s="2" t="s">
        <v>9113</v>
      </c>
      <c r="B3677" s="2" t="s">
        <v>9114</v>
      </c>
      <c r="C3677" s="2" t="s">
        <v>17</v>
      </c>
      <c r="D3677" s="2" t="s">
        <v>18</v>
      </c>
      <c r="E3677" s="5">
        <v>-31033</v>
      </c>
      <c r="F3677" s="3" t="s">
        <v>493</v>
      </c>
      <c r="G3677" s="3" t="s">
        <v>9115</v>
      </c>
      <c r="H3677" s="2" t="s">
        <v>21</v>
      </c>
      <c r="I3677" s="2" t="s">
        <v>9116</v>
      </c>
      <c r="J3677" s="3" t="str">
        <f>HYPERLINK("https://www.boe.es/gazeta/dias/1815/01/12/pdfs/GMD-1815-5.pdf#page=4","Abrir facsímil")</f>
        <v>Abrir facsímil</v>
      </c>
      <c r="K3677" s="3" t="s">
        <v>23</v>
      </c>
    </row>
    <row r="3678" spans="1:11" ht="42" customHeight="1">
      <c r="A3678" s="2" t="s">
        <v>9117</v>
      </c>
      <c r="B3678" s="2" t="s">
        <v>9118</v>
      </c>
      <c r="C3678" s="2" t="s">
        <v>49</v>
      </c>
      <c r="D3678" s="2" t="s">
        <v>50</v>
      </c>
      <c r="E3678" s="5">
        <v>-30942</v>
      </c>
      <c r="F3678" s="3" t="s">
        <v>730</v>
      </c>
      <c r="G3678" s="3" t="s">
        <v>862</v>
      </c>
      <c r="H3678" s="2" t="s">
        <v>72</v>
      </c>
      <c r="I3678" s="2" t="s">
        <v>9119</v>
      </c>
      <c r="J3678" s="3" t="str">
        <f>HYPERLINK("https://www.boe.es/gazeta/dias/1815/04/13/pdfs/GMD-1815-45.pdf#page=6","Abrir facsímil")</f>
        <v>Abrir facsímil</v>
      </c>
      <c r="K3678" s="3" t="s">
        <v>74</v>
      </c>
    </row>
    <row r="3679" spans="1:11" ht="42" customHeight="1">
      <c r="A3679" s="2" t="s">
        <v>9120</v>
      </c>
      <c r="B3679" s="2" t="s">
        <v>9121</v>
      </c>
      <c r="C3679" s="2" t="s">
        <v>31</v>
      </c>
      <c r="D3679" s="2" t="s">
        <v>32</v>
      </c>
      <c r="E3679" s="5">
        <v>-30725</v>
      </c>
      <c r="F3679" s="3" t="s">
        <v>1535</v>
      </c>
      <c r="G3679" s="3" t="s">
        <v>5348</v>
      </c>
      <c r="H3679" s="2" t="s">
        <v>21</v>
      </c>
      <c r="I3679" s="2" t="s">
        <v>9122</v>
      </c>
      <c r="J3679" s="3" t="str">
        <f>HYPERLINK("https://www.boe.es/gazeta/dias/1815/11/16/pdfs/GMD-1815-143.pdf#page=7","Abrir facsímil")</f>
        <v>Abrir facsímil</v>
      </c>
      <c r="K3679" s="3" t="s">
        <v>23</v>
      </c>
    </row>
    <row r="3680" spans="1:11" ht="42" customHeight="1">
      <c r="A3680" s="2" t="s">
        <v>9123</v>
      </c>
      <c r="B3680" s="2" t="s">
        <v>9124</v>
      </c>
      <c r="C3680" s="2" t="s">
        <v>31</v>
      </c>
      <c r="D3680" s="2" t="s">
        <v>32</v>
      </c>
      <c r="E3680" s="5">
        <v>-30816</v>
      </c>
      <c r="F3680" s="3" t="s">
        <v>1253</v>
      </c>
      <c r="G3680" s="3" t="s">
        <v>71</v>
      </c>
      <c r="H3680" s="2" t="s">
        <v>72</v>
      </c>
      <c r="I3680" s="2" t="s">
        <v>9125</v>
      </c>
      <c r="J3680" s="3" t="str">
        <f>HYPERLINK("https://www.boe.es/gazeta/dias/1815/08/17/pdfs/GMD-1815-101.pdf#page=7","Abrir facsímil")</f>
        <v>Abrir facsímil</v>
      </c>
      <c r="K3680" s="3" t="s">
        <v>74</v>
      </c>
    </row>
    <row r="3681" spans="1:11" ht="42" customHeight="1">
      <c r="A3681" s="2" t="s">
        <v>9126</v>
      </c>
      <c r="B3681" s="2" t="s">
        <v>9127</v>
      </c>
      <c r="C3681" s="2" t="s">
        <v>31</v>
      </c>
      <c r="D3681" s="2" t="s">
        <v>32</v>
      </c>
      <c r="E3681" s="5">
        <v>-30739</v>
      </c>
      <c r="F3681" s="3" t="s">
        <v>254</v>
      </c>
      <c r="G3681" s="3" t="s">
        <v>52</v>
      </c>
      <c r="H3681" s="2" t="s">
        <v>21</v>
      </c>
      <c r="I3681" s="2" t="s">
        <v>9128</v>
      </c>
      <c r="J3681" s="3" t="str">
        <f>HYPERLINK("https://www.boe.es/gazeta/dias/1815/11/02/pdfs/GMD-1815-137.pdf#page=11","Abrir facsímil")</f>
        <v>Abrir facsímil</v>
      </c>
      <c r="K3681" s="3" t="s">
        <v>23</v>
      </c>
    </row>
    <row r="3682" spans="1:11" ht="42" customHeight="1">
      <c r="A3682" s="2" t="s">
        <v>9129</v>
      </c>
      <c r="B3682" s="2" t="s">
        <v>9130</v>
      </c>
      <c r="C3682" s="2" t="s">
        <v>49</v>
      </c>
      <c r="D3682" s="2" t="s">
        <v>50</v>
      </c>
      <c r="E3682" s="5">
        <v>-31038</v>
      </c>
      <c r="F3682" s="3" t="s">
        <v>395</v>
      </c>
      <c r="G3682" s="3" t="s">
        <v>27</v>
      </c>
      <c r="H3682" s="2" t="s">
        <v>72</v>
      </c>
      <c r="I3682" s="2" t="s">
        <v>9131</v>
      </c>
      <c r="J3682" s="3" t="str">
        <f>HYPERLINK("https://www.boe.es/gazeta/dias/1815/01/07/pdfs/GMD-1815-3.pdf#page=6","Abrir facsímil")</f>
        <v>Abrir facsímil</v>
      </c>
      <c r="K3682" s="3" t="s">
        <v>74</v>
      </c>
    </row>
    <row r="3683" spans="1:11" ht="42" customHeight="1">
      <c r="A3683" s="2" t="s">
        <v>9132</v>
      </c>
      <c r="B3683" s="2" t="s">
        <v>9132</v>
      </c>
      <c r="C3683" s="2" t="s">
        <v>31</v>
      </c>
      <c r="D3683" s="2" t="s">
        <v>179</v>
      </c>
      <c r="E3683" s="5">
        <v>-30863</v>
      </c>
      <c r="F3683" s="3" t="s">
        <v>2024</v>
      </c>
      <c r="G3683" s="3" t="s">
        <v>57</v>
      </c>
      <c r="H3683" s="2" t="s">
        <v>72</v>
      </c>
      <c r="I3683" s="2" t="s">
        <v>9133</v>
      </c>
      <c r="J3683" s="3" t="str">
        <f>HYPERLINK("https://www.boe.es/gazeta/dias/1815/07/01/pdfs/GMD-1815-80E.pdf#page=5","Abrir facsímil")</f>
        <v>Abrir facsímil</v>
      </c>
      <c r="K3683" s="3" t="s">
        <v>74</v>
      </c>
    </row>
    <row r="3684" spans="1:11" ht="42" customHeight="1">
      <c r="A3684" s="2" t="s">
        <v>9134</v>
      </c>
      <c r="B3684" s="2" t="s">
        <v>9135</v>
      </c>
      <c r="C3684" s="2" t="s">
        <v>195</v>
      </c>
      <c r="D3684" s="2" t="s">
        <v>50</v>
      </c>
      <c r="E3684" s="5">
        <v>-30888</v>
      </c>
      <c r="F3684" s="3" t="s">
        <v>368</v>
      </c>
      <c r="G3684" s="3" t="s">
        <v>224</v>
      </c>
      <c r="H3684" s="2" t="s">
        <v>72</v>
      </c>
      <c r="I3684" s="2" t="s">
        <v>9136</v>
      </c>
      <c r="J3684" s="3" t="str">
        <f>HYPERLINK("https://www.boe.es/gazeta/dias/1815/06/06/pdfs/GMD-1815-68.pdf#page=9","Abrir facsímil")</f>
        <v>Abrir facsímil</v>
      </c>
      <c r="K3684" s="3" t="s">
        <v>74</v>
      </c>
    </row>
    <row r="3685" spans="1:11" ht="42" customHeight="1">
      <c r="A3685" s="2" t="s">
        <v>9137</v>
      </c>
      <c r="B3685" s="2" t="s">
        <v>9138</v>
      </c>
      <c r="C3685" s="2" t="s">
        <v>31</v>
      </c>
      <c r="D3685" s="2" t="s">
        <v>32</v>
      </c>
      <c r="E3685" s="5">
        <v>-31035</v>
      </c>
      <c r="F3685" s="3" t="s">
        <v>42</v>
      </c>
      <c r="G3685" s="3" t="s">
        <v>3551</v>
      </c>
      <c r="H3685" s="2" t="s">
        <v>72</v>
      </c>
      <c r="I3685" s="2" t="s">
        <v>9139</v>
      </c>
      <c r="J3685" s="3" t="str">
        <f>HYPERLINK("https://www.boe.es/gazeta/dias/1815/01/10/pdfs/GMD-1815-4.pdf#page=8","Abrir facsímil")</f>
        <v>Abrir facsímil</v>
      </c>
      <c r="K3685" s="3" t="s">
        <v>74</v>
      </c>
    </row>
    <row r="3686" spans="1:11" ht="42" customHeight="1">
      <c r="A3686" s="2" t="s">
        <v>9140</v>
      </c>
      <c r="B3686" s="2" t="s">
        <v>9141</v>
      </c>
      <c r="C3686" s="2" t="s">
        <v>31</v>
      </c>
      <c r="D3686" s="2" t="s">
        <v>32</v>
      </c>
      <c r="E3686" s="5">
        <v>-30958</v>
      </c>
      <c r="F3686" s="3" t="s">
        <v>297</v>
      </c>
      <c r="G3686" s="3" t="s">
        <v>57</v>
      </c>
      <c r="H3686" s="2" t="s">
        <v>72</v>
      </c>
      <c r="I3686" s="2" t="s">
        <v>9142</v>
      </c>
      <c r="J3686" s="3" t="str">
        <f>HYPERLINK("https://www.boe.es/gazeta/dias/1815/03/28/pdfs/GMD-1815-37.pdf#page=5","Abrir facsímil")</f>
        <v>Abrir facsímil</v>
      </c>
      <c r="K3686" s="3" t="s">
        <v>74</v>
      </c>
    </row>
    <row r="3687" spans="1:11" ht="42" customHeight="1">
      <c r="A3687" s="2" t="s">
        <v>9143</v>
      </c>
      <c r="B3687" s="2" t="s">
        <v>9143</v>
      </c>
      <c r="C3687" s="2" t="s">
        <v>31</v>
      </c>
      <c r="D3687" s="2" t="s">
        <v>32</v>
      </c>
      <c r="E3687" s="5">
        <v>-30930</v>
      </c>
      <c r="F3687" s="3" t="s">
        <v>51</v>
      </c>
      <c r="G3687" s="3" t="s">
        <v>57</v>
      </c>
      <c r="H3687" s="2" t="s">
        <v>72</v>
      </c>
      <c r="I3687" s="2" t="s">
        <v>9144</v>
      </c>
      <c r="J3687" s="3" t="str">
        <f>HYPERLINK("https://www.boe.es/gazeta/dias/1815/04/25/pdfs/GMD-1815-50.pdf#page=5","Abrir facsímil")</f>
        <v>Abrir facsímil</v>
      </c>
      <c r="K3687" s="3" t="s">
        <v>74</v>
      </c>
    </row>
    <row r="3688" spans="1:11" ht="42" customHeight="1">
      <c r="A3688" s="2" t="s">
        <v>9145</v>
      </c>
      <c r="B3688" s="2" t="s">
        <v>9146</v>
      </c>
      <c r="C3688" s="2" t="s">
        <v>81</v>
      </c>
      <c r="D3688" s="2" t="s">
        <v>50</v>
      </c>
      <c r="E3688" s="5">
        <v>-30891</v>
      </c>
      <c r="F3688" s="3" t="s">
        <v>498</v>
      </c>
      <c r="G3688" s="3" t="s">
        <v>71</v>
      </c>
      <c r="H3688" s="2" t="s">
        <v>72</v>
      </c>
      <c r="I3688" s="2" t="s">
        <v>9147</v>
      </c>
      <c r="J3688" s="3" t="str">
        <f>HYPERLINK("https://www.boe.es/gazeta/dias/1815/06/03/pdfs/GMD-1815-67.pdf#page=7","Abrir facsímil")</f>
        <v>Abrir facsímil</v>
      </c>
      <c r="K3688" s="3" t="s">
        <v>74</v>
      </c>
    </row>
    <row r="3689" spans="1:11" ht="42" customHeight="1">
      <c r="A3689" s="2" t="s">
        <v>9145</v>
      </c>
      <c r="B3689" s="2" t="s">
        <v>9146</v>
      </c>
      <c r="C3689" s="2" t="s">
        <v>195</v>
      </c>
      <c r="D3689" s="2" t="s">
        <v>50</v>
      </c>
      <c r="E3689" s="5">
        <v>-30874</v>
      </c>
      <c r="F3689" s="3" t="s">
        <v>208</v>
      </c>
      <c r="G3689" s="3" t="s">
        <v>71</v>
      </c>
      <c r="H3689" s="2" t="s">
        <v>72</v>
      </c>
      <c r="I3689" s="2" t="s">
        <v>9148</v>
      </c>
      <c r="J3689" s="3" t="str">
        <f>HYPERLINK("https://www.boe.es/gazeta/dias/1815/06/20/pdfs/GMD-1815-74.pdf#page=7","Abrir facsímil")</f>
        <v>Abrir facsímil</v>
      </c>
      <c r="K3689" s="3" t="s">
        <v>74</v>
      </c>
    </row>
    <row r="3690" spans="1:11" ht="42" customHeight="1">
      <c r="A3690" s="2" t="s">
        <v>9149</v>
      </c>
      <c r="B3690" s="2" t="s">
        <v>9150</v>
      </c>
      <c r="C3690" s="2" t="s">
        <v>17</v>
      </c>
      <c r="D3690" s="2" t="s">
        <v>18</v>
      </c>
      <c r="E3690" s="5">
        <v>-30942</v>
      </c>
      <c r="F3690" s="3" t="s">
        <v>730</v>
      </c>
      <c r="G3690" s="3" t="s">
        <v>71</v>
      </c>
      <c r="H3690" s="2" t="s">
        <v>72</v>
      </c>
      <c r="I3690" s="2" t="s">
        <v>9151</v>
      </c>
      <c r="J3690" s="3" t="str">
        <f>HYPERLINK("https://www.boe.es/gazeta/dias/1815/04/13/pdfs/GMD-1815-45.pdf#page=7","Abrir facsímil")</f>
        <v>Abrir facsímil</v>
      </c>
      <c r="K3690" s="3" t="s">
        <v>74</v>
      </c>
    </row>
    <row r="3691" spans="1:11" ht="42" customHeight="1">
      <c r="A3691" s="2" t="s">
        <v>9152</v>
      </c>
      <c r="B3691" s="2" t="s">
        <v>9152</v>
      </c>
      <c r="C3691" s="2" t="s">
        <v>31</v>
      </c>
      <c r="D3691" s="2" t="s">
        <v>32</v>
      </c>
      <c r="E3691" s="5">
        <v>-30690</v>
      </c>
      <c r="F3691" s="3" t="s">
        <v>1449</v>
      </c>
      <c r="G3691" s="3" t="s">
        <v>71</v>
      </c>
      <c r="H3691" s="2" t="s">
        <v>72</v>
      </c>
      <c r="I3691" s="2" t="s">
        <v>9153</v>
      </c>
      <c r="J3691" s="3" t="str">
        <f>HYPERLINK("https://www.boe.es/gazeta/dias/1815/12/21/pdfs/GMD-1815-158.pdf#page=7","Abrir facsímil")</f>
        <v>Abrir facsímil</v>
      </c>
      <c r="K3691" s="3" t="s">
        <v>74</v>
      </c>
    </row>
    <row r="3692" spans="1:11" ht="42" customHeight="1">
      <c r="A3692" s="2" t="s">
        <v>9154</v>
      </c>
      <c r="B3692" s="2" t="s">
        <v>9155</v>
      </c>
      <c r="C3692" s="2" t="s">
        <v>31</v>
      </c>
      <c r="D3692" s="2" t="s">
        <v>32</v>
      </c>
      <c r="E3692" s="5">
        <v>-30839</v>
      </c>
      <c r="F3692" s="3" t="s">
        <v>616</v>
      </c>
      <c r="G3692" s="3" t="s">
        <v>27</v>
      </c>
      <c r="H3692" s="2" t="s">
        <v>72</v>
      </c>
      <c r="I3692" s="2" t="s">
        <v>9156</v>
      </c>
      <c r="J3692" s="3" t="str">
        <f>HYPERLINK("https://www.boe.es/gazeta/dias/1815/07/25/pdfs/GMD-1815-91.pdf#page=6","Abrir facsímil")</f>
        <v>Abrir facsímil</v>
      </c>
      <c r="K3692" s="3" t="s">
        <v>74</v>
      </c>
    </row>
    <row r="3693" spans="1:11" ht="42" customHeight="1">
      <c r="A3693" s="2" t="s">
        <v>9157</v>
      </c>
      <c r="B3693" s="2" t="s">
        <v>9158</v>
      </c>
      <c r="C3693" s="2" t="s">
        <v>49</v>
      </c>
      <c r="D3693" s="2" t="s">
        <v>50</v>
      </c>
      <c r="E3693" s="5">
        <v>-30781</v>
      </c>
      <c r="F3693" s="3" t="s">
        <v>685</v>
      </c>
      <c r="G3693" s="3" t="s">
        <v>38</v>
      </c>
      <c r="H3693" s="2" t="s">
        <v>72</v>
      </c>
      <c r="I3693" s="2" t="s">
        <v>9159</v>
      </c>
      <c r="J3693" s="3" t="str">
        <f>HYPERLINK("https://www.boe.es/gazeta/dias/1815/09/21/pdfs/GMD-1815-117.pdf#page=8","Abrir facsímil")</f>
        <v>Abrir facsímil</v>
      </c>
      <c r="K3693" s="3" t="s">
        <v>74</v>
      </c>
    </row>
    <row r="3694" spans="1:11" ht="42" customHeight="1">
      <c r="A3694" s="2" t="s">
        <v>9160</v>
      </c>
      <c r="B3694" s="2" t="s">
        <v>9161</v>
      </c>
      <c r="C3694" s="2" t="s">
        <v>49</v>
      </c>
      <c r="D3694" s="2" t="s">
        <v>50</v>
      </c>
      <c r="E3694" s="5">
        <v>-30865</v>
      </c>
      <c r="F3694" s="3" t="s">
        <v>163</v>
      </c>
      <c r="G3694" s="3" t="s">
        <v>71</v>
      </c>
      <c r="H3694" s="2" t="s">
        <v>72</v>
      </c>
      <c r="I3694" s="2" t="s">
        <v>9162</v>
      </c>
      <c r="J3694" s="3" t="str">
        <f>HYPERLINK("https://www.boe.es/gazeta/dias/1815/06/29/pdfs/GMD-1815-78.pdf#page=7","Abrir facsímil")</f>
        <v>Abrir facsímil</v>
      </c>
      <c r="K3694" s="3" t="s">
        <v>74</v>
      </c>
    </row>
    <row r="3695" spans="1:11" ht="42" customHeight="1">
      <c r="A3695" s="2" t="s">
        <v>9163</v>
      </c>
      <c r="B3695" s="2" t="s">
        <v>9164</v>
      </c>
      <c r="C3695" s="2" t="s">
        <v>31</v>
      </c>
      <c r="D3695" s="2" t="s">
        <v>32</v>
      </c>
      <c r="E3695" s="5">
        <v>-30823</v>
      </c>
      <c r="F3695" s="3" t="s">
        <v>305</v>
      </c>
      <c r="G3695" s="3" t="s">
        <v>306</v>
      </c>
      <c r="H3695" s="2" t="s">
        <v>72</v>
      </c>
      <c r="I3695" s="2" t="s">
        <v>9165</v>
      </c>
      <c r="J3695" s="3" t="str">
        <f>HYPERLINK("https://www.boe.es/gazeta/dias/1815/08/10/pdfs/GMD-1815-98.pdf#page=7","Abrir facsímil")</f>
        <v>Abrir facsímil</v>
      </c>
      <c r="K3695" s="3" t="s">
        <v>74</v>
      </c>
    </row>
    <row r="3696" spans="1:11" ht="42" customHeight="1">
      <c r="A3696" s="2" t="s">
        <v>9166</v>
      </c>
      <c r="B3696" s="2" t="s">
        <v>9167</v>
      </c>
      <c r="C3696" s="2" t="s">
        <v>31</v>
      </c>
      <c r="D3696" s="2" t="s">
        <v>32</v>
      </c>
      <c r="E3696" s="5">
        <v>-30982</v>
      </c>
      <c r="F3696" s="3" t="s">
        <v>220</v>
      </c>
      <c r="G3696" s="3" t="s">
        <v>57</v>
      </c>
      <c r="H3696" s="2" t="s">
        <v>72</v>
      </c>
      <c r="I3696" s="2" t="s">
        <v>9168</v>
      </c>
      <c r="J3696" s="3" t="str">
        <f>HYPERLINK("https://www.boe.es/gazeta/dias/1815/03/04/pdfs/GMD-1815-27.pdf#page=5","Abrir facsímil")</f>
        <v>Abrir facsímil</v>
      </c>
      <c r="K3696" s="3" t="s">
        <v>74</v>
      </c>
    </row>
    <row r="3697" spans="1:11" ht="42" customHeight="1">
      <c r="A3697" s="2" t="s">
        <v>9169</v>
      </c>
      <c r="B3697" s="2" t="s">
        <v>9170</v>
      </c>
      <c r="C3697" s="2" t="s">
        <v>49</v>
      </c>
      <c r="D3697" s="2" t="s">
        <v>50</v>
      </c>
      <c r="E3697" s="5">
        <v>-30751</v>
      </c>
      <c r="F3697" s="3" t="s">
        <v>819</v>
      </c>
      <c r="G3697" s="3" t="s">
        <v>38</v>
      </c>
      <c r="H3697" s="2" t="s">
        <v>72</v>
      </c>
      <c r="I3697" s="2" t="s">
        <v>9171</v>
      </c>
      <c r="J3697" s="3" t="str">
        <f>HYPERLINK("https://www.boe.es/gazeta/dias/1815/10/21/pdfs/GMD-1815-132.pdf#page=8","Abrir facsímil")</f>
        <v>Abrir facsímil</v>
      </c>
      <c r="K3697" s="3" t="s">
        <v>74</v>
      </c>
    </row>
    <row r="3698" spans="1:11" ht="42" customHeight="1">
      <c r="A3698" s="2" t="s">
        <v>9172</v>
      </c>
      <c r="B3698" s="2" t="s">
        <v>9173</v>
      </c>
      <c r="C3698" s="2" t="s">
        <v>195</v>
      </c>
      <c r="D3698" s="2" t="s">
        <v>50</v>
      </c>
      <c r="E3698" s="5">
        <v>-30872</v>
      </c>
      <c r="F3698" s="3" t="s">
        <v>167</v>
      </c>
      <c r="G3698" s="3" t="s">
        <v>52</v>
      </c>
      <c r="H3698" s="2" t="s">
        <v>72</v>
      </c>
      <c r="I3698" s="2" t="s">
        <v>9174</v>
      </c>
      <c r="J3698" s="3" t="str">
        <f>HYPERLINK("https://www.boe.es/gazeta/dias/1815/06/22/pdfs/GMD-1815-75.pdf#page=11","Abrir facsímil")</f>
        <v>Abrir facsímil</v>
      </c>
      <c r="K3698" s="3" t="s">
        <v>74</v>
      </c>
    </row>
    <row r="3699" spans="1:11" ht="42" customHeight="1">
      <c r="A3699" s="2" t="s">
        <v>9175</v>
      </c>
      <c r="B3699" s="2" t="s">
        <v>9176</v>
      </c>
      <c r="C3699" s="2" t="s">
        <v>49</v>
      </c>
      <c r="D3699" s="2" t="s">
        <v>50</v>
      </c>
      <c r="E3699" s="5">
        <v>-30886</v>
      </c>
      <c r="F3699" s="3" t="s">
        <v>140</v>
      </c>
      <c r="G3699" s="3" t="s">
        <v>38</v>
      </c>
      <c r="H3699" s="2" t="s">
        <v>72</v>
      </c>
      <c r="I3699" s="2" t="s">
        <v>9177</v>
      </c>
      <c r="J3699" s="3" t="str">
        <f>HYPERLINK("https://www.boe.es/gazeta/dias/1815/06/08/pdfs/GMD-1815-69.pdf#page=8","Abrir facsímil")</f>
        <v>Abrir facsímil</v>
      </c>
      <c r="K3699" s="3" t="s">
        <v>74</v>
      </c>
    </row>
    <row r="3700" spans="1:11" ht="42" customHeight="1">
      <c r="A3700" s="2" t="s">
        <v>9178</v>
      </c>
      <c r="B3700" s="2" t="s">
        <v>9179</v>
      </c>
      <c r="C3700" s="2" t="s">
        <v>31</v>
      </c>
      <c r="D3700" s="2" t="s">
        <v>32</v>
      </c>
      <c r="E3700" s="5">
        <v>-30916</v>
      </c>
      <c r="F3700" s="3" t="s">
        <v>147</v>
      </c>
      <c r="G3700" s="3" t="s">
        <v>38</v>
      </c>
      <c r="H3700" s="2" t="s">
        <v>72</v>
      </c>
      <c r="I3700" s="2" t="s">
        <v>9180</v>
      </c>
      <c r="J3700" s="3" t="str">
        <f>HYPERLINK("https://www.boe.es/gazeta/dias/1815/05/09/pdfs/GMD-1815-56.pdf#page=8","Abrir facsímil")</f>
        <v>Abrir facsímil</v>
      </c>
      <c r="K3700" s="3" t="s">
        <v>74</v>
      </c>
    </row>
    <row r="3701" spans="1:11" ht="42" customHeight="1">
      <c r="A3701" s="2" t="s">
        <v>9178</v>
      </c>
      <c r="B3701" s="2" t="s">
        <v>9179</v>
      </c>
      <c r="C3701" s="2" t="s">
        <v>31</v>
      </c>
      <c r="D3701" s="2" t="s">
        <v>32</v>
      </c>
      <c r="E3701" s="5">
        <v>-30863</v>
      </c>
      <c r="F3701" s="3" t="s">
        <v>110</v>
      </c>
      <c r="G3701" s="3" t="s">
        <v>224</v>
      </c>
      <c r="H3701" s="2" t="s">
        <v>72</v>
      </c>
      <c r="I3701" s="2" t="s">
        <v>9181</v>
      </c>
      <c r="J3701" s="3" t="str">
        <f>HYPERLINK("https://www.boe.es/gazeta/dias/1815/07/01/pdfs/GMD-1815-79.pdf#page=9","Abrir facsímil")</f>
        <v>Abrir facsímil</v>
      </c>
      <c r="K3701" s="3" t="s">
        <v>74</v>
      </c>
    </row>
    <row r="3702" spans="1:11" ht="42" customHeight="1">
      <c r="A3702" s="2" t="s">
        <v>9182</v>
      </c>
      <c r="B3702" s="2" t="s">
        <v>9183</v>
      </c>
      <c r="C3702" s="2" t="s">
        <v>17</v>
      </c>
      <c r="D3702" s="2" t="s">
        <v>18</v>
      </c>
      <c r="E3702" s="5">
        <v>-30767</v>
      </c>
      <c r="F3702" s="3" t="s">
        <v>228</v>
      </c>
      <c r="G3702" s="3" t="s">
        <v>52</v>
      </c>
      <c r="H3702" s="2" t="s">
        <v>72</v>
      </c>
      <c r="I3702" s="2" t="s">
        <v>9184</v>
      </c>
      <c r="J3702" s="3" t="str">
        <f>HYPERLINK("https://www.boe.es/gazeta/dias/1815/10/05/pdfs/GMD-1815-125.pdf#page=11","Abrir facsímil")</f>
        <v>Abrir facsímil</v>
      </c>
      <c r="K3702" s="3" t="s">
        <v>74</v>
      </c>
    </row>
    <row r="3703" spans="1:11" ht="42" customHeight="1">
      <c r="A3703" s="2" t="s">
        <v>9185</v>
      </c>
      <c r="B3703" s="2" t="s">
        <v>9186</v>
      </c>
      <c r="C3703" s="2" t="s">
        <v>31</v>
      </c>
      <c r="D3703" s="2" t="s">
        <v>32</v>
      </c>
      <c r="E3703" s="5">
        <v>-30860</v>
      </c>
      <c r="F3703" s="3" t="s">
        <v>184</v>
      </c>
      <c r="G3703" s="3" t="s">
        <v>472</v>
      </c>
      <c r="H3703" s="2" t="s">
        <v>72</v>
      </c>
      <c r="I3703" s="2" t="s">
        <v>9187</v>
      </c>
      <c r="J3703" s="3" t="str">
        <f>HYPERLINK("https://www.boe.es/gazeta/dias/1815/07/04/pdfs/GMD-1815-81.pdf#page=8","Abrir facsímil")</f>
        <v>Abrir facsímil</v>
      </c>
      <c r="K3703" s="3" t="s">
        <v>74</v>
      </c>
    </row>
    <row r="3704" spans="1:11" ht="42" customHeight="1">
      <c r="A3704" s="2" t="s">
        <v>9188</v>
      </c>
      <c r="B3704" s="2" t="s">
        <v>9189</v>
      </c>
      <c r="C3704" s="2" t="s">
        <v>195</v>
      </c>
      <c r="D3704" s="2" t="s">
        <v>50</v>
      </c>
      <c r="E3704" s="5">
        <v>-30888</v>
      </c>
      <c r="F3704" s="3" t="s">
        <v>368</v>
      </c>
      <c r="G3704" s="3" t="s">
        <v>369</v>
      </c>
      <c r="H3704" s="2" t="s">
        <v>72</v>
      </c>
      <c r="I3704" s="2" t="s">
        <v>9190</v>
      </c>
      <c r="J3704" s="3" t="str">
        <f>HYPERLINK("https://www.boe.es/gazeta/dias/1815/06/06/pdfs/GMD-1815-68.pdf#page=7","Abrir facsímil")</f>
        <v>Abrir facsímil</v>
      </c>
      <c r="K3704" s="3" t="s">
        <v>74</v>
      </c>
    </row>
    <row r="3705" spans="1:11" ht="42" customHeight="1">
      <c r="A3705" s="2" t="s">
        <v>9188</v>
      </c>
      <c r="B3705" s="2" t="s">
        <v>9189</v>
      </c>
      <c r="C3705" s="2" t="s">
        <v>49</v>
      </c>
      <c r="D3705" s="2" t="s">
        <v>50</v>
      </c>
      <c r="E3705" s="5">
        <v>-30863</v>
      </c>
      <c r="F3705" s="3" t="s">
        <v>110</v>
      </c>
      <c r="G3705" s="3" t="s">
        <v>224</v>
      </c>
      <c r="H3705" s="2" t="s">
        <v>72</v>
      </c>
      <c r="I3705" s="2" t="s">
        <v>9191</v>
      </c>
      <c r="J3705" s="3" t="str">
        <f>HYPERLINK("https://www.boe.es/gazeta/dias/1815/07/01/pdfs/GMD-1815-79.pdf#page=9","Abrir facsímil")</f>
        <v>Abrir facsímil</v>
      </c>
      <c r="K3705" s="3" t="s">
        <v>74</v>
      </c>
    </row>
    <row r="3706" spans="1:11" ht="42" customHeight="1">
      <c r="A3706" s="2" t="s">
        <v>9192</v>
      </c>
      <c r="B3706" s="2" t="s">
        <v>9193</v>
      </c>
      <c r="C3706" s="2" t="s">
        <v>31</v>
      </c>
      <c r="D3706" s="2" t="s">
        <v>32</v>
      </c>
      <c r="E3706" s="5">
        <v>-31038</v>
      </c>
      <c r="F3706" s="3" t="s">
        <v>395</v>
      </c>
      <c r="G3706" s="3" t="s">
        <v>396</v>
      </c>
      <c r="H3706" s="2" t="s">
        <v>72</v>
      </c>
      <c r="I3706" s="2" t="s">
        <v>9194</v>
      </c>
      <c r="J3706" s="3" t="str">
        <f>HYPERLINK("https://www.boe.es/gazeta/dias/1815/01/07/pdfs/GMD-1815-3.pdf#page=5","Abrir facsímil")</f>
        <v>Abrir facsímil</v>
      </c>
      <c r="K3706" s="3" t="s">
        <v>74</v>
      </c>
    </row>
    <row r="3707" spans="1:11" ht="42" customHeight="1">
      <c r="A3707" s="2" t="s">
        <v>9195</v>
      </c>
      <c r="B3707" s="2" t="s">
        <v>9195</v>
      </c>
      <c r="C3707" s="2" t="s">
        <v>31</v>
      </c>
      <c r="D3707" s="2" t="s">
        <v>32</v>
      </c>
      <c r="E3707" s="5">
        <v>-30891</v>
      </c>
      <c r="F3707" s="3" t="s">
        <v>498</v>
      </c>
      <c r="G3707" s="3" t="s">
        <v>27</v>
      </c>
      <c r="H3707" s="2" t="s">
        <v>72</v>
      </c>
      <c r="I3707" s="2" t="s">
        <v>9196</v>
      </c>
      <c r="J3707" s="3" t="str">
        <f>HYPERLINK("https://www.boe.es/gazeta/dias/1815/06/03/pdfs/GMD-1815-67.pdf#page=6","Abrir facsímil")</f>
        <v>Abrir facsímil</v>
      </c>
      <c r="K3707" s="3" t="s">
        <v>74</v>
      </c>
    </row>
    <row r="3708" spans="1:11" ht="42" customHeight="1">
      <c r="A3708" s="2" t="s">
        <v>9195</v>
      </c>
      <c r="B3708" s="2" t="s">
        <v>9195</v>
      </c>
      <c r="C3708" s="2" t="s">
        <v>31</v>
      </c>
      <c r="D3708" s="2" t="s">
        <v>32</v>
      </c>
      <c r="E3708" s="5">
        <v>-30807</v>
      </c>
      <c r="F3708" s="3" t="s">
        <v>586</v>
      </c>
      <c r="G3708" s="3" t="s">
        <v>27</v>
      </c>
      <c r="H3708" s="2" t="s">
        <v>72</v>
      </c>
      <c r="I3708" s="2" t="s">
        <v>9197</v>
      </c>
      <c r="J3708" s="3" t="str">
        <f>HYPERLINK("https://www.boe.es/gazeta/dias/1815/08/26/pdfs/GMD-1815-105.pdf#page=6","Abrir facsímil")</f>
        <v>Abrir facsímil</v>
      </c>
      <c r="K3708" s="3" t="s">
        <v>74</v>
      </c>
    </row>
    <row r="3709" spans="1:11" ht="42" customHeight="1">
      <c r="A3709" s="2" t="s">
        <v>9198</v>
      </c>
      <c r="B3709" s="2" t="s">
        <v>9199</v>
      </c>
      <c r="C3709" s="2" t="s">
        <v>31</v>
      </c>
      <c r="D3709" s="2" t="s">
        <v>32</v>
      </c>
      <c r="E3709" s="5">
        <v>-30902</v>
      </c>
      <c r="F3709" s="3" t="s">
        <v>648</v>
      </c>
      <c r="G3709" s="3" t="s">
        <v>27</v>
      </c>
      <c r="H3709" s="2" t="s">
        <v>72</v>
      </c>
      <c r="I3709" s="2" t="s">
        <v>9200</v>
      </c>
      <c r="J3709" s="3" t="str">
        <f>HYPERLINK("https://www.boe.es/gazeta/dias/1815/05/23/pdfs/GMD-1815-62.pdf#page=6","Abrir facsímil")</f>
        <v>Abrir facsímil</v>
      </c>
      <c r="K3709" s="3" t="s">
        <v>74</v>
      </c>
    </row>
    <row r="3710" spans="1:11" ht="42" customHeight="1">
      <c r="A3710" s="2" t="s">
        <v>9198</v>
      </c>
      <c r="B3710" s="2" t="s">
        <v>9199</v>
      </c>
      <c r="C3710" s="2" t="s">
        <v>49</v>
      </c>
      <c r="D3710" s="2" t="s">
        <v>50</v>
      </c>
      <c r="E3710" s="5">
        <v>-30727</v>
      </c>
      <c r="F3710" s="3" t="s">
        <v>262</v>
      </c>
      <c r="G3710" s="3" t="s">
        <v>27</v>
      </c>
      <c r="H3710" s="2" t="s">
        <v>72</v>
      </c>
      <c r="I3710" s="2" t="s">
        <v>9201</v>
      </c>
      <c r="J3710" s="3" t="str">
        <f>HYPERLINK("https://www.boe.es/gazeta/dias/1815/11/14/pdfs/GMD-1815-142.pdf#page=6","Abrir facsímil")</f>
        <v>Abrir facsímil</v>
      </c>
      <c r="K3710" s="3" t="s">
        <v>74</v>
      </c>
    </row>
    <row r="3711" spans="1:11" ht="42" customHeight="1">
      <c r="A3711" s="2" t="s">
        <v>9202</v>
      </c>
      <c r="B3711" s="2" t="s">
        <v>9203</v>
      </c>
      <c r="C3711" s="2" t="s">
        <v>31</v>
      </c>
      <c r="D3711" s="2" t="s">
        <v>32</v>
      </c>
      <c r="E3711" s="5">
        <v>-30870</v>
      </c>
      <c r="F3711" s="3" t="s">
        <v>122</v>
      </c>
      <c r="G3711" s="3" t="s">
        <v>88</v>
      </c>
      <c r="H3711" s="2" t="s">
        <v>72</v>
      </c>
      <c r="I3711" s="2" t="s">
        <v>9204</v>
      </c>
      <c r="J3711" s="3" t="str">
        <f>HYPERLINK("https://www.boe.es/gazeta/dias/1815/06/24/pdfs/GMD-1815-76.pdf#page=10","Abrir facsímil")</f>
        <v>Abrir facsímil</v>
      </c>
      <c r="K3711" s="3" t="s">
        <v>74</v>
      </c>
    </row>
    <row r="3712" spans="1:11" ht="42" customHeight="1">
      <c r="A3712" s="2" t="s">
        <v>9205</v>
      </c>
      <c r="B3712" s="2" t="s">
        <v>9206</v>
      </c>
      <c r="C3712" s="2" t="s">
        <v>897</v>
      </c>
      <c r="D3712" s="2" t="s">
        <v>50</v>
      </c>
      <c r="E3712" s="5">
        <v>-30720</v>
      </c>
      <c r="F3712" s="3" t="s">
        <v>373</v>
      </c>
      <c r="G3712" s="3" t="s">
        <v>88</v>
      </c>
      <c r="H3712" s="2" t="s">
        <v>72</v>
      </c>
      <c r="I3712" s="2" t="s">
        <v>9207</v>
      </c>
      <c r="J3712" s="3" t="str">
        <f>HYPERLINK("https://www.boe.es/gazeta/dias/1815/11/21/pdfs/GMD-1815-145.pdf#page=10","Abrir facsímil")</f>
        <v>Abrir facsímil</v>
      </c>
      <c r="K3712" s="3" t="s">
        <v>74</v>
      </c>
    </row>
    <row r="3713" spans="1:11" ht="42" customHeight="1">
      <c r="A3713" s="2" t="s">
        <v>9208</v>
      </c>
      <c r="B3713" s="2" t="s">
        <v>9209</v>
      </c>
      <c r="C3713" s="2" t="s">
        <v>31</v>
      </c>
      <c r="D3713" s="2" t="s">
        <v>32</v>
      </c>
      <c r="E3713" s="5">
        <v>-31028</v>
      </c>
      <c r="F3713" s="3" t="s">
        <v>517</v>
      </c>
      <c r="G3713" s="3" t="s">
        <v>88</v>
      </c>
      <c r="H3713" s="2" t="s">
        <v>72</v>
      </c>
      <c r="I3713" s="2" t="s">
        <v>9210</v>
      </c>
      <c r="J3713" s="3" t="str">
        <f>HYPERLINK("https://www.boe.es/gazeta/dias/1815/01/17/pdfs/GMD-1815-7.pdf#page=10","Abrir facsímil")</f>
        <v>Abrir facsímil</v>
      </c>
      <c r="K3713" s="3" t="s">
        <v>74</v>
      </c>
    </row>
    <row r="3714" spans="1:11" ht="42" customHeight="1">
      <c r="A3714" s="2" t="s">
        <v>9211</v>
      </c>
      <c r="B3714" s="2" t="s">
        <v>9212</v>
      </c>
      <c r="C3714" s="2" t="s">
        <v>61</v>
      </c>
      <c r="D3714" s="2" t="s">
        <v>50</v>
      </c>
      <c r="E3714" s="5">
        <v>-30975</v>
      </c>
      <c r="F3714" s="3" t="s">
        <v>1194</v>
      </c>
      <c r="G3714" s="3" t="s">
        <v>71</v>
      </c>
      <c r="H3714" s="2" t="s">
        <v>72</v>
      </c>
      <c r="I3714" s="2" t="s">
        <v>9213</v>
      </c>
      <c r="J3714" s="3" t="str">
        <f>HYPERLINK("https://www.boe.es/gazeta/dias/1815/03/11/pdfs/GMD-1815-30.pdf#page=7","Abrir facsímil")</f>
        <v>Abrir facsímil</v>
      </c>
      <c r="K3714" s="3" t="s">
        <v>74</v>
      </c>
    </row>
    <row r="3715" spans="1:11" ht="42" customHeight="1">
      <c r="A3715" s="2" t="s">
        <v>9214</v>
      </c>
      <c r="B3715" s="2" t="s">
        <v>9215</v>
      </c>
      <c r="C3715" s="2" t="s">
        <v>49</v>
      </c>
      <c r="D3715" s="2" t="s">
        <v>50</v>
      </c>
      <c r="E3715" s="5">
        <v>-30970</v>
      </c>
      <c r="F3715" s="3" t="s">
        <v>436</v>
      </c>
      <c r="G3715" s="3" t="s">
        <v>71</v>
      </c>
      <c r="H3715" s="2" t="s">
        <v>72</v>
      </c>
      <c r="I3715" s="2" t="s">
        <v>9216</v>
      </c>
      <c r="J3715" s="3" t="str">
        <f>HYPERLINK("https://www.boe.es/gazeta/dias/1815/03/16/pdfs/GMD-1815-32.pdf#page=7","Abrir facsímil")</f>
        <v>Abrir facsímil</v>
      </c>
      <c r="K3715" s="3" t="s">
        <v>74</v>
      </c>
    </row>
    <row r="3716" spans="1:11" ht="42" customHeight="1">
      <c r="A3716" s="2" t="s">
        <v>9217</v>
      </c>
      <c r="B3716" s="2" t="s">
        <v>9218</v>
      </c>
      <c r="C3716" s="2" t="s">
        <v>131</v>
      </c>
      <c r="D3716" s="2" t="s">
        <v>50</v>
      </c>
      <c r="E3716" s="5">
        <v>-30982</v>
      </c>
      <c r="F3716" s="3" t="s">
        <v>220</v>
      </c>
      <c r="G3716" s="3" t="s">
        <v>20</v>
      </c>
      <c r="H3716" s="2" t="s">
        <v>72</v>
      </c>
      <c r="I3716" s="2" t="s">
        <v>9219</v>
      </c>
      <c r="J3716" s="3" t="str">
        <f>HYPERLINK("https://www.boe.es/gazeta/dias/1815/03/04/pdfs/GMD-1815-27.pdf#page=4","Abrir facsímil")</f>
        <v>Abrir facsímil</v>
      </c>
      <c r="K3716" s="3" t="s">
        <v>74</v>
      </c>
    </row>
    <row r="3717" spans="1:11" ht="42" customHeight="1">
      <c r="A3717" s="2" t="s">
        <v>9220</v>
      </c>
      <c r="B3717" s="2" t="s">
        <v>9221</v>
      </c>
      <c r="C3717" s="2" t="s">
        <v>31</v>
      </c>
      <c r="D3717" s="2" t="s">
        <v>32</v>
      </c>
      <c r="E3717" s="5">
        <v>-30767</v>
      </c>
      <c r="F3717" s="3" t="s">
        <v>228</v>
      </c>
      <c r="G3717" s="3" t="s">
        <v>52</v>
      </c>
      <c r="H3717" s="2" t="s">
        <v>21</v>
      </c>
      <c r="I3717" s="2" t="s">
        <v>9222</v>
      </c>
      <c r="J3717" s="3" t="str">
        <f>HYPERLINK("https://www.boe.es/gazeta/dias/1815/10/05/pdfs/GMD-1815-125.pdf#page=11","Abrir facsímil")</f>
        <v>Abrir facsímil</v>
      </c>
      <c r="K3717" s="3" t="s">
        <v>23</v>
      </c>
    </row>
    <row r="3718" spans="1:11" ht="42" customHeight="1">
      <c r="A3718" s="2" t="s">
        <v>9220</v>
      </c>
      <c r="B3718" s="2" t="s">
        <v>9221</v>
      </c>
      <c r="C3718" s="2" t="s">
        <v>31</v>
      </c>
      <c r="D3718" s="2" t="s">
        <v>32</v>
      </c>
      <c r="E3718" s="5">
        <v>-30765</v>
      </c>
      <c r="F3718" s="3" t="s">
        <v>2150</v>
      </c>
      <c r="G3718" s="3" t="s">
        <v>71</v>
      </c>
      <c r="H3718" s="2" t="s">
        <v>21</v>
      </c>
      <c r="I3718" s="2" t="s">
        <v>9223</v>
      </c>
      <c r="J3718" s="3" t="str">
        <f>HYPERLINK("https://www.boe.es/gazeta/dias/1815/10/07/pdfs/GMD-1815-126.pdf#page=7","Abrir facsímil")</f>
        <v>Abrir facsímil</v>
      </c>
      <c r="K3718" s="3" t="s">
        <v>23</v>
      </c>
    </row>
    <row r="3719" spans="1:11" ht="42" customHeight="1">
      <c r="A3719" s="2" t="s">
        <v>9224</v>
      </c>
      <c r="B3719" s="2" t="s">
        <v>9225</v>
      </c>
      <c r="C3719" s="2" t="s">
        <v>49</v>
      </c>
      <c r="D3719" s="2" t="s">
        <v>50</v>
      </c>
      <c r="E3719" s="5">
        <v>-30886</v>
      </c>
      <c r="F3719" s="3" t="s">
        <v>140</v>
      </c>
      <c r="G3719" s="3" t="s">
        <v>88</v>
      </c>
      <c r="H3719" s="2" t="s">
        <v>21</v>
      </c>
      <c r="I3719" s="2" t="s">
        <v>9226</v>
      </c>
      <c r="J3719" s="3" t="str">
        <f>HYPERLINK("https://www.boe.es/gazeta/dias/1815/06/08/pdfs/GMD-1815-69.pdf#page=10","Abrir facsímil")</f>
        <v>Abrir facsímil</v>
      </c>
      <c r="K3719" s="3" t="s">
        <v>23</v>
      </c>
    </row>
    <row r="3720" spans="1:11" ht="42" customHeight="1">
      <c r="A3720" s="2" t="s">
        <v>9227</v>
      </c>
      <c r="B3720" s="2" t="s">
        <v>9228</v>
      </c>
      <c r="C3720" s="2" t="s">
        <v>31</v>
      </c>
      <c r="D3720" s="2" t="s">
        <v>32</v>
      </c>
      <c r="E3720" s="5">
        <v>-30713</v>
      </c>
      <c r="F3720" s="3" t="s">
        <v>895</v>
      </c>
      <c r="G3720" s="3" t="s">
        <v>71</v>
      </c>
      <c r="H3720" s="2" t="s">
        <v>72</v>
      </c>
      <c r="I3720" s="2" t="s">
        <v>9229</v>
      </c>
      <c r="J3720" s="3" t="str">
        <f>HYPERLINK("https://www.boe.es/gazeta/dias/1815/11/28/pdfs/GMD-1815-148.pdf#page=7","Abrir facsímil")</f>
        <v>Abrir facsímil</v>
      </c>
      <c r="K3720" s="3" t="s">
        <v>74</v>
      </c>
    </row>
    <row r="3721" spans="1:11" ht="42" customHeight="1">
      <c r="A3721" s="2" t="s">
        <v>9230</v>
      </c>
      <c r="B3721" s="2" t="s">
        <v>9231</v>
      </c>
      <c r="C3721" s="2" t="s">
        <v>49</v>
      </c>
      <c r="D3721" s="2" t="s">
        <v>50</v>
      </c>
      <c r="E3721" s="5">
        <v>-30916</v>
      </c>
      <c r="F3721" s="3" t="s">
        <v>147</v>
      </c>
      <c r="G3721" s="3" t="s">
        <v>148</v>
      </c>
      <c r="H3721" s="2" t="s">
        <v>72</v>
      </c>
      <c r="I3721" s="2" t="s">
        <v>9232</v>
      </c>
      <c r="J3721" s="3" t="str">
        <f>HYPERLINK("https://www.boe.es/gazeta/dias/1815/05/09/pdfs/GMD-1815-56.pdf#page=7","Abrir facsímil")</f>
        <v>Abrir facsímil</v>
      </c>
      <c r="K3721" s="3" t="s">
        <v>74</v>
      </c>
    </row>
    <row r="3722" spans="1:11" ht="42" customHeight="1">
      <c r="A3722" s="2" t="s">
        <v>9233</v>
      </c>
      <c r="B3722" s="2" t="s">
        <v>9234</v>
      </c>
      <c r="C3722" s="2" t="s">
        <v>195</v>
      </c>
      <c r="D3722" s="2" t="s">
        <v>50</v>
      </c>
      <c r="E3722" s="5">
        <v>-31014</v>
      </c>
      <c r="F3722" s="3" t="s">
        <v>3193</v>
      </c>
      <c r="G3722" s="3" t="s">
        <v>38</v>
      </c>
      <c r="H3722" s="2" t="s">
        <v>72</v>
      </c>
      <c r="I3722" s="2" t="s">
        <v>9235</v>
      </c>
      <c r="J3722" s="3" t="str">
        <f>HYPERLINK("https://www.boe.es/gazeta/dias/1815/01/31/pdfs/GMD-1815-13.pdf#page=8","Abrir facsímil")</f>
        <v>Abrir facsímil</v>
      </c>
      <c r="K3722" s="3" t="s">
        <v>74</v>
      </c>
    </row>
    <row r="3723" spans="1:11" ht="42" customHeight="1">
      <c r="A3723" s="2" t="s">
        <v>9236</v>
      </c>
      <c r="B3723" s="2" t="s">
        <v>9237</v>
      </c>
      <c r="C3723" s="2" t="s">
        <v>17</v>
      </c>
      <c r="D3723" s="2" t="s">
        <v>18</v>
      </c>
      <c r="E3723" s="5">
        <v>-30727</v>
      </c>
      <c r="F3723" s="3" t="s">
        <v>262</v>
      </c>
      <c r="G3723" s="3" t="s">
        <v>71</v>
      </c>
      <c r="H3723" s="2" t="s">
        <v>72</v>
      </c>
      <c r="I3723" s="2" t="s">
        <v>9238</v>
      </c>
      <c r="J3723" s="3" t="str">
        <f>HYPERLINK("https://www.boe.es/gazeta/dias/1815/11/14/pdfs/GMD-1815-142.pdf#page=7","Abrir facsímil")</f>
        <v>Abrir facsímil</v>
      </c>
      <c r="K3723" s="3" t="s">
        <v>74</v>
      </c>
    </row>
    <row r="3724" spans="1:11" ht="42" customHeight="1">
      <c r="A3724" s="2" t="s">
        <v>9239</v>
      </c>
      <c r="B3724" s="2" t="s">
        <v>9240</v>
      </c>
      <c r="C3724" s="2" t="s">
        <v>49</v>
      </c>
      <c r="D3724" s="2" t="s">
        <v>50</v>
      </c>
      <c r="E3724" s="5">
        <v>-30823</v>
      </c>
      <c r="F3724" s="3" t="s">
        <v>305</v>
      </c>
      <c r="G3724" s="3" t="s">
        <v>306</v>
      </c>
      <c r="H3724" s="2" t="s">
        <v>72</v>
      </c>
      <c r="I3724" s="2" t="s">
        <v>9241</v>
      </c>
      <c r="J3724" s="3" t="str">
        <f>HYPERLINK("https://www.boe.es/gazeta/dias/1815/08/10/pdfs/GMD-1815-98.pdf#page=7","Abrir facsímil")</f>
        <v>Abrir facsímil</v>
      </c>
      <c r="K3724" s="3" t="s">
        <v>74</v>
      </c>
    </row>
    <row r="3725" spans="1:11" ht="42" customHeight="1">
      <c r="A3725" s="2" t="s">
        <v>9239</v>
      </c>
      <c r="B3725" s="2" t="s">
        <v>9240</v>
      </c>
      <c r="C3725" s="2" t="s">
        <v>195</v>
      </c>
      <c r="D3725" s="2" t="s">
        <v>50</v>
      </c>
      <c r="E3725" s="5">
        <v>-30800</v>
      </c>
      <c r="F3725" s="3" t="s">
        <v>26</v>
      </c>
      <c r="G3725" s="3" t="s">
        <v>71</v>
      </c>
      <c r="H3725" s="2" t="s">
        <v>72</v>
      </c>
      <c r="I3725" s="2" t="s">
        <v>9242</v>
      </c>
      <c r="J3725" s="3" t="str">
        <f>HYPERLINK("https://www.boe.es/gazeta/dias/1815/09/02/pdfs/GMD-1815-109.pdf#page=7","Abrir facsímil")</f>
        <v>Abrir facsímil</v>
      </c>
      <c r="K3725" s="3" t="s">
        <v>74</v>
      </c>
    </row>
    <row r="3726" spans="1:11" ht="42" customHeight="1">
      <c r="A3726" s="2" t="s">
        <v>9243</v>
      </c>
      <c r="B3726" s="2" t="s">
        <v>9243</v>
      </c>
      <c r="C3726" s="2" t="s">
        <v>31</v>
      </c>
      <c r="D3726" s="2" t="s">
        <v>32</v>
      </c>
      <c r="E3726" s="5">
        <v>-30937</v>
      </c>
      <c r="F3726" s="3" t="s">
        <v>322</v>
      </c>
      <c r="G3726" s="3" t="s">
        <v>377</v>
      </c>
      <c r="H3726" s="2" t="s">
        <v>72</v>
      </c>
      <c r="I3726" s="2" t="s">
        <v>9244</v>
      </c>
      <c r="J3726" s="3" t="str">
        <f>HYPERLINK("https://www.boe.es/gazeta/dias/1815/04/18/pdfs/GMD-1815-47.pdf#page=2","Abrir facsímil")</f>
        <v>Abrir facsímil</v>
      </c>
      <c r="K3726" s="3" t="s">
        <v>74</v>
      </c>
    </row>
    <row r="3727" spans="1:11" ht="42" customHeight="1">
      <c r="A3727" s="2" t="s">
        <v>9245</v>
      </c>
      <c r="B3727" s="2" t="s">
        <v>9246</v>
      </c>
      <c r="C3727" s="2" t="s">
        <v>17</v>
      </c>
      <c r="D3727" s="2" t="s">
        <v>18</v>
      </c>
      <c r="E3727" s="5">
        <v>-30949</v>
      </c>
      <c r="F3727" s="3" t="s">
        <v>420</v>
      </c>
      <c r="G3727" s="3" t="s">
        <v>27</v>
      </c>
      <c r="H3727" s="2" t="s">
        <v>72</v>
      </c>
      <c r="I3727" s="2" t="s">
        <v>9247</v>
      </c>
      <c r="J3727" s="3" t="str">
        <f>HYPERLINK("https://www.boe.es/gazeta/dias/1815/04/06/pdfs/GMD-1815-42.pdf#page=6","Abrir facsímil")</f>
        <v>Abrir facsímil</v>
      </c>
      <c r="K3727" s="3" t="s">
        <v>74</v>
      </c>
    </row>
    <row r="3728" spans="1:11" ht="42" customHeight="1">
      <c r="A3728" s="2" t="s">
        <v>9245</v>
      </c>
      <c r="B3728" s="2" t="s">
        <v>9246</v>
      </c>
      <c r="C3728" s="2" t="s">
        <v>195</v>
      </c>
      <c r="D3728" s="2" t="s">
        <v>50</v>
      </c>
      <c r="E3728" s="5">
        <v>-30923</v>
      </c>
      <c r="F3728" s="3" t="s">
        <v>524</v>
      </c>
      <c r="G3728" s="3" t="s">
        <v>1289</v>
      </c>
      <c r="H3728" s="2" t="s">
        <v>72</v>
      </c>
      <c r="I3728" s="2" t="s">
        <v>9248</v>
      </c>
      <c r="J3728" s="3" t="str">
        <f>HYPERLINK("https://www.boe.es/gazeta/dias/1815/05/02/pdfs/GMD-1815-53.pdf#page=11","Abrir facsímil")</f>
        <v>Abrir facsímil</v>
      </c>
      <c r="K3728" s="3" t="s">
        <v>74</v>
      </c>
    </row>
    <row r="3729" spans="1:11" ht="42" customHeight="1">
      <c r="A3729" s="2" t="s">
        <v>9245</v>
      </c>
      <c r="B3729" s="2" t="s">
        <v>9246</v>
      </c>
      <c r="C3729" s="2" t="s">
        <v>61</v>
      </c>
      <c r="D3729" s="2" t="s">
        <v>50</v>
      </c>
      <c r="E3729" s="5">
        <v>-30914</v>
      </c>
      <c r="F3729" s="3" t="s">
        <v>338</v>
      </c>
      <c r="G3729" s="3" t="s">
        <v>88</v>
      </c>
      <c r="H3729" s="2" t="s">
        <v>72</v>
      </c>
      <c r="I3729" s="2" t="s">
        <v>9249</v>
      </c>
      <c r="J3729" s="3" t="str">
        <f>HYPERLINK("https://www.boe.es/gazeta/dias/1815/05/11/pdfs/GMD-1815-57.pdf#page=10","Abrir facsímil")</f>
        <v>Abrir facsímil</v>
      </c>
      <c r="K3729" s="3" t="s">
        <v>74</v>
      </c>
    </row>
    <row r="3730" spans="1:11" ht="42" customHeight="1">
      <c r="A3730" s="2" t="s">
        <v>9250</v>
      </c>
      <c r="B3730" s="2" t="s">
        <v>9251</v>
      </c>
      <c r="C3730" s="2" t="s">
        <v>17</v>
      </c>
      <c r="D3730" s="2" t="s">
        <v>18</v>
      </c>
      <c r="E3730" s="5">
        <v>-30884</v>
      </c>
      <c r="F3730" s="3" t="s">
        <v>136</v>
      </c>
      <c r="G3730" s="3" t="s">
        <v>71</v>
      </c>
      <c r="H3730" s="2" t="s">
        <v>21</v>
      </c>
      <c r="I3730" s="2" t="s">
        <v>9252</v>
      </c>
      <c r="J3730" s="3" t="str">
        <f>HYPERLINK("https://www.boe.es/gazeta/dias/1815/06/10/pdfs/GMD-1815-70.pdf#page=7","Abrir facsímil")</f>
        <v>Abrir facsímil</v>
      </c>
      <c r="K3730" s="3" t="s">
        <v>23</v>
      </c>
    </row>
    <row r="3731" spans="1:11" ht="42" customHeight="1">
      <c r="A3731" s="2" t="s">
        <v>9253</v>
      </c>
      <c r="B3731" s="2" t="s">
        <v>9254</v>
      </c>
      <c r="C3731" s="2" t="s">
        <v>17</v>
      </c>
      <c r="D3731" s="2" t="s">
        <v>18</v>
      </c>
      <c r="E3731" s="5">
        <v>-30681</v>
      </c>
      <c r="F3731" s="3" t="s">
        <v>2093</v>
      </c>
      <c r="G3731" s="3" t="s">
        <v>27</v>
      </c>
      <c r="H3731" s="2" t="s">
        <v>72</v>
      </c>
      <c r="I3731" s="2" t="s">
        <v>9255</v>
      </c>
      <c r="J3731" s="3" t="str">
        <f>HYPERLINK("https://www.boe.es/gazeta/dias/1815/12/30/pdfs/GMD-1815-162.pdf#page=6","Abrir facsímil")</f>
        <v>Abrir facsímil</v>
      </c>
      <c r="K3731" s="3" t="s">
        <v>74</v>
      </c>
    </row>
    <row r="3732" spans="1:11" ht="42" customHeight="1">
      <c r="A3732" s="2" t="s">
        <v>9256</v>
      </c>
      <c r="B3732" s="2" t="s">
        <v>9257</v>
      </c>
      <c r="C3732" s="2" t="s">
        <v>17</v>
      </c>
      <c r="D3732" s="2" t="s">
        <v>18</v>
      </c>
      <c r="E3732" s="5">
        <v>-31028</v>
      </c>
      <c r="F3732" s="3" t="s">
        <v>517</v>
      </c>
      <c r="G3732" s="3" t="s">
        <v>224</v>
      </c>
      <c r="H3732" s="2" t="s">
        <v>72</v>
      </c>
      <c r="I3732" s="2" t="s">
        <v>9258</v>
      </c>
      <c r="J3732" s="3" t="str">
        <f>HYPERLINK("https://www.boe.es/gazeta/dias/1815/01/17/pdfs/GMD-1815-7.pdf#page=9","Abrir facsímil")</f>
        <v>Abrir facsímil</v>
      </c>
      <c r="K3732" s="3" t="s">
        <v>74</v>
      </c>
    </row>
    <row r="3733" spans="1:11" ht="42" customHeight="1">
      <c r="A3733" s="2" t="s">
        <v>9256</v>
      </c>
      <c r="B3733" s="2" t="s">
        <v>9257</v>
      </c>
      <c r="C3733" s="2" t="s">
        <v>17</v>
      </c>
      <c r="D3733" s="2" t="s">
        <v>18</v>
      </c>
      <c r="E3733" s="5">
        <v>-31000</v>
      </c>
      <c r="F3733" s="3" t="s">
        <v>70</v>
      </c>
      <c r="G3733" s="3" t="s">
        <v>57</v>
      </c>
      <c r="H3733" s="2" t="s">
        <v>72</v>
      </c>
      <c r="I3733" s="2" t="s">
        <v>9259</v>
      </c>
      <c r="J3733" s="3" t="str">
        <f>HYPERLINK("https://www.boe.es/gazeta/dias/1815/02/14/pdfs/GMD-1815-19.pdf#page=5","Abrir facsímil")</f>
        <v>Abrir facsímil</v>
      </c>
      <c r="K3733" s="3" t="s">
        <v>74</v>
      </c>
    </row>
    <row r="3734" spans="1:11" ht="42" customHeight="1">
      <c r="A3734" s="2" t="s">
        <v>9256</v>
      </c>
      <c r="B3734" s="2" t="s">
        <v>9257</v>
      </c>
      <c r="C3734" s="2" t="s">
        <v>17</v>
      </c>
      <c r="D3734" s="2" t="s">
        <v>18</v>
      </c>
      <c r="E3734" s="5">
        <v>-30975</v>
      </c>
      <c r="F3734" s="3" t="s">
        <v>1194</v>
      </c>
      <c r="G3734" s="3" t="s">
        <v>6594</v>
      </c>
      <c r="H3734" s="2" t="s">
        <v>72</v>
      </c>
      <c r="I3734" s="2" t="s">
        <v>9260</v>
      </c>
      <c r="J3734" s="3" t="str">
        <f>HYPERLINK("https://www.boe.es/gazeta/dias/1815/03/11/pdfs/GMD-1815-30.pdf#page=6","Abrir facsímil")</f>
        <v>Abrir facsímil</v>
      </c>
      <c r="K3734" s="3" t="s">
        <v>74</v>
      </c>
    </row>
    <row r="3735" spans="1:11" ht="42" customHeight="1">
      <c r="A3735" s="2" t="s">
        <v>9256</v>
      </c>
      <c r="B3735" s="2" t="s">
        <v>9257</v>
      </c>
      <c r="C3735" s="2" t="s">
        <v>17</v>
      </c>
      <c r="D3735" s="2" t="s">
        <v>18</v>
      </c>
      <c r="E3735" s="5">
        <v>-30968</v>
      </c>
      <c r="F3735" s="3" t="s">
        <v>2695</v>
      </c>
      <c r="G3735" s="3" t="s">
        <v>2814</v>
      </c>
      <c r="H3735" s="2" t="s">
        <v>72</v>
      </c>
      <c r="I3735" s="2" t="s">
        <v>9261</v>
      </c>
      <c r="J3735" s="3" t="str">
        <f>HYPERLINK("https://www.boe.es/gazeta/dias/1815/03/18/pdfs/GMD-1815-33.pdf#page=10","Abrir facsímil")</f>
        <v>Abrir facsímil</v>
      </c>
      <c r="K3735" s="3" t="s">
        <v>74</v>
      </c>
    </row>
    <row r="3736" spans="1:11" ht="42" customHeight="1">
      <c r="A3736" s="2" t="s">
        <v>9256</v>
      </c>
      <c r="B3736" s="2" t="s">
        <v>9257</v>
      </c>
      <c r="C3736" s="2" t="s">
        <v>17</v>
      </c>
      <c r="D3736" s="2" t="s">
        <v>18</v>
      </c>
      <c r="E3736" s="5">
        <v>-30928</v>
      </c>
      <c r="F3736" s="3" t="s">
        <v>330</v>
      </c>
      <c r="G3736" s="3" t="s">
        <v>57</v>
      </c>
      <c r="H3736" s="2" t="s">
        <v>72</v>
      </c>
      <c r="I3736" s="2" t="s">
        <v>9262</v>
      </c>
      <c r="J3736" s="3" t="str">
        <f>HYPERLINK("https://www.boe.es/gazeta/dias/1815/04/27/pdfs/GMD-1815-51.pdf#page=5","Abrir facsímil")</f>
        <v>Abrir facsímil</v>
      </c>
      <c r="K3736" s="3" t="s">
        <v>74</v>
      </c>
    </row>
    <row r="3737" spans="1:11" ht="42" customHeight="1">
      <c r="A3737" s="2" t="s">
        <v>9256</v>
      </c>
      <c r="B3737" s="2" t="s">
        <v>9257</v>
      </c>
      <c r="C3737" s="2" t="s">
        <v>17</v>
      </c>
      <c r="D3737" s="2" t="s">
        <v>18</v>
      </c>
      <c r="E3737" s="5">
        <v>-30907</v>
      </c>
      <c r="F3737" s="3" t="s">
        <v>301</v>
      </c>
      <c r="G3737" s="3" t="s">
        <v>6596</v>
      </c>
      <c r="H3737" s="2" t="s">
        <v>72</v>
      </c>
      <c r="I3737" s="2" t="s">
        <v>9263</v>
      </c>
      <c r="J3737" s="3" t="str">
        <f>HYPERLINK("https://www.boe.es/gazeta/dias/1815/05/18/pdfs/GMD-1815-60.pdf#page=6","Abrir facsímil")</f>
        <v>Abrir facsímil</v>
      </c>
      <c r="K3737" s="3" t="s">
        <v>74</v>
      </c>
    </row>
    <row r="3738" spans="1:11" ht="42" customHeight="1">
      <c r="A3738" s="2" t="s">
        <v>9256</v>
      </c>
      <c r="B3738" s="2" t="s">
        <v>9257</v>
      </c>
      <c r="C3738" s="2" t="s">
        <v>49</v>
      </c>
      <c r="D3738" s="2" t="s">
        <v>50</v>
      </c>
      <c r="E3738" s="5">
        <v>-30858</v>
      </c>
      <c r="F3738" s="3" t="s">
        <v>1928</v>
      </c>
      <c r="G3738" s="3" t="s">
        <v>2830</v>
      </c>
      <c r="H3738" s="2" t="s">
        <v>72</v>
      </c>
      <c r="I3738" s="2" t="s">
        <v>9264</v>
      </c>
      <c r="J3738" s="3" t="str">
        <f>HYPERLINK("https://www.boe.es/gazeta/dias/1815/07/06/pdfs/GMD-1815-83.pdf#page=5","Abrir facsímil")</f>
        <v>Abrir facsímil</v>
      </c>
      <c r="K3738" s="3" t="s">
        <v>74</v>
      </c>
    </row>
    <row r="3739" spans="1:11" ht="42" customHeight="1">
      <c r="A3739" s="2" t="s">
        <v>9256</v>
      </c>
      <c r="B3739" s="2" t="s">
        <v>9257</v>
      </c>
      <c r="C3739" s="2" t="s">
        <v>17</v>
      </c>
      <c r="D3739" s="2" t="s">
        <v>18</v>
      </c>
      <c r="E3739" s="5">
        <v>-30823</v>
      </c>
      <c r="F3739" s="3" t="s">
        <v>305</v>
      </c>
      <c r="G3739" s="3" t="s">
        <v>224</v>
      </c>
      <c r="H3739" s="2" t="s">
        <v>72</v>
      </c>
      <c r="I3739" s="2" t="s">
        <v>9265</v>
      </c>
      <c r="J3739" s="3" t="str">
        <f>HYPERLINK("https://www.boe.es/gazeta/dias/1815/08/10/pdfs/GMD-1815-98.pdf#page=9","Abrir facsímil")</f>
        <v>Abrir facsímil</v>
      </c>
      <c r="K3739" s="3" t="s">
        <v>74</v>
      </c>
    </row>
    <row r="3740" spans="1:11" ht="42" customHeight="1">
      <c r="A3740" s="2" t="s">
        <v>9256</v>
      </c>
      <c r="B3740" s="2" t="s">
        <v>9257</v>
      </c>
      <c r="C3740" s="2" t="s">
        <v>17</v>
      </c>
      <c r="D3740" s="2" t="s">
        <v>18</v>
      </c>
      <c r="E3740" s="5">
        <v>-30760</v>
      </c>
      <c r="F3740" s="3" t="s">
        <v>349</v>
      </c>
      <c r="G3740" s="3" t="s">
        <v>27</v>
      </c>
      <c r="H3740" s="2" t="s">
        <v>72</v>
      </c>
      <c r="I3740" s="2" t="s">
        <v>9266</v>
      </c>
      <c r="J3740" s="3" t="str">
        <f>HYPERLINK("https://www.boe.es/gazeta/dias/1815/10/12/pdfs/GMD-1815-128.pdf#page=6","Abrir facsímil")</f>
        <v>Abrir facsímil</v>
      </c>
      <c r="K3740" s="3" t="s">
        <v>74</v>
      </c>
    </row>
    <row r="3741" spans="1:11" ht="42" customHeight="1">
      <c r="A3741" s="2" t="s">
        <v>9267</v>
      </c>
      <c r="B3741" s="2" t="s">
        <v>9268</v>
      </c>
      <c r="C3741" s="2" t="s">
        <v>49</v>
      </c>
      <c r="D3741" s="2" t="s">
        <v>50</v>
      </c>
      <c r="E3741" s="5">
        <v>-30886</v>
      </c>
      <c r="F3741" s="3" t="s">
        <v>140</v>
      </c>
      <c r="G3741" s="3" t="s">
        <v>38</v>
      </c>
      <c r="H3741" s="2" t="s">
        <v>72</v>
      </c>
      <c r="I3741" s="2" t="s">
        <v>9269</v>
      </c>
      <c r="J3741" s="3" t="str">
        <f>HYPERLINK("https://www.boe.es/gazeta/dias/1815/06/08/pdfs/GMD-1815-69.pdf#page=8","Abrir facsímil")</f>
        <v>Abrir facsímil</v>
      </c>
      <c r="K3741" s="3" t="s">
        <v>74</v>
      </c>
    </row>
    <row r="3742" spans="1:11" ht="42" customHeight="1">
      <c r="A3742" s="2" t="s">
        <v>9270</v>
      </c>
      <c r="B3742" s="2" t="s">
        <v>9271</v>
      </c>
      <c r="C3742" s="2" t="s">
        <v>17</v>
      </c>
      <c r="D3742" s="2" t="s">
        <v>18</v>
      </c>
      <c r="E3742" s="5">
        <v>-30865</v>
      </c>
      <c r="F3742" s="3" t="s">
        <v>163</v>
      </c>
      <c r="G3742" s="3" t="s">
        <v>71</v>
      </c>
      <c r="H3742" s="2" t="s">
        <v>72</v>
      </c>
      <c r="I3742" s="2" t="s">
        <v>9272</v>
      </c>
      <c r="J3742" s="3" t="str">
        <f>HYPERLINK("https://www.boe.es/gazeta/dias/1815/06/29/pdfs/GMD-1815-78.pdf#page=7","Abrir facsímil")</f>
        <v>Abrir facsímil</v>
      </c>
      <c r="K3742" s="3" t="s">
        <v>74</v>
      </c>
    </row>
    <row r="3743" spans="1:11" ht="42" customHeight="1">
      <c r="A3743" s="2" t="s">
        <v>9273</v>
      </c>
      <c r="B3743" s="2" t="s">
        <v>9274</v>
      </c>
      <c r="C3743" s="2" t="s">
        <v>49</v>
      </c>
      <c r="D3743" s="2" t="s">
        <v>50</v>
      </c>
      <c r="E3743" s="5">
        <v>-30886</v>
      </c>
      <c r="F3743" s="3" t="s">
        <v>140</v>
      </c>
      <c r="G3743" s="3" t="s">
        <v>38</v>
      </c>
      <c r="H3743" s="2" t="s">
        <v>72</v>
      </c>
      <c r="I3743" s="2" t="s">
        <v>9275</v>
      </c>
      <c r="J3743" s="3" t="str">
        <f>HYPERLINK("https://www.boe.es/gazeta/dias/1815/06/08/pdfs/GMD-1815-69.pdf#page=8","Abrir facsímil")</f>
        <v>Abrir facsímil</v>
      </c>
      <c r="K3743" s="3" t="s">
        <v>74</v>
      </c>
    </row>
    <row r="3744" spans="1:11" ht="42" customHeight="1">
      <c r="A3744" s="2" t="s">
        <v>9276</v>
      </c>
      <c r="B3744" s="2" t="s">
        <v>9277</v>
      </c>
      <c r="C3744" s="2" t="s">
        <v>49</v>
      </c>
      <c r="D3744" s="2" t="s">
        <v>50</v>
      </c>
      <c r="E3744" s="5">
        <v>-30886</v>
      </c>
      <c r="F3744" s="3" t="s">
        <v>140</v>
      </c>
      <c r="G3744" s="3" t="s">
        <v>224</v>
      </c>
      <c r="H3744" s="2" t="s">
        <v>72</v>
      </c>
      <c r="I3744" s="2" t="s">
        <v>9278</v>
      </c>
      <c r="J3744" s="3" t="str">
        <f>HYPERLINK("https://www.boe.es/gazeta/dias/1815/06/08/pdfs/GMD-1815-69.pdf#page=9","Abrir facsímil")</f>
        <v>Abrir facsímil</v>
      </c>
      <c r="K3744" s="3" t="s">
        <v>74</v>
      </c>
    </row>
    <row r="3745" spans="1:11" ht="42" customHeight="1">
      <c r="A3745" s="2" t="s">
        <v>9279</v>
      </c>
      <c r="B3745" s="2" t="s">
        <v>9280</v>
      </c>
      <c r="C3745" s="2" t="s">
        <v>17</v>
      </c>
      <c r="D3745" s="2" t="s">
        <v>18</v>
      </c>
      <c r="E3745" s="5">
        <v>-30979</v>
      </c>
      <c r="F3745" s="3" t="s">
        <v>56</v>
      </c>
      <c r="G3745" s="3" t="s">
        <v>27</v>
      </c>
      <c r="H3745" s="2" t="s">
        <v>72</v>
      </c>
      <c r="I3745" s="2" t="s">
        <v>9281</v>
      </c>
      <c r="J3745" s="3" t="str">
        <f>HYPERLINK("https://www.boe.es/gazeta/dias/1815/03/07/pdfs/GMD-1815-28.pdf#page=6","Abrir facsímil")</f>
        <v>Abrir facsímil</v>
      </c>
      <c r="K3745" s="3" t="s">
        <v>74</v>
      </c>
    </row>
    <row r="3746" spans="1:11" ht="42" customHeight="1">
      <c r="A3746" s="2" t="s">
        <v>9282</v>
      </c>
      <c r="B3746" s="2" t="s">
        <v>9283</v>
      </c>
      <c r="C3746" s="2" t="s">
        <v>31</v>
      </c>
      <c r="D3746" s="2" t="s">
        <v>32</v>
      </c>
      <c r="E3746" s="5">
        <v>-30893</v>
      </c>
      <c r="F3746" s="3" t="s">
        <v>132</v>
      </c>
      <c r="G3746" s="3" t="s">
        <v>155</v>
      </c>
      <c r="H3746" s="2" t="s">
        <v>21</v>
      </c>
      <c r="I3746" s="2" t="s">
        <v>9284</v>
      </c>
      <c r="J3746" s="3" t="str">
        <f>HYPERLINK("https://www.boe.es/gazeta/dias/1815/06/01/pdfs/GMD-1815-66.pdf#page=6","Abrir facsímil")</f>
        <v>Abrir facsímil</v>
      </c>
      <c r="K3746" s="3" t="s">
        <v>23</v>
      </c>
    </row>
    <row r="3747" spans="1:11" ht="42" customHeight="1">
      <c r="A3747" s="2" t="s">
        <v>9285</v>
      </c>
      <c r="B3747" s="2" t="s">
        <v>9286</v>
      </c>
      <c r="C3747" s="2" t="s">
        <v>17</v>
      </c>
      <c r="D3747" s="2" t="s">
        <v>18</v>
      </c>
      <c r="E3747" s="5">
        <v>-30781</v>
      </c>
      <c r="F3747" s="3" t="s">
        <v>685</v>
      </c>
      <c r="G3747" s="3" t="s">
        <v>3332</v>
      </c>
      <c r="H3747" s="2" t="s">
        <v>72</v>
      </c>
      <c r="I3747" s="2" t="s">
        <v>9287</v>
      </c>
      <c r="J3747" s="3" t="str">
        <f>HYPERLINK("https://www.boe.es/gazeta/dias/1815/09/21/pdfs/GMD-1815-117.pdf#page=4","Abrir facsímil")</f>
        <v>Abrir facsímil</v>
      </c>
      <c r="K3747" s="3" t="s">
        <v>74</v>
      </c>
    </row>
    <row r="3748" spans="1:11" ht="42" customHeight="1">
      <c r="A3748" s="2" t="s">
        <v>9288</v>
      </c>
      <c r="B3748" s="2" t="s">
        <v>9288</v>
      </c>
      <c r="C3748" s="2" t="s">
        <v>31</v>
      </c>
      <c r="D3748" s="2" t="s">
        <v>32</v>
      </c>
      <c r="E3748" s="5">
        <v>-30961</v>
      </c>
      <c r="F3748" s="3" t="s">
        <v>1176</v>
      </c>
      <c r="G3748" s="3" t="s">
        <v>97</v>
      </c>
      <c r="H3748" s="2" t="s">
        <v>72</v>
      </c>
      <c r="I3748" s="2" t="s">
        <v>9289</v>
      </c>
      <c r="J3748" s="3" t="str">
        <f>HYPERLINK("https://www.boe.es/gazeta/dias/1815/03/25/pdfs/GMD-1815-36.pdf#page=3","Abrir facsímil")</f>
        <v>Abrir facsímil</v>
      </c>
      <c r="K3748" s="3" t="s">
        <v>74</v>
      </c>
    </row>
    <row r="3749" spans="1:11" ht="42" customHeight="1">
      <c r="A3749" s="2" t="s">
        <v>9288</v>
      </c>
      <c r="B3749" s="2" t="s">
        <v>9288</v>
      </c>
      <c r="C3749" s="2" t="s">
        <v>31</v>
      </c>
      <c r="D3749" s="2" t="s">
        <v>32</v>
      </c>
      <c r="E3749" s="5">
        <v>-30942</v>
      </c>
      <c r="F3749" s="3" t="s">
        <v>730</v>
      </c>
      <c r="G3749" s="3" t="s">
        <v>410</v>
      </c>
      <c r="H3749" s="2" t="s">
        <v>72</v>
      </c>
      <c r="I3749" s="2" t="s">
        <v>9290</v>
      </c>
      <c r="J3749" s="3" t="str">
        <f>HYPERLINK("https://www.boe.es/gazeta/dias/1815/04/13/pdfs/GMD-1815-45.pdf#page=1","Abrir facsímil")</f>
        <v>Abrir facsímil</v>
      </c>
      <c r="K3749" s="3" t="s">
        <v>74</v>
      </c>
    </row>
    <row r="3750" spans="1:11" ht="42" customHeight="1">
      <c r="A3750" s="2" t="s">
        <v>9288</v>
      </c>
      <c r="B3750" s="2" t="s">
        <v>9288</v>
      </c>
      <c r="C3750" s="2" t="s">
        <v>17</v>
      </c>
      <c r="D3750" s="2" t="s">
        <v>18</v>
      </c>
      <c r="E3750" s="5">
        <v>-30837</v>
      </c>
      <c r="F3750" s="3" t="s">
        <v>2256</v>
      </c>
      <c r="G3750" s="3" t="s">
        <v>97</v>
      </c>
      <c r="H3750" s="2" t="s">
        <v>72</v>
      </c>
      <c r="I3750" s="2" t="s">
        <v>9291</v>
      </c>
      <c r="J3750" s="3" t="str">
        <f>HYPERLINK("https://www.boe.es/gazeta/dias/1815/07/27/pdfs/GMD-1815-92.pdf#page=3","Abrir facsímil")</f>
        <v>Abrir facsímil</v>
      </c>
      <c r="K3750" s="3" t="s">
        <v>74</v>
      </c>
    </row>
    <row r="3751" spans="1:11" ht="42" customHeight="1">
      <c r="A3751" s="2" t="s">
        <v>9288</v>
      </c>
      <c r="B3751" s="2" t="s">
        <v>9288</v>
      </c>
      <c r="C3751" s="2" t="s">
        <v>17</v>
      </c>
      <c r="D3751" s="2" t="s">
        <v>18</v>
      </c>
      <c r="E3751" s="5">
        <v>-30814</v>
      </c>
      <c r="F3751" s="3" t="s">
        <v>644</v>
      </c>
      <c r="G3751" s="3" t="s">
        <v>8028</v>
      </c>
      <c r="H3751" s="2" t="s">
        <v>72</v>
      </c>
      <c r="I3751" s="2" t="s">
        <v>9292</v>
      </c>
      <c r="J3751" s="3" t="str">
        <f>HYPERLINK("https://www.boe.es/gazeta/dias/1815/08/19/pdfs/GMD-1815-102.pdf#page=3","Abrir facsímil")</f>
        <v>Abrir facsímil</v>
      </c>
      <c r="K3751" s="3" t="s">
        <v>74</v>
      </c>
    </row>
    <row r="3752" spans="1:11" ht="42" customHeight="1">
      <c r="A3752" s="2" t="s">
        <v>9293</v>
      </c>
      <c r="B3752" s="2" t="s">
        <v>9294</v>
      </c>
      <c r="C3752" s="2" t="s">
        <v>31</v>
      </c>
      <c r="D3752" s="2" t="s">
        <v>32</v>
      </c>
      <c r="E3752" s="5">
        <v>-30730</v>
      </c>
      <c r="F3752" s="3" t="s">
        <v>953</v>
      </c>
      <c r="G3752" s="3" t="s">
        <v>97</v>
      </c>
      <c r="H3752" s="2" t="s">
        <v>21</v>
      </c>
      <c r="I3752" s="2" t="s">
        <v>9295</v>
      </c>
      <c r="J3752" s="3" t="str">
        <f>HYPERLINK("https://www.boe.es/gazeta/dias/1815/11/11/pdfs/GMD-1815-141.pdf#page=3","Abrir facsímil")</f>
        <v>Abrir facsímil</v>
      </c>
      <c r="K3752" s="3" t="s">
        <v>23</v>
      </c>
    </row>
    <row r="3753" spans="1:11" ht="42" customHeight="1">
      <c r="A3753" s="2" t="s">
        <v>9296</v>
      </c>
      <c r="B3753" s="2" t="s">
        <v>9297</v>
      </c>
      <c r="C3753" s="2" t="s">
        <v>31</v>
      </c>
      <c r="D3753" s="2" t="s">
        <v>32</v>
      </c>
      <c r="E3753" s="5">
        <v>-30928</v>
      </c>
      <c r="F3753" s="3" t="s">
        <v>330</v>
      </c>
      <c r="G3753" s="3" t="s">
        <v>97</v>
      </c>
      <c r="H3753" s="2" t="s">
        <v>21</v>
      </c>
      <c r="I3753" s="2" t="s">
        <v>9298</v>
      </c>
      <c r="J3753" s="3" t="str">
        <f>HYPERLINK("https://www.boe.es/gazeta/dias/1815/04/27/pdfs/GMD-1815-51.pdf#page=3","Abrir facsímil")</f>
        <v>Abrir facsímil</v>
      </c>
      <c r="K3753" s="3" t="s">
        <v>23</v>
      </c>
    </row>
    <row r="3754" spans="1:11" ht="42" customHeight="1">
      <c r="A3754" s="2" t="s">
        <v>9299</v>
      </c>
      <c r="B3754" s="2" t="s">
        <v>9300</v>
      </c>
      <c r="C3754" s="2" t="s">
        <v>195</v>
      </c>
      <c r="D3754" s="2" t="s">
        <v>50</v>
      </c>
      <c r="E3754" s="5">
        <v>-30991</v>
      </c>
      <c r="F3754" s="3" t="s">
        <v>318</v>
      </c>
      <c r="G3754" s="3" t="s">
        <v>319</v>
      </c>
      <c r="H3754" s="2" t="s">
        <v>72</v>
      </c>
      <c r="I3754" s="2" t="s">
        <v>9301</v>
      </c>
      <c r="J3754" s="3" t="str">
        <f>HYPERLINK("https://www.boe.es/gazeta/dias/1815/02/23/pdfs/GMD-1815-23.pdf#page=6","Abrir facsímil")</f>
        <v>Abrir facsímil</v>
      </c>
      <c r="K3754" s="3" t="s">
        <v>74</v>
      </c>
    </row>
    <row r="3755" spans="1:11" ht="42" customHeight="1">
      <c r="A3755" s="2" t="s">
        <v>9302</v>
      </c>
      <c r="B3755" s="2" t="s">
        <v>9303</v>
      </c>
      <c r="C3755" s="2" t="s">
        <v>17</v>
      </c>
      <c r="D3755" s="2" t="s">
        <v>18</v>
      </c>
      <c r="E3755" s="5">
        <v>-30984</v>
      </c>
      <c r="F3755" s="3" t="s">
        <v>748</v>
      </c>
      <c r="G3755" s="3" t="s">
        <v>4039</v>
      </c>
      <c r="H3755" s="2" t="s">
        <v>72</v>
      </c>
      <c r="I3755" s="2" t="s">
        <v>9304</v>
      </c>
      <c r="J3755" s="3" t="str">
        <f>HYPERLINK("https://www.boe.es/gazeta/dias/1815/03/02/pdfs/GMD-1815-26.pdf#page=7","Abrir facsímil")</f>
        <v>Abrir facsímil</v>
      </c>
      <c r="K3755" s="3" t="s">
        <v>74</v>
      </c>
    </row>
    <row r="3756" spans="1:11" ht="42" customHeight="1">
      <c r="A3756" s="2" t="s">
        <v>9305</v>
      </c>
      <c r="B3756" s="2" t="s">
        <v>9306</v>
      </c>
      <c r="C3756" s="2" t="s">
        <v>31</v>
      </c>
      <c r="D3756" s="2" t="s">
        <v>32</v>
      </c>
      <c r="E3756" s="5">
        <v>-30979</v>
      </c>
      <c r="F3756" s="3" t="s">
        <v>56</v>
      </c>
      <c r="G3756" s="3" t="s">
        <v>27</v>
      </c>
      <c r="H3756" s="2" t="s">
        <v>72</v>
      </c>
      <c r="I3756" s="2" t="s">
        <v>9307</v>
      </c>
      <c r="J3756" s="3" t="str">
        <f>HYPERLINK("https://www.boe.es/gazeta/dias/1815/03/07/pdfs/GMD-1815-28.pdf#page=6","Abrir facsímil")</f>
        <v>Abrir facsímil</v>
      </c>
      <c r="K3756" s="3" t="s">
        <v>74</v>
      </c>
    </row>
    <row r="3757" spans="1:11" ht="42" customHeight="1">
      <c r="A3757" s="2" t="s">
        <v>9308</v>
      </c>
      <c r="B3757" s="2" t="s">
        <v>9308</v>
      </c>
      <c r="C3757" s="2" t="s">
        <v>31</v>
      </c>
      <c r="D3757" s="2" t="s">
        <v>32</v>
      </c>
      <c r="E3757" s="5">
        <v>-30858</v>
      </c>
      <c r="F3757" s="3" t="s">
        <v>1928</v>
      </c>
      <c r="G3757" s="3" t="s">
        <v>377</v>
      </c>
      <c r="H3757" s="2" t="s">
        <v>72</v>
      </c>
      <c r="I3757" s="2" t="s">
        <v>9309</v>
      </c>
      <c r="J3757" s="3" t="str">
        <f>HYPERLINK("https://www.boe.es/gazeta/dias/1815/07/06/pdfs/GMD-1815-83.pdf#page=2","Abrir facsímil")</f>
        <v>Abrir facsímil</v>
      </c>
      <c r="K3757" s="3" t="s">
        <v>74</v>
      </c>
    </row>
    <row r="3758" spans="1:11" ht="42" customHeight="1">
      <c r="A3758" s="2" t="s">
        <v>9310</v>
      </c>
      <c r="B3758" s="2" t="s">
        <v>9311</v>
      </c>
      <c r="C3758" s="2" t="s">
        <v>49</v>
      </c>
      <c r="D3758" s="2" t="s">
        <v>50</v>
      </c>
      <c r="E3758" s="5">
        <v>-30818</v>
      </c>
      <c r="F3758" s="3" t="s">
        <v>334</v>
      </c>
      <c r="G3758" s="3" t="s">
        <v>224</v>
      </c>
      <c r="H3758" s="2" t="s">
        <v>72</v>
      </c>
      <c r="I3758" s="2" t="s">
        <v>9312</v>
      </c>
      <c r="J3758" s="3" t="str">
        <f>HYPERLINK("https://www.boe.es/gazeta/dias/1815/08/15/pdfs/GMD-1815-100.pdf#page=9","Abrir facsímil")</f>
        <v>Abrir facsímil</v>
      </c>
      <c r="K3758" s="3" t="s">
        <v>74</v>
      </c>
    </row>
    <row r="3759" spans="1:11" ht="42" customHeight="1">
      <c r="A3759" s="2" t="s">
        <v>9313</v>
      </c>
      <c r="B3759" s="2" t="s">
        <v>9313</v>
      </c>
      <c r="C3759" s="2" t="s">
        <v>31</v>
      </c>
      <c r="D3759" s="2" t="s">
        <v>32</v>
      </c>
      <c r="E3759" s="5">
        <v>-30849</v>
      </c>
      <c r="F3759" s="3" t="s">
        <v>501</v>
      </c>
      <c r="G3759" s="3" t="s">
        <v>71</v>
      </c>
      <c r="H3759" s="2" t="s">
        <v>72</v>
      </c>
      <c r="I3759" s="2" t="s">
        <v>9314</v>
      </c>
      <c r="J3759" s="3" t="str">
        <f>HYPERLINK("https://www.boe.es/gazeta/dias/1815/07/15/pdfs/GMD-1815-87.pdf#page=7","Abrir facsímil")</f>
        <v>Abrir facsímil</v>
      </c>
      <c r="K3759" s="3" t="s">
        <v>74</v>
      </c>
    </row>
    <row r="3760" spans="1:11" ht="42" customHeight="1">
      <c r="A3760" s="2" t="s">
        <v>9315</v>
      </c>
      <c r="B3760" s="2" t="s">
        <v>9316</v>
      </c>
      <c r="C3760" s="2" t="s">
        <v>195</v>
      </c>
      <c r="D3760" s="2" t="s">
        <v>50</v>
      </c>
      <c r="E3760" s="5">
        <v>-30888</v>
      </c>
      <c r="F3760" s="3" t="s">
        <v>368</v>
      </c>
      <c r="G3760" s="3" t="s">
        <v>224</v>
      </c>
      <c r="H3760" s="2" t="s">
        <v>72</v>
      </c>
      <c r="I3760" s="2" t="s">
        <v>9317</v>
      </c>
      <c r="J3760" s="3" t="str">
        <f>HYPERLINK("https://www.boe.es/gazeta/dias/1815/06/06/pdfs/GMD-1815-68.pdf#page=9","Abrir facsímil")</f>
        <v>Abrir facsímil</v>
      </c>
      <c r="K3760" s="3" t="s">
        <v>74</v>
      </c>
    </row>
    <row r="3761" spans="1:11" ht="42" customHeight="1">
      <c r="A3761" s="2" t="s">
        <v>9318</v>
      </c>
      <c r="B3761" s="2" t="s">
        <v>9319</v>
      </c>
      <c r="C3761" s="2" t="s">
        <v>31</v>
      </c>
      <c r="D3761" s="2" t="s">
        <v>32</v>
      </c>
      <c r="E3761" s="5">
        <v>-30711</v>
      </c>
      <c r="F3761" s="3" t="s">
        <v>438</v>
      </c>
      <c r="G3761" s="3" t="s">
        <v>27</v>
      </c>
      <c r="H3761" s="2" t="s">
        <v>72</v>
      </c>
      <c r="I3761" s="2" t="s">
        <v>9320</v>
      </c>
      <c r="J3761" s="3" t="str">
        <f>HYPERLINK("https://www.boe.es/gazeta/dias/1815/11/30/pdfs/GMD-1815-149.pdf#page=6","Abrir facsímil")</f>
        <v>Abrir facsímil</v>
      </c>
      <c r="K3761" s="3" t="s">
        <v>74</v>
      </c>
    </row>
    <row r="3762" spans="1:11" ht="42" customHeight="1">
      <c r="A3762" s="2" t="s">
        <v>9321</v>
      </c>
      <c r="B3762" s="2" t="s">
        <v>9322</v>
      </c>
      <c r="C3762" s="2" t="s">
        <v>49</v>
      </c>
      <c r="D3762" s="2" t="s">
        <v>50</v>
      </c>
      <c r="E3762" s="5">
        <v>-30818</v>
      </c>
      <c r="F3762" s="3" t="s">
        <v>334</v>
      </c>
      <c r="G3762" s="3" t="s">
        <v>224</v>
      </c>
      <c r="H3762" s="2" t="s">
        <v>72</v>
      </c>
      <c r="I3762" s="2" t="s">
        <v>9323</v>
      </c>
      <c r="J3762" s="3" t="str">
        <f>HYPERLINK("https://www.boe.es/gazeta/dias/1815/08/15/pdfs/GMD-1815-100.pdf#page=9","Abrir facsímil")</f>
        <v>Abrir facsímil</v>
      </c>
      <c r="K3762" s="3" t="s">
        <v>74</v>
      </c>
    </row>
    <row r="3763" spans="1:11" ht="42" customHeight="1">
      <c r="A3763" s="2" t="s">
        <v>9324</v>
      </c>
      <c r="B3763" s="2" t="s">
        <v>9325</v>
      </c>
      <c r="C3763" s="2" t="s">
        <v>17</v>
      </c>
      <c r="D3763" s="2" t="s">
        <v>18</v>
      </c>
      <c r="E3763" s="5">
        <v>-31000</v>
      </c>
      <c r="F3763" s="3" t="s">
        <v>70</v>
      </c>
      <c r="G3763" s="3" t="s">
        <v>71</v>
      </c>
      <c r="H3763" s="2" t="s">
        <v>72</v>
      </c>
      <c r="I3763" s="2" t="s">
        <v>9326</v>
      </c>
      <c r="J3763" s="3" t="str">
        <f>HYPERLINK("https://www.boe.es/gazeta/dias/1815/02/14/pdfs/GMD-1815-19.pdf#page=7","Abrir facsímil")</f>
        <v>Abrir facsímil</v>
      </c>
      <c r="K3763" s="3" t="s">
        <v>74</v>
      </c>
    </row>
    <row r="3764" spans="1:11" ht="42" customHeight="1">
      <c r="A3764" s="2" t="s">
        <v>9327</v>
      </c>
      <c r="B3764" s="2" t="s">
        <v>9328</v>
      </c>
      <c r="C3764" s="2" t="s">
        <v>49</v>
      </c>
      <c r="D3764" s="2" t="s">
        <v>50</v>
      </c>
      <c r="E3764" s="5">
        <v>-30863</v>
      </c>
      <c r="F3764" s="3" t="s">
        <v>110</v>
      </c>
      <c r="G3764" s="3" t="s">
        <v>224</v>
      </c>
      <c r="H3764" s="2" t="s">
        <v>72</v>
      </c>
      <c r="I3764" s="2" t="s">
        <v>9329</v>
      </c>
      <c r="J3764" s="3" t="str">
        <f>HYPERLINK("https://www.boe.es/gazeta/dias/1815/07/01/pdfs/GMD-1815-79.pdf#page=9","Abrir facsímil")</f>
        <v>Abrir facsímil</v>
      </c>
      <c r="K3764" s="3" t="s">
        <v>74</v>
      </c>
    </row>
    <row r="3765" spans="1:11" ht="42" customHeight="1">
      <c r="A3765" s="2" t="s">
        <v>9330</v>
      </c>
      <c r="B3765" s="2" t="s">
        <v>9331</v>
      </c>
      <c r="C3765" s="2" t="s">
        <v>49</v>
      </c>
      <c r="D3765" s="2" t="s">
        <v>50</v>
      </c>
      <c r="E3765" s="5">
        <v>-30720</v>
      </c>
      <c r="F3765" s="3" t="s">
        <v>373</v>
      </c>
      <c r="G3765" s="3" t="s">
        <v>224</v>
      </c>
      <c r="H3765" s="2" t="s">
        <v>72</v>
      </c>
      <c r="I3765" s="2" t="s">
        <v>9332</v>
      </c>
      <c r="J3765" s="3" t="str">
        <f>HYPERLINK("https://www.boe.es/gazeta/dias/1815/11/21/pdfs/GMD-1815-145.pdf#page=9","Abrir facsímil")</f>
        <v>Abrir facsímil</v>
      </c>
      <c r="K3765" s="3" t="s">
        <v>74</v>
      </c>
    </row>
    <row r="3766" spans="1:11" ht="42" customHeight="1">
      <c r="A3766" s="2" t="s">
        <v>9333</v>
      </c>
      <c r="B3766" s="2" t="s">
        <v>9334</v>
      </c>
      <c r="C3766" s="2" t="s">
        <v>49</v>
      </c>
      <c r="D3766" s="2" t="s">
        <v>50</v>
      </c>
      <c r="E3766" s="5">
        <v>-31033</v>
      </c>
      <c r="F3766" s="3" t="s">
        <v>493</v>
      </c>
      <c r="G3766" s="3" t="s">
        <v>27</v>
      </c>
      <c r="H3766" s="2" t="s">
        <v>72</v>
      </c>
      <c r="I3766" s="2" t="s">
        <v>9335</v>
      </c>
      <c r="J3766" s="3" t="str">
        <f>HYPERLINK("https://www.boe.es/gazeta/dias/1815/01/12/pdfs/GMD-1815-5.pdf#page=6","Abrir facsímil")</f>
        <v>Abrir facsímil</v>
      </c>
      <c r="K3766" s="3" t="s">
        <v>74</v>
      </c>
    </row>
    <row r="3767" spans="1:11" ht="42" customHeight="1">
      <c r="A3767" s="2" t="s">
        <v>9336</v>
      </c>
      <c r="B3767" s="2" t="s">
        <v>9337</v>
      </c>
      <c r="C3767" s="2" t="s">
        <v>31</v>
      </c>
      <c r="D3767" s="2" t="s">
        <v>32</v>
      </c>
      <c r="E3767" s="5">
        <v>-30935</v>
      </c>
      <c r="F3767" s="3" t="s">
        <v>519</v>
      </c>
      <c r="G3767" s="3" t="s">
        <v>71</v>
      </c>
      <c r="H3767" s="2" t="s">
        <v>72</v>
      </c>
      <c r="I3767" s="2" t="s">
        <v>9338</v>
      </c>
      <c r="J3767" s="3" t="str">
        <f>HYPERLINK("https://www.boe.es/gazeta/dias/1815/04/20/pdfs/GMD-1815-48.pdf#page=7","Abrir facsímil")</f>
        <v>Abrir facsímil</v>
      </c>
      <c r="K3767" s="3" t="s">
        <v>74</v>
      </c>
    </row>
    <row r="3768" spans="1:11" ht="42" customHeight="1">
      <c r="A3768" s="2" t="s">
        <v>9339</v>
      </c>
      <c r="B3768" s="2" t="s">
        <v>9340</v>
      </c>
      <c r="C3768" s="2" t="s">
        <v>195</v>
      </c>
      <c r="D3768" s="2" t="s">
        <v>50</v>
      </c>
      <c r="E3768" s="5">
        <v>-31038</v>
      </c>
      <c r="F3768" s="3" t="s">
        <v>395</v>
      </c>
      <c r="G3768" s="3" t="s">
        <v>71</v>
      </c>
      <c r="H3768" s="2" t="s">
        <v>72</v>
      </c>
      <c r="I3768" s="2" t="s">
        <v>9341</v>
      </c>
      <c r="J3768" s="3" t="str">
        <f>HYPERLINK("https://www.boe.es/gazeta/dias/1815/01/07/pdfs/GMD-1815-3.pdf#page=7","Abrir facsímil")</f>
        <v>Abrir facsímil</v>
      </c>
      <c r="K3768" s="3" t="s">
        <v>74</v>
      </c>
    </row>
    <row r="3769" spans="1:11" ht="42" customHeight="1">
      <c r="A3769" s="2" t="s">
        <v>9342</v>
      </c>
      <c r="B3769" s="2" t="s">
        <v>9343</v>
      </c>
      <c r="C3769" s="2" t="s">
        <v>31</v>
      </c>
      <c r="D3769" s="2" t="s">
        <v>32</v>
      </c>
      <c r="E3769" s="5">
        <v>-30767</v>
      </c>
      <c r="F3769" s="3" t="s">
        <v>228</v>
      </c>
      <c r="G3769" s="3" t="s">
        <v>224</v>
      </c>
      <c r="H3769" s="2" t="s">
        <v>72</v>
      </c>
      <c r="I3769" s="2" t="s">
        <v>9344</v>
      </c>
      <c r="J3769" s="3" t="str">
        <f>HYPERLINK("https://www.boe.es/gazeta/dias/1815/10/05/pdfs/GMD-1815-125.pdf#page=9","Abrir facsímil")</f>
        <v>Abrir facsímil</v>
      </c>
      <c r="K3769" s="3" t="s">
        <v>74</v>
      </c>
    </row>
    <row r="3770" spans="1:11" ht="42" customHeight="1">
      <c r="A3770" s="2" t="s">
        <v>9345</v>
      </c>
      <c r="B3770" s="2" t="s">
        <v>9346</v>
      </c>
      <c r="C3770" s="2" t="s">
        <v>49</v>
      </c>
      <c r="D3770" s="2" t="s">
        <v>50</v>
      </c>
      <c r="E3770" s="5">
        <v>-30818</v>
      </c>
      <c r="F3770" s="3" t="s">
        <v>334</v>
      </c>
      <c r="G3770" s="3" t="s">
        <v>224</v>
      </c>
      <c r="H3770" s="2" t="s">
        <v>72</v>
      </c>
      <c r="I3770" s="2" t="s">
        <v>9347</v>
      </c>
      <c r="J3770" s="3" t="str">
        <f>HYPERLINK("https://www.boe.es/gazeta/dias/1815/08/15/pdfs/GMD-1815-100.pdf#page=9","Abrir facsímil")</f>
        <v>Abrir facsímil</v>
      </c>
      <c r="K3770" s="3" t="s">
        <v>74</v>
      </c>
    </row>
    <row r="3771" spans="1:11" ht="42" customHeight="1">
      <c r="A3771" s="2" t="s">
        <v>9348</v>
      </c>
      <c r="B3771" s="2" t="s">
        <v>9349</v>
      </c>
      <c r="C3771" s="2" t="s">
        <v>49</v>
      </c>
      <c r="D3771" s="2" t="s">
        <v>50</v>
      </c>
      <c r="E3771" s="5">
        <v>-30900</v>
      </c>
      <c r="F3771" s="3" t="s">
        <v>921</v>
      </c>
      <c r="G3771" s="3" t="s">
        <v>88</v>
      </c>
      <c r="H3771" s="2" t="s">
        <v>72</v>
      </c>
      <c r="I3771" s="2" t="s">
        <v>9350</v>
      </c>
      <c r="J3771" s="3" t="str">
        <f>HYPERLINK("https://www.boe.es/gazeta/dias/1815/05/25/pdfs/GMD-1815-63.pdf#page=10","Abrir facsímil")</f>
        <v>Abrir facsímil</v>
      </c>
      <c r="K3771" s="3" t="s">
        <v>74</v>
      </c>
    </row>
    <row r="3772" spans="1:11" ht="42" customHeight="1">
      <c r="A3772" s="2" t="s">
        <v>9348</v>
      </c>
      <c r="B3772" s="2" t="s">
        <v>9349</v>
      </c>
      <c r="C3772" s="2" t="s">
        <v>49</v>
      </c>
      <c r="D3772" s="2" t="s">
        <v>50</v>
      </c>
      <c r="E3772" s="5">
        <v>-30865</v>
      </c>
      <c r="F3772" s="3" t="s">
        <v>163</v>
      </c>
      <c r="G3772" s="3" t="s">
        <v>71</v>
      </c>
      <c r="H3772" s="2" t="s">
        <v>72</v>
      </c>
      <c r="I3772" s="2" t="s">
        <v>9351</v>
      </c>
      <c r="J3772" s="3" t="str">
        <f>HYPERLINK("https://www.boe.es/gazeta/dias/1815/06/29/pdfs/GMD-1815-78.pdf#page=7","Abrir facsímil")</f>
        <v>Abrir facsímil</v>
      </c>
      <c r="K3772" s="3" t="s">
        <v>74</v>
      </c>
    </row>
    <row r="3773" spans="1:11" ht="42" customHeight="1">
      <c r="A3773" s="2" t="s">
        <v>9352</v>
      </c>
      <c r="B3773" s="2" t="s">
        <v>9353</v>
      </c>
      <c r="C3773" s="2" t="s">
        <v>17</v>
      </c>
      <c r="D3773" s="2" t="s">
        <v>18</v>
      </c>
      <c r="E3773" s="5">
        <v>-30758</v>
      </c>
      <c r="F3773" s="3" t="s">
        <v>1964</v>
      </c>
      <c r="G3773" s="3" t="s">
        <v>38</v>
      </c>
      <c r="H3773" s="2" t="s">
        <v>72</v>
      </c>
      <c r="I3773" s="2" t="s">
        <v>9354</v>
      </c>
      <c r="J3773" s="3" t="str">
        <f>HYPERLINK("https://www.boe.es/gazeta/dias/1815/10/14/pdfs/GMD-1815-129.pdf#page=8","Abrir facsímil")</f>
        <v>Abrir facsímil</v>
      </c>
      <c r="K3773" s="3" t="s">
        <v>74</v>
      </c>
    </row>
    <row r="3774" spans="1:11" ht="42" customHeight="1">
      <c r="A3774" s="2" t="s">
        <v>9355</v>
      </c>
      <c r="B3774" s="2" t="s">
        <v>9356</v>
      </c>
      <c r="C3774" s="2" t="s">
        <v>195</v>
      </c>
      <c r="D3774" s="2" t="s">
        <v>50</v>
      </c>
      <c r="E3774" s="5">
        <v>-30963</v>
      </c>
      <c r="F3774" s="3" t="s">
        <v>879</v>
      </c>
      <c r="G3774" s="3" t="s">
        <v>71</v>
      </c>
      <c r="H3774" s="2" t="s">
        <v>72</v>
      </c>
      <c r="I3774" s="2" t="s">
        <v>9357</v>
      </c>
      <c r="J3774" s="3" t="str">
        <f>HYPERLINK("https://www.boe.es/gazeta/dias/1815/03/23/pdfs/GMD-1815-35.pdf#page=7","Abrir facsímil")</f>
        <v>Abrir facsímil</v>
      </c>
      <c r="K3774" s="3" t="s">
        <v>74</v>
      </c>
    </row>
    <row r="3775" spans="1:11" ht="42" customHeight="1">
      <c r="A3775" s="2" t="s">
        <v>9358</v>
      </c>
      <c r="B3775" s="2" t="s">
        <v>9359</v>
      </c>
      <c r="C3775" s="2" t="s">
        <v>31</v>
      </c>
      <c r="D3775" s="2" t="s">
        <v>32</v>
      </c>
      <c r="E3775" s="5">
        <v>-30737</v>
      </c>
      <c r="F3775" s="3" t="s">
        <v>1932</v>
      </c>
      <c r="G3775" s="3" t="s">
        <v>71</v>
      </c>
      <c r="H3775" s="2" t="s">
        <v>72</v>
      </c>
      <c r="I3775" s="2" t="s">
        <v>9360</v>
      </c>
      <c r="J3775" s="3" t="str">
        <f>HYPERLINK("https://www.boe.es/gazeta/dias/1815/11/04/pdfs/GMD-1815-138.pdf#page=7","Abrir facsímil")</f>
        <v>Abrir facsímil</v>
      </c>
      <c r="K3775" s="3" t="s">
        <v>74</v>
      </c>
    </row>
    <row r="3776" spans="1:11" ht="42" customHeight="1">
      <c r="A3776" s="2" t="s">
        <v>9361</v>
      </c>
      <c r="B3776" s="2" t="s">
        <v>9362</v>
      </c>
      <c r="C3776" s="2" t="s">
        <v>49</v>
      </c>
      <c r="D3776" s="2" t="s">
        <v>50</v>
      </c>
      <c r="E3776" s="5">
        <v>-30998</v>
      </c>
      <c r="F3776" s="3" t="s">
        <v>539</v>
      </c>
      <c r="G3776" s="3" t="s">
        <v>38</v>
      </c>
      <c r="H3776" s="2" t="s">
        <v>72</v>
      </c>
      <c r="I3776" s="2" t="s">
        <v>9363</v>
      </c>
      <c r="J3776" s="3" t="str">
        <f>HYPERLINK("https://www.boe.es/gazeta/dias/1815/02/16/pdfs/GMD-1815-20.pdf#page=8","Abrir facsímil")</f>
        <v>Abrir facsímil</v>
      </c>
      <c r="K3776" s="3" t="s">
        <v>74</v>
      </c>
    </row>
    <row r="3777" spans="1:11" ht="42" customHeight="1">
      <c r="A3777" s="2" t="s">
        <v>9364</v>
      </c>
      <c r="B3777" s="2" t="s">
        <v>9365</v>
      </c>
      <c r="C3777" s="2" t="s">
        <v>17</v>
      </c>
      <c r="D3777" s="2" t="s">
        <v>18</v>
      </c>
      <c r="E3777" s="5">
        <v>-30963</v>
      </c>
      <c r="F3777" s="3" t="s">
        <v>879</v>
      </c>
      <c r="G3777" s="3" t="s">
        <v>27</v>
      </c>
      <c r="H3777" s="2" t="s">
        <v>72</v>
      </c>
      <c r="I3777" s="2" t="s">
        <v>9366</v>
      </c>
      <c r="J3777" s="3" t="str">
        <f>HYPERLINK("https://www.boe.es/gazeta/dias/1815/03/23/pdfs/GMD-1815-35.pdf#page=6","Abrir facsímil")</f>
        <v>Abrir facsímil</v>
      </c>
      <c r="K3777" s="3" t="s">
        <v>74</v>
      </c>
    </row>
    <row r="3778" spans="1:11" ht="42" customHeight="1">
      <c r="A3778" s="2" t="s">
        <v>9367</v>
      </c>
      <c r="B3778" s="2" t="s">
        <v>9368</v>
      </c>
      <c r="C3778" s="2" t="s">
        <v>17</v>
      </c>
      <c r="D3778" s="2" t="s">
        <v>18</v>
      </c>
      <c r="E3778" s="5">
        <v>-30972</v>
      </c>
      <c r="F3778" s="3" t="s">
        <v>1382</v>
      </c>
      <c r="G3778" s="3" t="s">
        <v>20</v>
      </c>
      <c r="H3778" s="2" t="s">
        <v>72</v>
      </c>
      <c r="I3778" s="2" t="s">
        <v>9369</v>
      </c>
      <c r="J3778" s="3" t="str">
        <f>HYPERLINK("https://www.boe.es/gazeta/dias/1815/03/14/pdfs/GMD-1815-31.pdf#page=4","Abrir facsímil")</f>
        <v>Abrir facsímil</v>
      </c>
      <c r="K3778" s="3" t="s">
        <v>74</v>
      </c>
    </row>
    <row r="3779" spans="1:11" ht="42" customHeight="1">
      <c r="A3779" s="2" t="s">
        <v>9370</v>
      </c>
      <c r="B3779" s="2" t="s">
        <v>9371</v>
      </c>
      <c r="C3779" s="2" t="s">
        <v>17</v>
      </c>
      <c r="D3779" s="2" t="s">
        <v>18</v>
      </c>
      <c r="E3779" s="5">
        <v>-31033</v>
      </c>
      <c r="F3779" s="3" t="s">
        <v>493</v>
      </c>
      <c r="G3779" s="3" t="s">
        <v>71</v>
      </c>
      <c r="H3779" s="2" t="s">
        <v>21</v>
      </c>
      <c r="I3779" s="2" t="s">
        <v>9372</v>
      </c>
      <c r="J3779" s="3" t="str">
        <f>HYPERLINK("https://www.boe.es/gazeta/dias/1815/01/12/pdfs/GMD-1815-5.pdf#page=7","Abrir facsímil")</f>
        <v>Abrir facsímil</v>
      </c>
      <c r="K3779" s="3" t="s">
        <v>23</v>
      </c>
    </row>
    <row r="3780" spans="1:11" ht="42" customHeight="1">
      <c r="A3780" s="2" t="s">
        <v>9373</v>
      </c>
      <c r="B3780" s="2" t="s">
        <v>9374</v>
      </c>
      <c r="C3780" s="2" t="s">
        <v>31</v>
      </c>
      <c r="D3780" s="2" t="s">
        <v>32</v>
      </c>
      <c r="E3780" s="5">
        <v>-30727</v>
      </c>
      <c r="F3780" s="3" t="s">
        <v>262</v>
      </c>
      <c r="G3780" s="3" t="s">
        <v>5122</v>
      </c>
      <c r="H3780" s="2" t="s">
        <v>72</v>
      </c>
      <c r="I3780" s="2" t="s">
        <v>9375</v>
      </c>
      <c r="J3780" s="3" t="str">
        <f>HYPERLINK("https://www.boe.es/gazeta/dias/1815/11/14/pdfs/GMD-1815-142.pdf#page=5","Abrir facsímil")</f>
        <v>Abrir facsímil</v>
      </c>
      <c r="K3780" s="3" t="s">
        <v>74</v>
      </c>
    </row>
    <row r="3781" spans="1:11" ht="42" customHeight="1">
      <c r="A3781" s="2" t="s">
        <v>9376</v>
      </c>
      <c r="B3781" s="2" t="s">
        <v>9376</v>
      </c>
      <c r="C3781" s="2" t="s">
        <v>49</v>
      </c>
      <c r="D3781" s="2" t="s">
        <v>50</v>
      </c>
      <c r="E3781" s="5">
        <v>-30863</v>
      </c>
      <c r="F3781" s="3" t="s">
        <v>110</v>
      </c>
      <c r="G3781" s="3" t="s">
        <v>71</v>
      </c>
      <c r="H3781" s="2" t="s">
        <v>72</v>
      </c>
      <c r="I3781" s="2" t="s">
        <v>9377</v>
      </c>
      <c r="J3781" s="3" t="str">
        <f>HYPERLINK("https://www.boe.es/gazeta/dias/1815/07/01/pdfs/GMD-1815-79.pdf#page=7","Abrir facsímil")</f>
        <v>Abrir facsímil</v>
      </c>
      <c r="K3781" s="3" t="s">
        <v>74</v>
      </c>
    </row>
    <row r="3782" spans="1:11" ht="42" customHeight="1">
      <c r="A3782" s="2" t="s">
        <v>9378</v>
      </c>
      <c r="B3782" s="2" t="s">
        <v>9378</v>
      </c>
      <c r="C3782" s="2" t="s">
        <v>49</v>
      </c>
      <c r="D3782" s="2" t="s">
        <v>50</v>
      </c>
      <c r="E3782" s="5">
        <v>-30898</v>
      </c>
      <c r="F3782" s="3" t="s">
        <v>212</v>
      </c>
      <c r="G3782" s="3" t="s">
        <v>377</v>
      </c>
      <c r="H3782" s="2" t="s">
        <v>72</v>
      </c>
      <c r="I3782" s="2" t="s">
        <v>9379</v>
      </c>
      <c r="J3782" s="3" t="str">
        <f>HYPERLINK("https://www.boe.es/gazeta/dias/1815/05/27/pdfs/GMD-1815-64.pdf#page=2","Abrir facsímil")</f>
        <v>Abrir facsímil</v>
      </c>
      <c r="K3782" s="3" t="s">
        <v>74</v>
      </c>
    </row>
    <row r="3783" spans="1:11" ht="42" customHeight="1">
      <c r="A3783" s="2" t="s">
        <v>9378</v>
      </c>
      <c r="B3783" s="2" t="s">
        <v>9378</v>
      </c>
      <c r="C3783" s="2" t="s">
        <v>49</v>
      </c>
      <c r="D3783" s="2" t="s">
        <v>50</v>
      </c>
      <c r="E3783" s="5">
        <v>-30874</v>
      </c>
      <c r="F3783" s="3" t="s">
        <v>208</v>
      </c>
      <c r="G3783" s="3" t="s">
        <v>20</v>
      </c>
      <c r="H3783" s="2" t="s">
        <v>72</v>
      </c>
      <c r="I3783" s="2" t="s">
        <v>9380</v>
      </c>
      <c r="J3783" s="3" t="str">
        <f>HYPERLINK("https://www.boe.es/gazeta/dias/1815/06/20/pdfs/GMD-1815-74.pdf#page=4","Abrir facsímil")</f>
        <v>Abrir facsímil</v>
      </c>
      <c r="K3783" s="3" t="s">
        <v>74</v>
      </c>
    </row>
    <row r="3784" spans="1:11" ht="42" customHeight="1">
      <c r="A3784" s="2" t="s">
        <v>9378</v>
      </c>
      <c r="B3784" s="2" t="s">
        <v>9378</v>
      </c>
      <c r="C3784" s="2" t="s">
        <v>31</v>
      </c>
      <c r="D3784" s="2" t="s">
        <v>32</v>
      </c>
      <c r="E3784" s="5">
        <v>-30858</v>
      </c>
      <c r="F3784" s="3" t="s">
        <v>1928</v>
      </c>
      <c r="G3784" s="3" t="s">
        <v>377</v>
      </c>
      <c r="H3784" s="2" t="s">
        <v>72</v>
      </c>
      <c r="I3784" s="2" t="s">
        <v>9381</v>
      </c>
      <c r="J3784" s="3" t="str">
        <f>HYPERLINK("https://www.boe.es/gazeta/dias/1815/07/06/pdfs/GMD-1815-83.pdf#page=2","Abrir facsímil")</f>
        <v>Abrir facsímil</v>
      </c>
      <c r="K3784" s="3" t="s">
        <v>74</v>
      </c>
    </row>
    <row r="3785" spans="1:11" ht="42" customHeight="1">
      <c r="A3785" s="2" t="s">
        <v>9378</v>
      </c>
      <c r="B3785" s="2" t="s">
        <v>9378</v>
      </c>
      <c r="C3785" s="2" t="s">
        <v>31</v>
      </c>
      <c r="D3785" s="2" t="s">
        <v>32</v>
      </c>
      <c r="E3785" s="5">
        <v>-30725</v>
      </c>
      <c r="F3785" s="3" t="s">
        <v>1535</v>
      </c>
      <c r="G3785" s="3" t="s">
        <v>377</v>
      </c>
      <c r="H3785" s="2" t="s">
        <v>72</v>
      </c>
      <c r="I3785" s="2" t="s">
        <v>9382</v>
      </c>
      <c r="J3785" s="3" t="str">
        <f>HYPERLINK("https://www.boe.es/gazeta/dias/1815/11/16/pdfs/GMD-1815-143.pdf#page=2","Abrir facsímil")</f>
        <v>Abrir facsímil</v>
      </c>
      <c r="K3785" s="3" t="s">
        <v>74</v>
      </c>
    </row>
    <row r="3786" spans="1:11" ht="42" customHeight="1">
      <c r="A3786" s="2" t="s">
        <v>9378</v>
      </c>
      <c r="B3786" s="2" t="s">
        <v>9378</v>
      </c>
      <c r="C3786" s="2" t="s">
        <v>31</v>
      </c>
      <c r="D3786" s="2" t="s">
        <v>32</v>
      </c>
      <c r="E3786" s="5">
        <v>-30725</v>
      </c>
      <c r="F3786" s="3" t="s">
        <v>1535</v>
      </c>
      <c r="G3786" s="3" t="s">
        <v>97</v>
      </c>
      <c r="H3786" s="2" t="s">
        <v>72</v>
      </c>
      <c r="I3786" s="2" t="s">
        <v>9383</v>
      </c>
      <c r="J3786" s="3" t="str">
        <f>HYPERLINK("https://www.boe.es/gazeta/dias/1815/11/16/pdfs/GMD-1815-143.pdf#page=3","Abrir facsímil")</f>
        <v>Abrir facsímil</v>
      </c>
      <c r="K3786" s="3" t="s">
        <v>74</v>
      </c>
    </row>
    <row r="3787" spans="1:11" ht="42" customHeight="1">
      <c r="A3787" s="2" t="s">
        <v>9384</v>
      </c>
      <c r="B3787" s="2" t="s">
        <v>9385</v>
      </c>
      <c r="C3787" s="2" t="s">
        <v>61</v>
      </c>
      <c r="D3787" s="2" t="s">
        <v>50</v>
      </c>
      <c r="E3787" s="5">
        <v>-31024</v>
      </c>
      <c r="F3787" s="3" t="s">
        <v>101</v>
      </c>
      <c r="G3787" s="3" t="s">
        <v>258</v>
      </c>
      <c r="H3787" s="2" t="s">
        <v>72</v>
      </c>
      <c r="I3787" s="2" t="s">
        <v>9386</v>
      </c>
      <c r="J3787" s="3" t="str">
        <f>HYPERLINK("https://www.boe.es/gazeta/dias/1815/01/21/pdfs/GMD-1815-9.pdf#page=6","Abrir facsímil")</f>
        <v>Abrir facsímil</v>
      </c>
      <c r="K3787" s="3" t="s">
        <v>74</v>
      </c>
    </row>
    <row r="3788" spans="1:11" ht="42" customHeight="1">
      <c r="A3788" s="2" t="s">
        <v>9387</v>
      </c>
      <c r="B3788" s="2" t="s">
        <v>9388</v>
      </c>
      <c r="C3788" s="2" t="s">
        <v>49</v>
      </c>
      <c r="D3788" s="2" t="s">
        <v>50</v>
      </c>
      <c r="E3788" s="5">
        <v>-30942</v>
      </c>
      <c r="F3788" s="3" t="s">
        <v>730</v>
      </c>
      <c r="G3788" s="3" t="s">
        <v>862</v>
      </c>
      <c r="H3788" s="2" t="s">
        <v>72</v>
      </c>
      <c r="I3788" s="2" t="s">
        <v>9389</v>
      </c>
      <c r="J3788" s="3" t="str">
        <f>HYPERLINK("https://www.boe.es/gazeta/dias/1815/04/13/pdfs/GMD-1815-45.pdf#page=6","Abrir facsímil")</f>
        <v>Abrir facsímil</v>
      </c>
      <c r="K3788" s="3" t="s">
        <v>74</v>
      </c>
    </row>
    <row r="3789" spans="1:11" ht="42" customHeight="1">
      <c r="A3789" s="2" t="s">
        <v>9390</v>
      </c>
      <c r="B3789" s="2" t="s">
        <v>9391</v>
      </c>
      <c r="C3789" s="2" t="s">
        <v>897</v>
      </c>
      <c r="D3789" s="2" t="s">
        <v>50</v>
      </c>
      <c r="E3789" s="5">
        <v>-30942</v>
      </c>
      <c r="F3789" s="3" t="s">
        <v>730</v>
      </c>
      <c r="G3789" s="3" t="s">
        <v>862</v>
      </c>
      <c r="H3789" s="2" t="s">
        <v>72</v>
      </c>
      <c r="I3789" s="2" t="s">
        <v>9392</v>
      </c>
      <c r="J3789" s="3" t="str">
        <f>HYPERLINK("https://www.boe.es/gazeta/dias/1815/04/13/pdfs/GMD-1815-45.pdf#page=6","Abrir facsímil")</f>
        <v>Abrir facsímil</v>
      </c>
      <c r="K3789" s="3" t="s">
        <v>74</v>
      </c>
    </row>
    <row r="3790" spans="1:11" ht="42" customHeight="1">
      <c r="A3790" s="2" t="s">
        <v>9393</v>
      </c>
      <c r="B3790" s="2" t="s">
        <v>9394</v>
      </c>
      <c r="C3790" s="2" t="s">
        <v>49</v>
      </c>
      <c r="D3790" s="2" t="s">
        <v>50</v>
      </c>
      <c r="E3790" s="5">
        <v>-30690</v>
      </c>
      <c r="F3790" s="3" t="s">
        <v>1449</v>
      </c>
      <c r="G3790" s="3" t="s">
        <v>57</v>
      </c>
      <c r="H3790" s="2" t="s">
        <v>72</v>
      </c>
      <c r="I3790" s="2" t="s">
        <v>9395</v>
      </c>
      <c r="J3790" s="3" t="str">
        <f>HYPERLINK("https://www.boe.es/gazeta/dias/1815/12/21/pdfs/GMD-1815-158.pdf#page=5","Abrir facsímil")</f>
        <v>Abrir facsímil</v>
      </c>
      <c r="K3790" s="3" t="s">
        <v>74</v>
      </c>
    </row>
    <row r="3791" spans="1:11" ht="42" customHeight="1">
      <c r="A3791" s="2" t="s">
        <v>9396</v>
      </c>
      <c r="B3791" s="2" t="s">
        <v>9397</v>
      </c>
      <c r="C3791" s="2" t="s">
        <v>31</v>
      </c>
      <c r="D3791" s="2" t="s">
        <v>32</v>
      </c>
      <c r="E3791" s="5">
        <v>-31038</v>
      </c>
      <c r="F3791" s="3" t="s">
        <v>395</v>
      </c>
      <c r="G3791" s="3" t="s">
        <v>396</v>
      </c>
      <c r="H3791" s="2" t="s">
        <v>72</v>
      </c>
      <c r="I3791" s="2" t="s">
        <v>9398</v>
      </c>
      <c r="J3791" s="3" t="str">
        <f>HYPERLINK("https://www.boe.es/gazeta/dias/1815/01/07/pdfs/GMD-1815-3.pdf#page=5","Abrir facsímil")</f>
        <v>Abrir facsímil</v>
      </c>
      <c r="K3791" s="3" t="s">
        <v>74</v>
      </c>
    </row>
    <row r="3792" spans="1:11" ht="42" customHeight="1">
      <c r="A3792" s="2" t="s">
        <v>9399</v>
      </c>
      <c r="B3792" s="2" t="s">
        <v>9400</v>
      </c>
      <c r="C3792" s="2" t="s">
        <v>195</v>
      </c>
      <c r="D3792" s="2" t="s">
        <v>50</v>
      </c>
      <c r="E3792" s="5">
        <v>-30874</v>
      </c>
      <c r="F3792" s="3" t="s">
        <v>208</v>
      </c>
      <c r="G3792" s="3" t="s">
        <v>71</v>
      </c>
      <c r="H3792" s="2" t="s">
        <v>72</v>
      </c>
      <c r="I3792" s="2" t="s">
        <v>9401</v>
      </c>
      <c r="J3792" s="3" t="str">
        <f>HYPERLINK("https://www.boe.es/gazeta/dias/1815/06/20/pdfs/GMD-1815-74.pdf#page=7","Abrir facsímil")</f>
        <v>Abrir facsímil</v>
      </c>
      <c r="K3792" s="3" t="s">
        <v>74</v>
      </c>
    </row>
    <row r="3793" spans="1:11" ht="42" customHeight="1">
      <c r="A3793" s="2" t="s">
        <v>9402</v>
      </c>
      <c r="B3793" s="2" t="s">
        <v>9403</v>
      </c>
      <c r="C3793" s="2" t="s">
        <v>131</v>
      </c>
      <c r="D3793" s="2" t="s">
        <v>50</v>
      </c>
      <c r="E3793" s="5">
        <v>-30786</v>
      </c>
      <c r="F3793" s="3" t="s">
        <v>558</v>
      </c>
      <c r="G3793" s="3" t="s">
        <v>38</v>
      </c>
      <c r="H3793" s="2" t="s">
        <v>72</v>
      </c>
      <c r="I3793" s="2" t="s">
        <v>9404</v>
      </c>
      <c r="J3793" s="3" t="str">
        <f>HYPERLINK("https://www.boe.es/gazeta/dias/1815/09/16/pdfs/GMD-1815-115.pdf#page=8","Abrir facsímil")</f>
        <v>Abrir facsímil</v>
      </c>
      <c r="K3793" s="3" t="s">
        <v>74</v>
      </c>
    </row>
    <row r="3794" spans="1:11" ht="42" customHeight="1">
      <c r="A3794" s="2" t="s">
        <v>9405</v>
      </c>
      <c r="B3794" s="2" t="s">
        <v>9406</v>
      </c>
      <c r="C3794" s="2" t="s">
        <v>31</v>
      </c>
      <c r="D3794" s="2" t="s">
        <v>32</v>
      </c>
      <c r="E3794" s="5">
        <v>-31038</v>
      </c>
      <c r="F3794" s="3" t="s">
        <v>395</v>
      </c>
      <c r="G3794" s="3" t="s">
        <v>410</v>
      </c>
      <c r="H3794" s="2" t="s">
        <v>72</v>
      </c>
      <c r="I3794" s="2" t="s">
        <v>9407</v>
      </c>
      <c r="J3794" s="3" t="str">
        <f>HYPERLINK("https://www.boe.es/gazeta/dias/1815/01/07/pdfs/GMD-1815-3.pdf#page=1","Abrir facsímil")</f>
        <v>Abrir facsímil</v>
      </c>
      <c r="K3794" s="3" t="s">
        <v>74</v>
      </c>
    </row>
    <row r="3795" spans="1:11" ht="42" customHeight="1">
      <c r="A3795" s="2" t="s">
        <v>9408</v>
      </c>
      <c r="B3795" s="2" t="s">
        <v>9408</v>
      </c>
      <c r="C3795" s="2" t="s">
        <v>31</v>
      </c>
      <c r="D3795" s="2" t="s">
        <v>32</v>
      </c>
      <c r="E3795" s="5">
        <v>-30748</v>
      </c>
      <c r="F3795" s="3" t="s">
        <v>2077</v>
      </c>
      <c r="G3795" s="3" t="s">
        <v>410</v>
      </c>
      <c r="H3795" s="2" t="s">
        <v>72</v>
      </c>
      <c r="I3795" s="2" t="s">
        <v>9409</v>
      </c>
      <c r="J3795" s="3" t="str">
        <f>HYPERLINK("https://www.boe.es/gazeta/dias/1815/10/24/pdfs/GMD-1815-133.pdf#page=1","Abrir facsímil")</f>
        <v>Abrir facsímil</v>
      </c>
      <c r="K3795" s="3" t="s">
        <v>74</v>
      </c>
    </row>
    <row r="3796" spans="1:11" ht="42" customHeight="1">
      <c r="A3796" s="2" t="s">
        <v>9410</v>
      </c>
      <c r="B3796" s="2" t="s">
        <v>9411</v>
      </c>
      <c r="C3796" s="2" t="s">
        <v>49</v>
      </c>
      <c r="D3796" s="2" t="s">
        <v>50</v>
      </c>
      <c r="E3796" s="5">
        <v>-30909</v>
      </c>
      <c r="F3796" s="3" t="s">
        <v>581</v>
      </c>
      <c r="G3796" s="3" t="s">
        <v>57</v>
      </c>
      <c r="H3796" s="2" t="s">
        <v>21</v>
      </c>
      <c r="I3796" s="2" t="s">
        <v>9412</v>
      </c>
      <c r="J3796" s="3" t="str">
        <f>HYPERLINK("https://www.boe.es/gazeta/dias/1815/05/16/pdfs/GMD-1815-59.pdf#page=5","Abrir facsímil")</f>
        <v>Abrir facsímil</v>
      </c>
      <c r="K3796" s="3" t="s">
        <v>23</v>
      </c>
    </row>
    <row r="3797" spans="1:11" ht="42" customHeight="1">
      <c r="A3797" s="2" t="s">
        <v>9413</v>
      </c>
      <c r="B3797" s="2" t="s">
        <v>9413</v>
      </c>
      <c r="C3797" s="2" t="s">
        <v>31</v>
      </c>
      <c r="D3797" s="2" t="s">
        <v>32</v>
      </c>
      <c r="E3797" s="5">
        <v>-30914</v>
      </c>
      <c r="F3797" s="3" t="s">
        <v>338</v>
      </c>
      <c r="G3797" s="3" t="s">
        <v>9414</v>
      </c>
      <c r="H3797" s="2" t="s">
        <v>72</v>
      </c>
      <c r="I3797" s="2" t="s">
        <v>9415</v>
      </c>
      <c r="J3797" s="3" t="str">
        <f>HYPERLINK("https://www.boe.es/gazeta/dias/1815/05/11/pdfs/GMD-1815-57.pdf#page=6","Abrir facsímil")</f>
        <v>Abrir facsímil</v>
      </c>
      <c r="K3797" s="3" t="s">
        <v>74</v>
      </c>
    </row>
    <row r="3798" spans="1:11" ht="42" customHeight="1">
      <c r="A3798" s="2" t="s">
        <v>9416</v>
      </c>
      <c r="B3798" s="2" t="s">
        <v>9416</v>
      </c>
      <c r="C3798" s="2" t="s">
        <v>17</v>
      </c>
      <c r="D3798" s="2" t="s">
        <v>18</v>
      </c>
      <c r="E3798" s="5">
        <v>-30919</v>
      </c>
      <c r="F3798" s="3" t="s">
        <v>792</v>
      </c>
      <c r="G3798" s="3" t="s">
        <v>377</v>
      </c>
      <c r="H3798" s="2" t="s">
        <v>72</v>
      </c>
      <c r="I3798" s="2" t="s">
        <v>9417</v>
      </c>
      <c r="J3798" s="3" t="str">
        <f>HYPERLINK("https://www.boe.es/gazeta/dias/1815/05/06/pdfs/GMD-1815-55.pdf#page=2","Abrir facsímil")</f>
        <v>Abrir facsímil</v>
      </c>
      <c r="K3798" s="3" t="s">
        <v>74</v>
      </c>
    </row>
    <row r="3799" spans="1:11" ht="42" customHeight="1">
      <c r="A3799" s="2" t="s">
        <v>9416</v>
      </c>
      <c r="B3799" s="2" t="s">
        <v>9416</v>
      </c>
      <c r="C3799" s="2" t="s">
        <v>49</v>
      </c>
      <c r="D3799" s="2" t="s">
        <v>50</v>
      </c>
      <c r="E3799" s="5">
        <v>-30893</v>
      </c>
      <c r="F3799" s="3" t="s">
        <v>132</v>
      </c>
      <c r="G3799" s="3" t="s">
        <v>377</v>
      </c>
      <c r="H3799" s="2" t="s">
        <v>72</v>
      </c>
      <c r="I3799" s="2" t="s">
        <v>9418</v>
      </c>
      <c r="J3799" s="3" t="str">
        <f>HYPERLINK("https://www.boe.es/gazeta/dias/1815/06/01/pdfs/GMD-1815-66.pdf#page=2","Abrir facsímil")</f>
        <v>Abrir facsímil</v>
      </c>
      <c r="K3799" s="3" t="s">
        <v>74</v>
      </c>
    </row>
    <row r="3800" spans="1:11" ht="42" customHeight="1">
      <c r="A3800" s="2" t="s">
        <v>9416</v>
      </c>
      <c r="B3800" s="2" t="s">
        <v>9416</v>
      </c>
      <c r="C3800" s="2" t="s">
        <v>49</v>
      </c>
      <c r="D3800" s="2" t="s">
        <v>50</v>
      </c>
      <c r="E3800" s="5">
        <v>-30893</v>
      </c>
      <c r="F3800" s="3" t="s">
        <v>132</v>
      </c>
      <c r="G3800" s="3" t="s">
        <v>97</v>
      </c>
      <c r="H3800" s="2" t="s">
        <v>72</v>
      </c>
      <c r="I3800" s="2" t="s">
        <v>9419</v>
      </c>
      <c r="J3800" s="3" t="str">
        <f>HYPERLINK("https://www.boe.es/gazeta/dias/1815/06/01/pdfs/GMD-1815-66.pdf#page=3","Abrir facsímil")</f>
        <v>Abrir facsímil</v>
      </c>
      <c r="K3800" s="3" t="s">
        <v>74</v>
      </c>
    </row>
    <row r="3801" spans="1:11" ht="42" customHeight="1">
      <c r="A3801" s="2" t="s">
        <v>9416</v>
      </c>
      <c r="B3801" s="2" t="s">
        <v>9416</v>
      </c>
      <c r="C3801" s="2" t="s">
        <v>31</v>
      </c>
      <c r="D3801" s="2" t="s">
        <v>32</v>
      </c>
      <c r="E3801" s="5">
        <v>-30786</v>
      </c>
      <c r="F3801" s="3" t="s">
        <v>558</v>
      </c>
      <c r="G3801" s="3" t="s">
        <v>410</v>
      </c>
      <c r="H3801" s="2" t="s">
        <v>72</v>
      </c>
      <c r="I3801" s="2" t="s">
        <v>9420</v>
      </c>
      <c r="J3801" s="3" t="str">
        <f>HYPERLINK("https://www.boe.es/gazeta/dias/1815/09/16/pdfs/GMD-1815-115.pdf#page=1","Abrir facsímil")</f>
        <v>Abrir facsímil</v>
      </c>
      <c r="K3801" s="3" t="s">
        <v>74</v>
      </c>
    </row>
    <row r="3802" spans="1:11" ht="42" customHeight="1">
      <c r="A3802" s="2" t="s">
        <v>9421</v>
      </c>
      <c r="B3802" s="2" t="s">
        <v>9422</v>
      </c>
      <c r="C3802" s="2" t="s">
        <v>17</v>
      </c>
      <c r="D3802" s="2" t="s">
        <v>18</v>
      </c>
      <c r="E3802" s="5">
        <v>-30874</v>
      </c>
      <c r="F3802" s="3" t="s">
        <v>208</v>
      </c>
      <c r="G3802" s="3" t="s">
        <v>57</v>
      </c>
      <c r="H3802" s="2" t="s">
        <v>72</v>
      </c>
      <c r="I3802" s="2" t="s">
        <v>9423</v>
      </c>
      <c r="J3802" s="3" t="str">
        <f>HYPERLINK("https://www.boe.es/gazeta/dias/1815/06/20/pdfs/GMD-1815-74.pdf#page=5","Abrir facsímil")</f>
        <v>Abrir facsímil</v>
      </c>
      <c r="K3802" s="3" t="s">
        <v>74</v>
      </c>
    </row>
    <row r="3803" spans="1:11" ht="42" customHeight="1">
      <c r="A3803" s="2" t="s">
        <v>9424</v>
      </c>
      <c r="B3803" s="2" t="s">
        <v>9425</v>
      </c>
      <c r="C3803" s="2" t="s">
        <v>31</v>
      </c>
      <c r="D3803" s="2" t="s">
        <v>32</v>
      </c>
      <c r="E3803" s="5">
        <v>-30860</v>
      </c>
      <c r="F3803" s="3" t="s">
        <v>184</v>
      </c>
      <c r="G3803" s="3" t="s">
        <v>97</v>
      </c>
      <c r="H3803" s="2" t="s">
        <v>72</v>
      </c>
      <c r="I3803" s="2" t="s">
        <v>9426</v>
      </c>
      <c r="J3803" s="3" t="str">
        <f>HYPERLINK("https://www.boe.es/gazeta/dias/1815/07/04/pdfs/GMD-1815-81.pdf#page=3","Abrir facsímil")</f>
        <v>Abrir facsímil</v>
      </c>
      <c r="K3803" s="3" t="s">
        <v>74</v>
      </c>
    </row>
    <row r="3804" spans="1:11" ht="42" customHeight="1">
      <c r="A3804" s="2" t="s">
        <v>9427</v>
      </c>
      <c r="B3804" s="2" t="s">
        <v>9428</v>
      </c>
      <c r="C3804" s="2" t="s">
        <v>49</v>
      </c>
      <c r="D3804" s="2" t="s">
        <v>50</v>
      </c>
      <c r="E3804" s="5">
        <v>-30767</v>
      </c>
      <c r="F3804" s="3" t="s">
        <v>228</v>
      </c>
      <c r="G3804" s="3" t="s">
        <v>88</v>
      </c>
      <c r="H3804" s="2" t="s">
        <v>72</v>
      </c>
      <c r="I3804" s="2" t="s">
        <v>9429</v>
      </c>
      <c r="J3804" s="3" t="str">
        <f>HYPERLINK("https://www.boe.es/gazeta/dias/1815/10/05/pdfs/GMD-1815-125.pdf#page=10","Abrir facsímil")</f>
        <v>Abrir facsímil</v>
      </c>
      <c r="K3804" s="3" t="s">
        <v>74</v>
      </c>
    </row>
    <row r="3805" spans="1:11" ht="42" customHeight="1">
      <c r="A3805" s="2" t="s">
        <v>9430</v>
      </c>
      <c r="B3805" s="2" t="s">
        <v>9431</v>
      </c>
      <c r="C3805" s="2" t="s">
        <v>49</v>
      </c>
      <c r="D3805" s="2" t="s">
        <v>50</v>
      </c>
      <c r="E3805" s="5">
        <v>-30870</v>
      </c>
      <c r="F3805" s="3" t="s">
        <v>122</v>
      </c>
      <c r="G3805" s="3" t="s">
        <v>88</v>
      </c>
      <c r="H3805" s="2" t="s">
        <v>72</v>
      </c>
      <c r="I3805" s="2" t="s">
        <v>9432</v>
      </c>
      <c r="J3805" s="3" t="str">
        <f>HYPERLINK("https://www.boe.es/gazeta/dias/1815/06/24/pdfs/GMD-1815-76.pdf#page=10","Abrir facsímil")</f>
        <v>Abrir facsímil</v>
      </c>
      <c r="K3805" s="3" t="s">
        <v>74</v>
      </c>
    </row>
    <row r="3806" spans="1:11" ht="42" customHeight="1">
      <c r="A3806" s="2" t="s">
        <v>9433</v>
      </c>
      <c r="B3806" s="2" t="s">
        <v>9434</v>
      </c>
      <c r="C3806" s="2" t="s">
        <v>195</v>
      </c>
      <c r="D3806" s="2" t="s">
        <v>50</v>
      </c>
      <c r="E3806" s="5">
        <v>-30879</v>
      </c>
      <c r="F3806" s="3" t="s">
        <v>754</v>
      </c>
      <c r="G3806" s="3" t="s">
        <v>88</v>
      </c>
      <c r="H3806" s="2" t="s">
        <v>72</v>
      </c>
      <c r="I3806" s="2" t="s">
        <v>9435</v>
      </c>
      <c r="J3806" s="3" t="str">
        <f>HYPERLINK("https://www.boe.es/gazeta/dias/1815/06/15/pdfs/GMD-1815-72.pdf#page=10","Abrir facsímil")</f>
        <v>Abrir facsímil</v>
      </c>
      <c r="K3806" s="3" t="s">
        <v>74</v>
      </c>
    </row>
    <row r="3807" spans="1:11" ht="42" customHeight="1">
      <c r="A3807" s="2" t="s">
        <v>9436</v>
      </c>
      <c r="B3807" s="2" t="s">
        <v>9436</v>
      </c>
      <c r="C3807" s="2" t="s">
        <v>31</v>
      </c>
      <c r="D3807" s="2" t="s">
        <v>32</v>
      </c>
      <c r="E3807" s="5">
        <v>-30823</v>
      </c>
      <c r="F3807" s="3" t="s">
        <v>305</v>
      </c>
      <c r="G3807" s="3" t="s">
        <v>20</v>
      </c>
      <c r="H3807" s="2" t="s">
        <v>72</v>
      </c>
      <c r="I3807" s="2" t="s">
        <v>9437</v>
      </c>
      <c r="J3807" s="3" t="str">
        <f>HYPERLINK("https://www.boe.es/gazeta/dias/1815/08/10/pdfs/GMD-1815-98.pdf#page=4","Abrir facsímil")</f>
        <v>Abrir facsímil</v>
      </c>
      <c r="K3807" s="3" t="s">
        <v>74</v>
      </c>
    </row>
    <row r="3808" spans="1:11" ht="42" customHeight="1">
      <c r="A3808" s="2" t="s">
        <v>9438</v>
      </c>
      <c r="B3808" s="2" t="s">
        <v>9438</v>
      </c>
      <c r="C3808" s="2" t="s">
        <v>31</v>
      </c>
      <c r="D3808" s="2" t="s">
        <v>32</v>
      </c>
      <c r="E3808" s="5">
        <v>-30725</v>
      </c>
      <c r="F3808" s="3" t="s">
        <v>1535</v>
      </c>
      <c r="G3808" s="3" t="s">
        <v>97</v>
      </c>
      <c r="H3808" s="2" t="s">
        <v>72</v>
      </c>
      <c r="I3808" s="2" t="s">
        <v>9439</v>
      </c>
      <c r="J3808" s="3" t="str">
        <f>HYPERLINK("https://www.boe.es/gazeta/dias/1815/11/16/pdfs/GMD-1815-143.pdf#page=3","Abrir facsímil")</f>
        <v>Abrir facsímil</v>
      </c>
      <c r="K3808" s="3" t="s">
        <v>74</v>
      </c>
    </row>
    <row r="3809" spans="1:11" ht="42" customHeight="1">
      <c r="A3809" s="2" t="s">
        <v>9440</v>
      </c>
      <c r="B3809" s="2" t="s">
        <v>9441</v>
      </c>
      <c r="C3809" s="2" t="s">
        <v>49</v>
      </c>
      <c r="D3809" s="2" t="s">
        <v>50</v>
      </c>
      <c r="E3809" s="5">
        <v>-30886</v>
      </c>
      <c r="F3809" s="3" t="s">
        <v>140</v>
      </c>
      <c r="G3809" s="3" t="s">
        <v>38</v>
      </c>
      <c r="H3809" s="2" t="s">
        <v>72</v>
      </c>
      <c r="I3809" s="2" t="s">
        <v>9442</v>
      </c>
      <c r="J3809" s="3" t="str">
        <f>HYPERLINK("https://www.boe.es/gazeta/dias/1815/06/08/pdfs/GMD-1815-69.pdf#page=8","Abrir facsímil")</f>
        <v>Abrir facsímil</v>
      </c>
      <c r="K3809" s="3" t="s">
        <v>74</v>
      </c>
    </row>
    <row r="3810" spans="1:11" ht="42" customHeight="1">
      <c r="A3810" s="2" t="s">
        <v>9443</v>
      </c>
      <c r="B3810" s="2" t="s">
        <v>9444</v>
      </c>
      <c r="C3810" s="2" t="s">
        <v>31</v>
      </c>
      <c r="D3810" s="2" t="s">
        <v>32</v>
      </c>
      <c r="E3810" s="5">
        <v>-31012</v>
      </c>
      <c r="F3810" s="3" t="s">
        <v>529</v>
      </c>
      <c r="G3810" s="3" t="s">
        <v>530</v>
      </c>
      <c r="H3810" s="2" t="s">
        <v>72</v>
      </c>
      <c r="I3810" s="2" t="s">
        <v>9445</v>
      </c>
      <c r="J3810" s="3" t="str">
        <f>HYPERLINK("https://www.boe.es/gazeta/dias/1815/02/02/pdfs/GMD-1815-14.pdf#page=6","Abrir facsímil")</f>
        <v>Abrir facsímil</v>
      </c>
      <c r="K3810" s="3" t="s">
        <v>74</v>
      </c>
    </row>
    <row r="3811" spans="1:11" ht="42" customHeight="1">
      <c r="A3811" s="2" t="s">
        <v>9446</v>
      </c>
      <c r="B3811" s="2" t="s">
        <v>9447</v>
      </c>
      <c r="C3811" s="2" t="s">
        <v>31</v>
      </c>
      <c r="D3811" s="2" t="s">
        <v>32</v>
      </c>
      <c r="E3811" s="5">
        <v>-30886</v>
      </c>
      <c r="F3811" s="3" t="s">
        <v>140</v>
      </c>
      <c r="G3811" s="3" t="s">
        <v>88</v>
      </c>
      <c r="H3811" s="2" t="s">
        <v>72</v>
      </c>
      <c r="I3811" s="2" t="s">
        <v>9448</v>
      </c>
      <c r="J3811" s="3" t="str">
        <f>HYPERLINK("https://www.boe.es/gazeta/dias/1815/06/08/pdfs/GMD-1815-69.pdf#page=10","Abrir facsímil")</f>
        <v>Abrir facsímil</v>
      </c>
      <c r="K3811" s="3" t="s">
        <v>74</v>
      </c>
    </row>
    <row r="3812" spans="1:11" ht="42" customHeight="1">
      <c r="A3812" s="2" t="s">
        <v>9449</v>
      </c>
      <c r="B3812" s="2" t="s">
        <v>9450</v>
      </c>
      <c r="C3812" s="2" t="s">
        <v>31</v>
      </c>
      <c r="D3812" s="2" t="s">
        <v>32</v>
      </c>
      <c r="E3812" s="5">
        <v>-30737</v>
      </c>
      <c r="F3812" s="3" t="s">
        <v>1932</v>
      </c>
      <c r="G3812" s="3" t="s">
        <v>38</v>
      </c>
      <c r="H3812" s="2" t="s">
        <v>21</v>
      </c>
      <c r="I3812" s="2" t="s">
        <v>9451</v>
      </c>
      <c r="J3812" s="3" t="str">
        <f>HYPERLINK("https://www.boe.es/gazeta/dias/1815/11/04/pdfs/GMD-1815-138.pdf#page=8","Abrir facsímil")</f>
        <v>Abrir facsímil</v>
      </c>
      <c r="K3812" s="3" t="s">
        <v>23</v>
      </c>
    </row>
    <row r="3813" spans="1:11" ht="42" customHeight="1">
      <c r="A3813" s="2" t="s">
        <v>9452</v>
      </c>
      <c r="B3813" s="2" t="s">
        <v>9453</v>
      </c>
      <c r="C3813" s="2" t="s">
        <v>49</v>
      </c>
      <c r="D3813" s="2" t="s">
        <v>50</v>
      </c>
      <c r="E3813" s="5">
        <v>-30839</v>
      </c>
      <c r="F3813" s="3" t="s">
        <v>616</v>
      </c>
      <c r="G3813" s="3" t="s">
        <v>71</v>
      </c>
      <c r="H3813" s="2" t="s">
        <v>72</v>
      </c>
      <c r="I3813" s="2" t="s">
        <v>9454</v>
      </c>
      <c r="J3813" s="3" t="str">
        <f>HYPERLINK("https://www.boe.es/gazeta/dias/1815/07/25/pdfs/GMD-1815-91.pdf#page=7","Abrir facsímil")</f>
        <v>Abrir facsímil</v>
      </c>
      <c r="K3813" s="3" t="s">
        <v>74</v>
      </c>
    </row>
    <row r="3814" spans="1:11" ht="42" customHeight="1">
      <c r="A3814" s="2" t="s">
        <v>9455</v>
      </c>
      <c r="B3814" s="2" t="s">
        <v>9456</v>
      </c>
      <c r="C3814" s="2" t="s">
        <v>49</v>
      </c>
      <c r="D3814" s="2" t="s">
        <v>50</v>
      </c>
      <c r="E3814" s="5">
        <v>-30863</v>
      </c>
      <c r="F3814" s="3" t="s">
        <v>110</v>
      </c>
      <c r="G3814" s="3" t="s">
        <v>224</v>
      </c>
      <c r="H3814" s="2" t="s">
        <v>72</v>
      </c>
      <c r="I3814" s="2" t="s">
        <v>9457</v>
      </c>
      <c r="J3814" s="3" t="str">
        <f>HYPERLINK("https://www.boe.es/gazeta/dias/1815/07/01/pdfs/GMD-1815-79.pdf#page=9","Abrir facsímil")</f>
        <v>Abrir facsímil</v>
      </c>
      <c r="K3814" s="3" t="s">
        <v>74</v>
      </c>
    </row>
    <row r="3815" spans="1:11" ht="42" customHeight="1">
      <c r="A3815" s="2" t="s">
        <v>9458</v>
      </c>
      <c r="B3815" s="2" t="s">
        <v>9459</v>
      </c>
      <c r="C3815" s="2" t="s">
        <v>31</v>
      </c>
      <c r="D3815" s="2" t="s">
        <v>32</v>
      </c>
      <c r="E3815" s="5">
        <v>-30760</v>
      </c>
      <c r="F3815" s="3" t="s">
        <v>349</v>
      </c>
      <c r="G3815" s="3" t="s">
        <v>71</v>
      </c>
      <c r="H3815" s="2" t="s">
        <v>72</v>
      </c>
      <c r="I3815" s="2" t="s">
        <v>9460</v>
      </c>
      <c r="J3815" s="3" t="str">
        <f>HYPERLINK("https://www.boe.es/gazeta/dias/1815/10/12/pdfs/GMD-1815-128.pdf#page=7","Abrir facsímil")</f>
        <v>Abrir facsímil</v>
      </c>
      <c r="K3815" s="3" t="s">
        <v>74</v>
      </c>
    </row>
    <row r="3816" spans="1:11" ht="42" customHeight="1">
      <c r="A3816" s="2" t="s">
        <v>9461</v>
      </c>
      <c r="B3816" s="2" t="s">
        <v>9462</v>
      </c>
      <c r="C3816" s="2" t="s">
        <v>49</v>
      </c>
      <c r="D3816" s="2" t="s">
        <v>50</v>
      </c>
      <c r="E3816" s="5">
        <v>-30870</v>
      </c>
      <c r="F3816" s="3" t="s">
        <v>122</v>
      </c>
      <c r="G3816" s="3" t="s">
        <v>88</v>
      </c>
      <c r="H3816" s="2" t="s">
        <v>72</v>
      </c>
      <c r="I3816" s="2" t="s">
        <v>9463</v>
      </c>
      <c r="J3816" s="3" t="str">
        <f>HYPERLINK("https://www.boe.es/gazeta/dias/1815/06/24/pdfs/GMD-1815-76.pdf#page=10","Abrir facsímil")</f>
        <v>Abrir facsímil</v>
      </c>
      <c r="K3816" s="3" t="s">
        <v>74</v>
      </c>
    </row>
    <row r="3817" spans="1:11" ht="42" customHeight="1">
      <c r="A3817" s="2" t="s">
        <v>9461</v>
      </c>
      <c r="B3817" s="2" t="s">
        <v>9462</v>
      </c>
      <c r="C3817" s="2" t="s">
        <v>49</v>
      </c>
      <c r="D3817" s="2" t="s">
        <v>50</v>
      </c>
      <c r="E3817" s="5">
        <v>-30865</v>
      </c>
      <c r="F3817" s="3" t="s">
        <v>163</v>
      </c>
      <c r="G3817" s="3" t="s">
        <v>27</v>
      </c>
      <c r="H3817" s="2" t="s">
        <v>72</v>
      </c>
      <c r="I3817" s="2" t="s">
        <v>9464</v>
      </c>
      <c r="J3817" s="3" t="str">
        <f>HYPERLINK("https://www.boe.es/gazeta/dias/1815/06/29/pdfs/GMD-1815-78.pdf#page=6","Abrir facsímil")</f>
        <v>Abrir facsímil</v>
      </c>
      <c r="K3817" s="3" t="s">
        <v>74</v>
      </c>
    </row>
    <row r="3818" spans="1:11" ht="42" customHeight="1">
      <c r="A3818" s="2" t="s">
        <v>9461</v>
      </c>
      <c r="B3818" s="2" t="s">
        <v>9462</v>
      </c>
      <c r="C3818" s="2" t="s">
        <v>31</v>
      </c>
      <c r="D3818" s="2" t="s">
        <v>32</v>
      </c>
      <c r="E3818" s="5">
        <v>-30716</v>
      </c>
      <c r="F3818" s="3" t="s">
        <v>589</v>
      </c>
      <c r="G3818" s="3" t="s">
        <v>20</v>
      </c>
      <c r="H3818" s="2" t="s">
        <v>72</v>
      </c>
      <c r="I3818" s="2" t="s">
        <v>9465</v>
      </c>
      <c r="J3818" s="3" t="str">
        <f>HYPERLINK("https://www.boe.es/gazeta/dias/1815/11/25/pdfs/GMD-1815-147.pdf#page=4","Abrir facsímil")</f>
        <v>Abrir facsímil</v>
      </c>
      <c r="K3818" s="3" t="s">
        <v>74</v>
      </c>
    </row>
    <row r="3819" spans="1:11" ht="42" customHeight="1">
      <c r="A3819" s="2" t="s">
        <v>9466</v>
      </c>
      <c r="B3819" s="2" t="s">
        <v>9467</v>
      </c>
      <c r="C3819" s="2" t="s">
        <v>49</v>
      </c>
      <c r="D3819" s="2" t="s">
        <v>50</v>
      </c>
      <c r="E3819" s="5">
        <v>-30767</v>
      </c>
      <c r="F3819" s="3" t="s">
        <v>228</v>
      </c>
      <c r="G3819" s="3" t="s">
        <v>224</v>
      </c>
      <c r="H3819" s="2" t="s">
        <v>72</v>
      </c>
      <c r="I3819" s="2" t="s">
        <v>9468</v>
      </c>
      <c r="J3819" s="3" t="str">
        <f>HYPERLINK("https://www.boe.es/gazeta/dias/1815/10/05/pdfs/GMD-1815-125.pdf#page=9","Abrir facsímil")</f>
        <v>Abrir facsímil</v>
      </c>
      <c r="K3819" s="3" t="s">
        <v>74</v>
      </c>
    </row>
    <row r="3820" spans="1:11" ht="42" customHeight="1">
      <c r="A3820" s="2" t="s">
        <v>9469</v>
      </c>
      <c r="B3820" s="2" t="s">
        <v>9470</v>
      </c>
      <c r="C3820" s="2" t="s">
        <v>49</v>
      </c>
      <c r="D3820" s="2" t="s">
        <v>50</v>
      </c>
      <c r="E3820" s="5">
        <v>-30977</v>
      </c>
      <c r="F3820" s="3" t="s">
        <v>37</v>
      </c>
      <c r="G3820" s="3" t="s">
        <v>71</v>
      </c>
      <c r="H3820" s="2" t="s">
        <v>72</v>
      </c>
      <c r="I3820" s="2" t="s">
        <v>9471</v>
      </c>
      <c r="J3820" s="3" t="str">
        <f>HYPERLINK("https://www.boe.es/gazeta/dias/1815/03/09/pdfs/GMD-1815-29.pdf#page=7","Abrir facsímil")</f>
        <v>Abrir facsímil</v>
      </c>
      <c r="K3820" s="3" t="s">
        <v>74</v>
      </c>
    </row>
    <row r="3821" spans="1:11" ht="42" customHeight="1">
      <c r="A3821" s="2" t="s">
        <v>9472</v>
      </c>
      <c r="B3821" s="2" t="s">
        <v>9473</v>
      </c>
      <c r="C3821" s="2" t="s">
        <v>17</v>
      </c>
      <c r="D3821" s="2" t="s">
        <v>18</v>
      </c>
      <c r="E3821" s="5">
        <v>-30996</v>
      </c>
      <c r="F3821" s="3" t="s">
        <v>289</v>
      </c>
      <c r="G3821" s="3" t="s">
        <v>27</v>
      </c>
      <c r="H3821" s="2" t="s">
        <v>72</v>
      </c>
      <c r="I3821" s="2" t="s">
        <v>9474</v>
      </c>
      <c r="J3821" s="3" t="str">
        <f>HYPERLINK("https://www.boe.es/gazeta/dias/1815/02/18/pdfs/GMD-1815-21.pdf#page=6","Abrir facsímil")</f>
        <v>Abrir facsímil</v>
      </c>
      <c r="K3821" s="3" t="s">
        <v>74</v>
      </c>
    </row>
    <row r="3822" spans="1:11" ht="42" customHeight="1">
      <c r="A3822" s="2" t="s">
        <v>9475</v>
      </c>
      <c r="B3822" s="2" t="s">
        <v>9476</v>
      </c>
      <c r="C3822" s="2" t="s">
        <v>61</v>
      </c>
      <c r="D3822" s="2" t="s">
        <v>50</v>
      </c>
      <c r="E3822" s="5">
        <v>-31024</v>
      </c>
      <c r="F3822" s="3" t="s">
        <v>101</v>
      </c>
      <c r="G3822" s="3" t="s">
        <v>258</v>
      </c>
      <c r="H3822" s="2" t="s">
        <v>21</v>
      </c>
      <c r="I3822" s="2" t="s">
        <v>9477</v>
      </c>
      <c r="J3822" s="3" t="str">
        <f>HYPERLINK("https://www.boe.es/gazeta/dias/1815/01/21/pdfs/GMD-1815-9.pdf#page=6","Abrir facsímil")</f>
        <v>Abrir facsímil</v>
      </c>
      <c r="K3822" s="3" t="s">
        <v>23</v>
      </c>
    </row>
    <row r="3823" spans="1:11" ht="42" customHeight="1">
      <c r="A3823" s="2" t="s">
        <v>9478</v>
      </c>
      <c r="B3823" s="2" t="s">
        <v>9479</v>
      </c>
      <c r="C3823" s="2" t="s">
        <v>31</v>
      </c>
      <c r="D3823" s="2" t="s">
        <v>32</v>
      </c>
      <c r="E3823" s="5">
        <v>-30788</v>
      </c>
      <c r="F3823" s="3" t="s">
        <v>96</v>
      </c>
      <c r="G3823" s="3" t="s">
        <v>97</v>
      </c>
      <c r="H3823" s="2" t="s">
        <v>72</v>
      </c>
      <c r="I3823" s="2" t="s">
        <v>9480</v>
      </c>
      <c r="J3823" s="3" t="str">
        <f>HYPERLINK("https://www.boe.es/gazeta/dias/1815/09/14/pdfs/GMD-1815-114.pdf#page=3","Abrir facsímil")</f>
        <v>Abrir facsímil</v>
      </c>
      <c r="K3823" s="3" t="s">
        <v>74</v>
      </c>
    </row>
    <row r="3824" spans="1:11" ht="42" customHeight="1">
      <c r="A3824" s="2" t="s">
        <v>9481</v>
      </c>
      <c r="B3824" s="2" t="s">
        <v>9482</v>
      </c>
      <c r="C3824" s="2" t="s">
        <v>31</v>
      </c>
      <c r="D3824" s="2" t="s">
        <v>32</v>
      </c>
      <c r="E3824" s="5">
        <v>-30919</v>
      </c>
      <c r="F3824" s="3" t="s">
        <v>792</v>
      </c>
      <c r="G3824" s="3" t="s">
        <v>6476</v>
      </c>
      <c r="H3824" s="2" t="s">
        <v>72</v>
      </c>
      <c r="I3824" s="2" t="s">
        <v>9483</v>
      </c>
      <c r="J3824" s="3" t="str">
        <f>HYPERLINK("https://www.boe.es/gazeta/dias/1815/05/06/pdfs/GMD-1815-55.pdf#page=7","Abrir facsímil")</f>
        <v>Abrir facsímil</v>
      </c>
      <c r="K3824" s="3" t="s">
        <v>74</v>
      </c>
    </row>
    <row r="3825" spans="1:11" ht="42" customHeight="1">
      <c r="A3825" s="2" t="s">
        <v>9484</v>
      </c>
      <c r="B3825" s="2" t="s">
        <v>9485</v>
      </c>
      <c r="C3825" s="2" t="s">
        <v>31</v>
      </c>
      <c r="D3825" s="2" t="s">
        <v>32</v>
      </c>
      <c r="E3825" s="5">
        <v>-30844</v>
      </c>
      <c r="F3825" s="3" t="s">
        <v>114</v>
      </c>
      <c r="G3825" s="3" t="s">
        <v>38</v>
      </c>
      <c r="H3825" s="2" t="s">
        <v>72</v>
      </c>
      <c r="I3825" s="2" t="s">
        <v>9486</v>
      </c>
      <c r="J3825" s="3" t="str">
        <f>HYPERLINK("https://www.boe.es/gazeta/dias/1815/07/20/pdfs/GMD-1815-89.pdf#page=8","Abrir facsímil")</f>
        <v>Abrir facsímil</v>
      </c>
      <c r="K3825" s="3" t="s">
        <v>74</v>
      </c>
    </row>
    <row r="3826" spans="1:11" ht="42" customHeight="1">
      <c r="A3826" s="2" t="s">
        <v>9487</v>
      </c>
      <c r="B3826" s="2" t="s">
        <v>9488</v>
      </c>
      <c r="C3826" s="2" t="s">
        <v>49</v>
      </c>
      <c r="D3826" s="2" t="s">
        <v>50</v>
      </c>
      <c r="E3826" s="5">
        <v>-30870</v>
      </c>
      <c r="F3826" s="3" t="s">
        <v>122</v>
      </c>
      <c r="G3826" s="3" t="s">
        <v>88</v>
      </c>
      <c r="H3826" s="2" t="s">
        <v>72</v>
      </c>
      <c r="I3826" s="2" t="s">
        <v>9489</v>
      </c>
      <c r="J3826" s="3" t="str">
        <f>HYPERLINK("https://www.boe.es/gazeta/dias/1815/06/24/pdfs/GMD-1815-76.pdf#page=10","Abrir facsímil")</f>
        <v>Abrir facsímil</v>
      </c>
      <c r="K3826" s="3" t="s">
        <v>74</v>
      </c>
    </row>
    <row r="3827" spans="1:11" ht="42" customHeight="1">
      <c r="A3827" s="2" t="s">
        <v>9490</v>
      </c>
      <c r="B3827" s="2" t="s">
        <v>9491</v>
      </c>
      <c r="C3827" s="2" t="s">
        <v>49</v>
      </c>
      <c r="D3827" s="2" t="s">
        <v>50</v>
      </c>
      <c r="E3827" s="5">
        <v>-30863</v>
      </c>
      <c r="F3827" s="3" t="s">
        <v>110</v>
      </c>
      <c r="G3827" s="3" t="s">
        <v>224</v>
      </c>
      <c r="H3827" s="2" t="s">
        <v>72</v>
      </c>
      <c r="I3827" s="2" t="s">
        <v>9492</v>
      </c>
      <c r="J3827" s="3" t="str">
        <f>HYPERLINK("https://www.boe.es/gazeta/dias/1815/07/01/pdfs/GMD-1815-79.pdf#page=9","Abrir facsímil")</f>
        <v>Abrir facsímil</v>
      </c>
      <c r="K3827" s="3" t="s">
        <v>74</v>
      </c>
    </row>
    <row r="3828" spans="1:11" ht="42" customHeight="1">
      <c r="A3828" s="2" t="s">
        <v>9493</v>
      </c>
      <c r="B3828" s="2" t="s">
        <v>9494</v>
      </c>
      <c r="C3828" s="2" t="s">
        <v>31</v>
      </c>
      <c r="D3828" s="2" t="s">
        <v>32</v>
      </c>
      <c r="E3828" s="5">
        <v>-31035</v>
      </c>
      <c r="F3828" s="3" t="s">
        <v>42</v>
      </c>
      <c r="G3828" s="3" t="s">
        <v>71</v>
      </c>
      <c r="H3828" s="2" t="s">
        <v>72</v>
      </c>
      <c r="I3828" s="2" t="s">
        <v>9495</v>
      </c>
      <c r="J3828" s="3" t="str">
        <f>HYPERLINK("https://www.boe.es/gazeta/dias/1815/01/10/pdfs/GMD-1815-4.pdf#page=7","Abrir facsímil")</f>
        <v>Abrir facsímil</v>
      </c>
      <c r="K3828" s="3" t="s">
        <v>74</v>
      </c>
    </row>
    <row r="3829" spans="1:11" ht="42" customHeight="1">
      <c r="A3829" s="2" t="s">
        <v>9496</v>
      </c>
      <c r="B3829" s="2" t="s">
        <v>9497</v>
      </c>
      <c r="C3829" s="2" t="s">
        <v>17</v>
      </c>
      <c r="D3829" s="2" t="s">
        <v>18</v>
      </c>
      <c r="E3829" s="5">
        <v>-30993</v>
      </c>
      <c r="F3829" s="3" t="s">
        <v>66</v>
      </c>
      <c r="G3829" s="3" t="s">
        <v>57</v>
      </c>
      <c r="H3829" s="2" t="s">
        <v>72</v>
      </c>
      <c r="I3829" s="2" t="s">
        <v>9498</v>
      </c>
      <c r="J3829" s="3" t="str">
        <f>HYPERLINK("https://www.boe.es/gazeta/dias/1815/02/21/pdfs/GMD-1815-22.pdf#page=5","Abrir facsímil")</f>
        <v>Abrir facsímil</v>
      </c>
      <c r="K3829" s="3" t="s">
        <v>74</v>
      </c>
    </row>
    <row r="3830" spans="1:11" ht="42" customHeight="1">
      <c r="A3830" s="2" t="s">
        <v>9496</v>
      </c>
      <c r="B3830" s="2" t="s">
        <v>9497</v>
      </c>
      <c r="C3830" s="2" t="s">
        <v>49</v>
      </c>
      <c r="D3830" s="2" t="s">
        <v>50</v>
      </c>
      <c r="E3830" s="5">
        <v>-30977</v>
      </c>
      <c r="F3830" s="3" t="s">
        <v>37</v>
      </c>
      <c r="G3830" s="3" t="s">
        <v>38</v>
      </c>
      <c r="H3830" s="2" t="s">
        <v>72</v>
      </c>
      <c r="I3830" s="2" t="s">
        <v>9499</v>
      </c>
      <c r="J3830" s="3" t="str">
        <f>HYPERLINK("https://www.boe.es/gazeta/dias/1815/03/09/pdfs/GMD-1815-29.pdf#page=8","Abrir facsímil")</f>
        <v>Abrir facsímil</v>
      </c>
      <c r="K3830" s="3" t="s">
        <v>74</v>
      </c>
    </row>
    <row r="3831" spans="1:11" ht="42" customHeight="1">
      <c r="A3831" s="2" t="s">
        <v>9500</v>
      </c>
      <c r="B3831" s="2" t="s">
        <v>9501</v>
      </c>
      <c r="C3831" s="2" t="s">
        <v>49</v>
      </c>
      <c r="D3831" s="2" t="s">
        <v>50</v>
      </c>
      <c r="E3831" s="5">
        <v>-31031</v>
      </c>
      <c r="F3831" s="3" t="s">
        <v>105</v>
      </c>
      <c r="G3831" s="3" t="s">
        <v>106</v>
      </c>
      <c r="H3831" s="2" t="s">
        <v>72</v>
      </c>
      <c r="I3831" s="2" t="s">
        <v>9502</v>
      </c>
      <c r="J3831" s="3" t="str">
        <f>HYPERLINK("https://www.boe.es/gazeta/dias/1815/01/14/pdfs/GMD-1815-6.pdf#page=7","Abrir facsímil")</f>
        <v>Abrir facsímil</v>
      </c>
      <c r="K3831" s="3" t="s">
        <v>74</v>
      </c>
    </row>
    <row r="3832" spans="1:11" ht="42" customHeight="1">
      <c r="A3832" s="2" t="s">
        <v>9503</v>
      </c>
      <c r="B3832" s="2" t="s">
        <v>9504</v>
      </c>
      <c r="C3832" s="2" t="s">
        <v>31</v>
      </c>
      <c r="D3832" s="2" t="s">
        <v>32</v>
      </c>
      <c r="E3832" s="5">
        <v>-30982</v>
      </c>
      <c r="F3832" s="3" t="s">
        <v>220</v>
      </c>
      <c r="G3832" s="3" t="s">
        <v>57</v>
      </c>
      <c r="H3832" s="2" t="s">
        <v>21</v>
      </c>
      <c r="I3832" s="2" t="s">
        <v>9505</v>
      </c>
      <c r="J3832" s="3" t="str">
        <f>HYPERLINK("https://www.boe.es/gazeta/dias/1815/03/04/pdfs/GMD-1815-27.pdf#page=5","Abrir facsímil")</f>
        <v>Abrir facsímil</v>
      </c>
      <c r="K3832" s="3" t="s">
        <v>23</v>
      </c>
    </row>
    <row r="3833" spans="1:11" ht="42" customHeight="1">
      <c r="A3833" s="2" t="s">
        <v>9506</v>
      </c>
      <c r="B3833" s="2" t="s">
        <v>9507</v>
      </c>
      <c r="C3833" s="2" t="s">
        <v>195</v>
      </c>
      <c r="D3833" s="2" t="s">
        <v>50</v>
      </c>
      <c r="E3833" s="5">
        <v>-30923</v>
      </c>
      <c r="F3833" s="3" t="s">
        <v>524</v>
      </c>
      <c r="G3833" s="3" t="s">
        <v>88</v>
      </c>
      <c r="H3833" s="2" t="s">
        <v>72</v>
      </c>
      <c r="I3833" s="2" t="s">
        <v>9508</v>
      </c>
      <c r="J3833" s="3" t="str">
        <f>HYPERLINK("https://www.boe.es/gazeta/dias/1815/05/02/pdfs/GMD-1815-53.pdf#page=10","Abrir facsímil")</f>
        <v>Abrir facsímil</v>
      </c>
      <c r="K3833" s="3" t="s">
        <v>74</v>
      </c>
    </row>
    <row r="3834" spans="1:11" ht="42" customHeight="1">
      <c r="A3834" s="2" t="s">
        <v>9509</v>
      </c>
      <c r="B3834" s="2" t="s">
        <v>9510</v>
      </c>
      <c r="C3834" s="2" t="s">
        <v>31</v>
      </c>
      <c r="D3834" s="2" t="s">
        <v>32</v>
      </c>
      <c r="E3834" s="5">
        <v>-30977</v>
      </c>
      <c r="F3834" s="3" t="s">
        <v>37</v>
      </c>
      <c r="G3834" s="3" t="s">
        <v>71</v>
      </c>
      <c r="H3834" s="2" t="s">
        <v>21</v>
      </c>
      <c r="I3834" s="2" t="s">
        <v>9511</v>
      </c>
      <c r="J3834" s="3" t="str">
        <f>HYPERLINK("https://www.boe.es/gazeta/dias/1815/03/09/pdfs/GMD-1815-29.pdf#page=7","Abrir facsímil")</f>
        <v>Abrir facsímil</v>
      </c>
      <c r="K3834" s="3" t="s">
        <v>23</v>
      </c>
    </row>
    <row r="3835" spans="1:11" ht="42" customHeight="1">
      <c r="A3835" s="2" t="s">
        <v>9512</v>
      </c>
      <c r="B3835" s="2" t="s">
        <v>9513</v>
      </c>
      <c r="C3835" s="2" t="s">
        <v>195</v>
      </c>
      <c r="D3835" s="2" t="s">
        <v>50</v>
      </c>
      <c r="E3835" s="5">
        <v>-31000</v>
      </c>
      <c r="F3835" s="3" t="s">
        <v>70</v>
      </c>
      <c r="G3835" s="3" t="s">
        <v>847</v>
      </c>
      <c r="H3835" s="2" t="s">
        <v>72</v>
      </c>
      <c r="I3835" s="2" t="s">
        <v>9514</v>
      </c>
      <c r="J3835" s="3" t="str">
        <f>HYPERLINK("https://www.boe.es/gazeta/dias/1815/02/14/pdfs/GMD-1815-19.pdf#page=6","Abrir facsímil")</f>
        <v>Abrir facsímil</v>
      </c>
      <c r="K3835" s="3" t="s">
        <v>74</v>
      </c>
    </row>
    <row r="3836" spans="1:11" ht="42" customHeight="1">
      <c r="A3836" s="2" t="s">
        <v>9515</v>
      </c>
      <c r="B3836" s="2" t="s">
        <v>9516</v>
      </c>
      <c r="C3836" s="2" t="s">
        <v>31</v>
      </c>
      <c r="D3836" s="2" t="s">
        <v>32</v>
      </c>
      <c r="E3836" s="5">
        <v>-30863</v>
      </c>
      <c r="F3836" s="3" t="s">
        <v>110</v>
      </c>
      <c r="G3836" s="3" t="s">
        <v>224</v>
      </c>
      <c r="H3836" s="2" t="s">
        <v>21</v>
      </c>
      <c r="I3836" s="2" t="s">
        <v>9517</v>
      </c>
      <c r="J3836" s="3" t="str">
        <f>HYPERLINK("https://www.boe.es/gazeta/dias/1815/07/01/pdfs/GMD-1815-79.pdf#page=9","Abrir facsímil")</f>
        <v>Abrir facsímil</v>
      </c>
      <c r="K3836" s="3" t="s">
        <v>23</v>
      </c>
    </row>
    <row r="3837" spans="1:11" ht="42" customHeight="1">
      <c r="A3837" s="2" t="s">
        <v>9518</v>
      </c>
      <c r="B3837" s="2" t="s">
        <v>9518</v>
      </c>
      <c r="C3837" s="2" t="s">
        <v>31</v>
      </c>
      <c r="D3837" s="2" t="s">
        <v>32</v>
      </c>
      <c r="E3837" s="5">
        <v>-30914</v>
      </c>
      <c r="F3837" s="3" t="s">
        <v>338</v>
      </c>
      <c r="G3837" s="3" t="s">
        <v>377</v>
      </c>
      <c r="H3837" s="2" t="s">
        <v>72</v>
      </c>
      <c r="I3837" s="2" t="s">
        <v>9519</v>
      </c>
      <c r="J3837" s="3" t="str">
        <f>HYPERLINK("https://www.boe.es/gazeta/dias/1815/05/11/pdfs/GMD-1815-57.pdf#page=2","Abrir facsímil")</f>
        <v>Abrir facsímil</v>
      </c>
      <c r="K3837" s="3" t="s">
        <v>74</v>
      </c>
    </row>
    <row r="3838" spans="1:11" ht="42" customHeight="1">
      <c r="A3838" s="2" t="s">
        <v>9518</v>
      </c>
      <c r="B3838" s="2" t="s">
        <v>9518</v>
      </c>
      <c r="C3838" s="2" t="s">
        <v>31</v>
      </c>
      <c r="D3838" s="2" t="s">
        <v>32</v>
      </c>
      <c r="E3838" s="5">
        <v>-30888</v>
      </c>
      <c r="F3838" s="3" t="s">
        <v>368</v>
      </c>
      <c r="G3838" s="3" t="s">
        <v>377</v>
      </c>
      <c r="H3838" s="2" t="s">
        <v>72</v>
      </c>
      <c r="I3838" s="2" t="s">
        <v>9520</v>
      </c>
      <c r="J3838" s="3" t="str">
        <f>HYPERLINK("https://www.boe.es/gazeta/dias/1815/06/06/pdfs/GMD-1815-68.pdf#page=2","Abrir facsímil")</f>
        <v>Abrir facsímil</v>
      </c>
      <c r="K3838" s="3" t="s">
        <v>74</v>
      </c>
    </row>
    <row r="3839" spans="1:11" ht="42" customHeight="1">
      <c r="A3839" s="2" t="s">
        <v>9521</v>
      </c>
      <c r="B3839" s="2" t="s">
        <v>9522</v>
      </c>
      <c r="C3839" s="2" t="s">
        <v>31</v>
      </c>
      <c r="D3839" s="2" t="s">
        <v>32</v>
      </c>
      <c r="E3839" s="5">
        <v>-30751</v>
      </c>
      <c r="F3839" s="3" t="s">
        <v>819</v>
      </c>
      <c r="G3839" s="3" t="s">
        <v>38</v>
      </c>
      <c r="H3839" s="2" t="s">
        <v>72</v>
      </c>
      <c r="I3839" s="2" t="s">
        <v>9523</v>
      </c>
      <c r="J3839" s="3" t="str">
        <f>HYPERLINK("https://www.boe.es/gazeta/dias/1815/10/21/pdfs/GMD-1815-132.pdf#page=8","Abrir facsímil")</f>
        <v>Abrir facsímil</v>
      </c>
      <c r="K3839" s="3" t="s">
        <v>74</v>
      </c>
    </row>
    <row r="3840" spans="1:11" ht="42" customHeight="1">
      <c r="A3840" s="2" t="s">
        <v>9524</v>
      </c>
      <c r="B3840" s="2" t="s">
        <v>9525</v>
      </c>
      <c r="C3840" s="2" t="s">
        <v>49</v>
      </c>
      <c r="D3840" s="2" t="s">
        <v>50</v>
      </c>
      <c r="E3840" s="5">
        <v>-30839</v>
      </c>
      <c r="F3840" s="3" t="s">
        <v>616</v>
      </c>
      <c r="G3840" s="3" t="s">
        <v>27</v>
      </c>
      <c r="H3840" s="2" t="s">
        <v>72</v>
      </c>
      <c r="I3840" s="2" t="s">
        <v>9526</v>
      </c>
      <c r="J3840" s="3" t="str">
        <f>HYPERLINK("https://www.boe.es/gazeta/dias/1815/07/25/pdfs/GMD-1815-91.pdf#page=6","Abrir facsímil")</f>
        <v>Abrir facsímil</v>
      </c>
      <c r="K3840" s="3" t="s">
        <v>74</v>
      </c>
    </row>
    <row r="3841" spans="1:11" ht="42" customHeight="1">
      <c r="A3841" s="2" t="s">
        <v>9527</v>
      </c>
      <c r="B3841" s="2" t="s">
        <v>9528</v>
      </c>
      <c r="C3841" s="2" t="s">
        <v>49</v>
      </c>
      <c r="D3841" s="2" t="s">
        <v>50</v>
      </c>
      <c r="E3841" s="5">
        <v>-30758</v>
      </c>
      <c r="F3841" s="3" t="s">
        <v>1964</v>
      </c>
      <c r="G3841" s="3" t="s">
        <v>97</v>
      </c>
      <c r="H3841" s="2" t="s">
        <v>72</v>
      </c>
      <c r="I3841" s="2" t="s">
        <v>9529</v>
      </c>
      <c r="J3841" s="3" t="str">
        <f>HYPERLINK("https://www.boe.es/gazeta/dias/1815/10/14/pdfs/GMD-1815-129.pdf#page=3","Abrir facsímil")</f>
        <v>Abrir facsímil</v>
      </c>
      <c r="K3841" s="3" t="s">
        <v>74</v>
      </c>
    </row>
    <row r="3842" spans="1:11" ht="42" customHeight="1">
      <c r="A3842" s="2" t="s">
        <v>9530</v>
      </c>
      <c r="B3842" s="2" t="s">
        <v>9531</v>
      </c>
      <c r="C3842" s="2" t="s">
        <v>31</v>
      </c>
      <c r="D3842" s="2" t="s">
        <v>32</v>
      </c>
      <c r="E3842" s="5">
        <v>-30891</v>
      </c>
      <c r="F3842" s="3" t="s">
        <v>498</v>
      </c>
      <c r="G3842" s="3" t="s">
        <v>27</v>
      </c>
      <c r="H3842" s="2" t="s">
        <v>72</v>
      </c>
      <c r="I3842" s="2" t="s">
        <v>9532</v>
      </c>
      <c r="J3842" s="3" t="str">
        <f>HYPERLINK("https://www.boe.es/gazeta/dias/1815/06/03/pdfs/GMD-1815-67.pdf#page=6","Abrir facsímil")</f>
        <v>Abrir facsímil</v>
      </c>
      <c r="K3842" s="3" t="s">
        <v>74</v>
      </c>
    </row>
    <row r="3843" spans="1:11" ht="42" customHeight="1">
      <c r="A3843" s="2" t="s">
        <v>9533</v>
      </c>
      <c r="B3843" s="2" t="s">
        <v>9533</v>
      </c>
      <c r="C3843" s="2" t="s">
        <v>31</v>
      </c>
      <c r="D3843" s="2" t="s">
        <v>32</v>
      </c>
      <c r="E3843" s="5">
        <v>-30900</v>
      </c>
      <c r="F3843" s="3" t="s">
        <v>921</v>
      </c>
      <c r="G3843" s="3" t="s">
        <v>377</v>
      </c>
      <c r="H3843" s="2" t="s">
        <v>72</v>
      </c>
      <c r="I3843" s="2" t="s">
        <v>9534</v>
      </c>
      <c r="J3843" s="3" t="str">
        <f>HYPERLINK("https://www.boe.es/gazeta/dias/1815/05/25/pdfs/GMD-1815-63.pdf#page=2","Abrir facsímil")</f>
        <v>Abrir facsímil</v>
      </c>
      <c r="K3843" s="3" t="s">
        <v>74</v>
      </c>
    </row>
    <row r="3844" spans="1:11" ht="42" customHeight="1">
      <c r="A3844" s="2" t="s">
        <v>9535</v>
      </c>
      <c r="B3844" s="2" t="s">
        <v>9535</v>
      </c>
      <c r="C3844" s="2" t="s">
        <v>49</v>
      </c>
      <c r="D3844" s="2" t="s">
        <v>50</v>
      </c>
      <c r="E3844" s="5">
        <v>-31000</v>
      </c>
      <c r="F3844" s="3" t="s">
        <v>70</v>
      </c>
      <c r="G3844" s="3" t="s">
        <v>71</v>
      </c>
      <c r="H3844" s="2" t="s">
        <v>72</v>
      </c>
      <c r="I3844" s="2" t="s">
        <v>9536</v>
      </c>
      <c r="J3844" s="3" t="str">
        <f>HYPERLINK("https://www.boe.es/gazeta/dias/1815/02/14/pdfs/GMD-1815-19.pdf#page=7","Abrir facsímil")</f>
        <v>Abrir facsímil</v>
      </c>
      <c r="K3844" s="3" t="s">
        <v>74</v>
      </c>
    </row>
    <row r="3845" spans="1:11" ht="42" customHeight="1">
      <c r="A3845" s="2" t="s">
        <v>9535</v>
      </c>
      <c r="B3845" s="2" t="s">
        <v>9535</v>
      </c>
      <c r="C3845" s="2" t="s">
        <v>31</v>
      </c>
      <c r="D3845" s="2" t="s">
        <v>32</v>
      </c>
      <c r="E3845" s="5">
        <v>-30961</v>
      </c>
      <c r="F3845" s="3" t="s">
        <v>1176</v>
      </c>
      <c r="G3845" s="3" t="s">
        <v>97</v>
      </c>
      <c r="H3845" s="2" t="s">
        <v>72</v>
      </c>
      <c r="I3845" s="2" t="s">
        <v>9537</v>
      </c>
      <c r="J3845" s="3" t="str">
        <f>HYPERLINK("https://www.boe.es/gazeta/dias/1815/03/25/pdfs/GMD-1815-36.pdf#page=3","Abrir facsímil")</f>
        <v>Abrir facsímil</v>
      </c>
      <c r="K3845" s="3" t="s">
        <v>74</v>
      </c>
    </row>
    <row r="3846" spans="1:11" ht="42" customHeight="1">
      <c r="A3846" s="2" t="s">
        <v>9535</v>
      </c>
      <c r="B3846" s="2" t="s">
        <v>9535</v>
      </c>
      <c r="C3846" s="2" t="s">
        <v>31</v>
      </c>
      <c r="D3846" s="2" t="s">
        <v>32</v>
      </c>
      <c r="E3846" s="5">
        <v>-30961</v>
      </c>
      <c r="F3846" s="3" t="s">
        <v>1176</v>
      </c>
      <c r="G3846" s="3" t="s">
        <v>20</v>
      </c>
      <c r="H3846" s="2" t="s">
        <v>72</v>
      </c>
      <c r="I3846" s="2" t="s">
        <v>9538</v>
      </c>
      <c r="J3846" s="3" t="str">
        <f>HYPERLINK("https://www.boe.es/gazeta/dias/1815/03/25/pdfs/GMD-1815-36.pdf#page=4","Abrir facsímil")</f>
        <v>Abrir facsímil</v>
      </c>
      <c r="K3846" s="3" t="s">
        <v>74</v>
      </c>
    </row>
    <row r="3847" spans="1:11" ht="42" customHeight="1">
      <c r="A3847" s="2" t="s">
        <v>9535</v>
      </c>
      <c r="B3847" s="2" t="s">
        <v>9535</v>
      </c>
      <c r="C3847" s="2" t="s">
        <v>49</v>
      </c>
      <c r="D3847" s="2" t="s">
        <v>50</v>
      </c>
      <c r="E3847" s="5">
        <v>-30956</v>
      </c>
      <c r="F3847" s="3" t="s">
        <v>495</v>
      </c>
      <c r="G3847" s="3" t="s">
        <v>3990</v>
      </c>
      <c r="H3847" s="2" t="s">
        <v>72</v>
      </c>
      <c r="I3847" s="2" t="s">
        <v>9539</v>
      </c>
      <c r="J3847" s="3" t="str">
        <f>HYPERLINK("https://www.boe.es/gazeta/dias/1815/03/30/pdfs/GMD-1815-38.pdf#page=4","Abrir facsímil")</f>
        <v>Abrir facsímil</v>
      </c>
      <c r="K3847" s="3" t="s">
        <v>74</v>
      </c>
    </row>
    <row r="3848" spans="1:11" ht="42" customHeight="1">
      <c r="A3848" s="2" t="s">
        <v>9535</v>
      </c>
      <c r="B3848" s="2" t="s">
        <v>9535</v>
      </c>
      <c r="C3848" s="2" t="s">
        <v>31</v>
      </c>
      <c r="D3848" s="2" t="s">
        <v>32</v>
      </c>
      <c r="E3848" s="5">
        <v>-30872</v>
      </c>
      <c r="F3848" s="3" t="s">
        <v>167</v>
      </c>
      <c r="G3848" s="3" t="s">
        <v>2825</v>
      </c>
      <c r="H3848" s="2" t="s">
        <v>72</v>
      </c>
      <c r="I3848" s="2" t="s">
        <v>9540</v>
      </c>
      <c r="J3848" s="3" t="str">
        <f>HYPERLINK("https://www.boe.es/gazeta/dias/1815/06/22/pdfs/GMD-1815-75.pdf#page=10","Abrir facsímil")</f>
        <v>Abrir facsímil</v>
      </c>
      <c r="K3848" s="3" t="s">
        <v>74</v>
      </c>
    </row>
    <row r="3849" spans="1:11" ht="42" customHeight="1">
      <c r="A3849" s="2" t="s">
        <v>9535</v>
      </c>
      <c r="B3849" s="2" t="s">
        <v>9535</v>
      </c>
      <c r="C3849" s="2" t="s">
        <v>49</v>
      </c>
      <c r="D3849" s="2" t="s">
        <v>50</v>
      </c>
      <c r="E3849" s="5">
        <v>-30863</v>
      </c>
      <c r="F3849" s="3" t="s">
        <v>110</v>
      </c>
      <c r="G3849" s="3" t="s">
        <v>20</v>
      </c>
      <c r="H3849" s="2" t="s">
        <v>72</v>
      </c>
      <c r="I3849" s="2" t="s">
        <v>9541</v>
      </c>
      <c r="J3849" s="3" t="str">
        <f>HYPERLINK("https://www.boe.es/gazeta/dias/1815/07/01/pdfs/GMD-1815-79.pdf#page=4","Abrir facsímil")</f>
        <v>Abrir facsímil</v>
      </c>
      <c r="K3849" s="3" t="s">
        <v>74</v>
      </c>
    </row>
    <row r="3850" spans="1:11" ht="42" customHeight="1">
      <c r="A3850" s="2" t="s">
        <v>9535</v>
      </c>
      <c r="B3850" s="2" t="s">
        <v>9535</v>
      </c>
      <c r="C3850" s="2" t="s">
        <v>31</v>
      </c>
      <c r="D3850" s="2" t="s">
        <v>179</v>
      </c>
      <c r="E3850" s="5">
        <v>-30863</v>
      </c>
      <c r="F3850" s="3" t="s">
        <v>2024</v>
      </c>
      <c r="G3850" s="3" t="s">
        <v>377</v>
      </c>
      <c r="H3850" s="2" t="s">
        <v>72</v>
      </c>
      <c r="I3850" s="2" t="s">
        <v>9542</v>
      </c>
      <c r="J3850" s="3" t="str">
        <f>HYPERLINK("https://www.boe.es/gazeta/dias/1815/07/01/pdfs/GMD-1815-80E.pdf#page=2","Abrir facsímil")</f>
        <v>Abrir facsímil</v>
      </c>
      <c r="K3850" s="3" t="s">
        <v>74</v>
      </c>
    </row>
    <row r="3851" spans="1:11" ht="42" customHeight="1">
      <c r="A3851" s="2" t="s">
        <v>9535</v>
      </c>
      <c r="B3851" s="2" t="s">
        <v>9535</v>
      </c>
      <c r="C3851" s="2" t="s">
        <v>131</v>
      </c>
      <c r="D3851" s="2" t="s">
        <v>50</v>
      </c>
      <c r="E3851" s="5">
        <v>-30811</v>
      </c>
      <c r="F3851" s="3" t="s">
        <v>293</v>
      </c>
      <c r="G3851" s="3" t="s">
        <v>9543</v>
      </c>
      <c r="H3851" s="2" t="s">
        <v>72</v>
      </c>
      <c r="I3851" s="2" t="s">
        <v>9544</v>
      </c>
      <c r="J3851" s="3" t="str">
        <f>HYPERLINK("https://www.boe.es/gazeta/dias/1815/08/22/pdfs/GMD-1815-103.pdf#page=4","Abrir facsímil")</f>
        <v>Abrir facsímil</v>
      </c>
      <c r="K3851" s="3" t="s">
        <v>74</v>
      </c>
    </row>
    <row r="3852" spans="1:11" ht="42" customHeight="1">
      <c r="A3852" s="2" t="s">
        <v>9535</v>
      </c>
      <c r="B3852" s="2" t="s">
        <v>9535</v>
      </c>
      <c r="C3852" s="2" t="s">
        <v>31</v>
      </c>
      <c r="D3852" s="2" t="s">
        <v>32</v>
      </c>
      <c r="E3852" s="5">
        <v>-30802</v>
      </c>
      <c r="F3852" s="3" t="s">
        <v>1393</v>
      </c>
      <c r="G3852" s="3" t="s">
        <v>377</v>
      </c>
      <c r="H3852" s="2" t="s">
        <v>72</v>
      </c>
      <c r="I3852" s="2" t="s">
        <v>9545</v>
      </c>
      <c r="J3852" s="3" t="str">
        <f>HYPERLINK("https://www.boe.es/gazeta/dias/1815/08/31/pdfs/GMD-1815-107.pdf#page=2","Abrir facsímil")</f>
        <v>Abrir facsímil</v>
      </c>
      <c r="K3852" s="3" t="s">
        <v>74</v>
      </c>
    </row>
    <row r="3853" spans="1:11" ht="42" customHeight="1">
      <c r="A3853" s="2" t="s">
        <v>9535</v>
      </c>
      <c r="B3853" s="2" t="s">
        <v>9535</v>
      </c>
      <c r="C3853" s="2" t="s">
        <v>31</v>
      </c>
      <c r="D3853" s="2" t="s">
        <v>32</v>
      </c>
      <c r="E3853" s="5">
        <v>-30797</v>
      </c>
      <c r="F3853" s="3" t="s">
        <v>248</v>
      </c>
      <c r="G3853" s="3" t="s">
        <v>377</v>
      </c>
      <c r="H3853" s="2" t="s">
        <v>72</v>
      </c>
      <c r="I3853" s="2" t="s">
        <v>9546</v>
      </c>
      <c r="J3853" s="3" t="str">
        <f>HYPERLINK("https://www.boe.es/gazeta/dias/1815/09/05/pdfs/GMD-1815-110.pdf#page=2","Abrir facsímil")</f>
        <v>Abrir facsímil</v>
      </c>
      <c r="K3853" s="3" t="s">
        <v>74</v>
      </c>
    </row>
    <row r="3854" spans="1:11" ht="42" customHeight="1">
      <c r="A3854" s="2" t="s">
        <v>9535</v>
      </c>
      <c r="B3854" s="2" t="s">
        <v>9535</v>
      </c>
      <c r="C3854" s="2" t="s">
        <v>31</v>
      </c>
      <c r="D3854" s="2" t="s">
        <v>32</v>
      </c>
      <c r="E3854" s="5">
        <v>-30779</v>
      </c>
      <c r="F3854" s="3" t="s">
        <v>1426</v>
      </c>
      <c r="G3854" s="3" t="s">
        <v>377</v>
      </c>
      <c r="H3854" s="2" t="s">
        <v>72</v>
      </c>
      <c r="I3854" s="2" t="s">
        <v>9547</v>
      </c>
      <c r="J3854" s="3" t="str">
        <f>HYPERLINK("https://www.boe.es/gazeta/dias/1815/09/23/pdfs/GMD-1815-118.pdf#page=2","Abrir facsímil")</f>
        <v>Abrir facsímil</v>
      </c>
      <c r="K3854" s="3" t="s">
        <v>74</v>
      </c>
    </row>
    <row r="3855" spans="1:11" ht="42" customHeight="1">
      <c r="A3855" s="2" t="s">
        <v>9535</v>
      </c>
      <c r="B3855" s="2" t="s">
        <v>9535</v>
      </c>
      <c r="C3855" s="2" t="s">
        <v>31</v>
      </c>
      <c r="D3855" s="2" t="s">
        <v>32</v>
      </c>
      <c r="E3855" s="5">
        <v>-30767</v>
      </c>
      <c r="F3855" s="3" t="s">
        <v>228</v>
      </c>
      <c r="G3855" s="3" t="s">
        <v>1516</v>
      </c>
      <c r="H3855" s="2" t="s">
        <v>72</v>
      </c>
      <c r="I3855" s="2" t="s">
        <v>9548</v>
      </c>
      <c r="J3855" s="3" t="str">
        <f>HYPERLINK("https://www.boe.es/gazeta/dias/1815/10/05/pdfs/GMD-1815-125.pdf#page=4","Abrir facsímil")</f>
        <v>Abrir facsímil</v>
      </c>
      <c r="K3855" s="3" t="s">
        <v>74</v>
      </c>
    </row>
    <row r="3856" spans="1:11" ht="42" customHeight="1">
      <c r="A3856" s="2" t="s">
        <v>9535</v>
      </c>
      <c r="B3856" s="2" t="s">
        <v>9535</v>
      </c>
      <c r="C3856" s="2" t="s">
        <v>31</v>
      </c>
      <c r="D3856" s="2" t="s">
        <v>32</v>
      </c>
      <c r="E3856" s="5">
        <v>-30718</v>
      </c>
      <c r="F3856" s="3" t="s">
        <v>3115</v>
      </c>
      <c r="G3856" s="3" t="s">
        <v>6058</v>
      </c>
      <c r="H3856" s="2" t="s">
        <v>72</v>
      </c>
      <c r="I3856" s="2" t="s">
        <v>9549</v>
      </c>
      <c r="J3856" s="3" t="str">
        <f>HYPERLINK("https://www.boe.es/gazeta/dias/1815/11/23/pdfs/GMD-1815-146.pdf#page=4","Abrir facsímil")</f>
        <v>Abrir facsímil</v>
      </c>
      <c r="K3856" s="3" t="s">
        <v>74</v>
      </c>
    </row>
    <row r="3857" spans="1:11" ht="42" customHeight="1">
      <c r="A3857" s="2" t="s">
        <v>9535</v>
      </c>
      <c r="B3857" s="2" t="s">
        <v>9535</v>
      </c>
      <c r="C3857" s="2" t="s">
        <v>31</v>
      </c>
      <c r="D3857" s="2" t="s">
        <v>32</v>
      </c>
      <c r="E3857" s="5">
        <v>-30699</v>
      </c>
      <c r="F3857" s="3" t="s">
        <v>810</v>
      </c>
      <c r="G3857" s="3" t="s">
        <v>20</v>
      </c>
      <c r="H3857" s="2" t="s">
        <v>72</v>
      </c>
      <c r="I3857" s="2" t="s">
        <v>9550</v>
      </c>
      <c r="J3857" s="3" t="str">
        <f>HYPERLINK("https://www.boe.es/gazeta/dias/1815/12/12/pdfs/GMD-1815-154.pdf#page=4","Abrir facsímil")</f>
        <v>Abrir facsímil</v>
      </c>
      <c r="K3857" s="3" t="s">
        <v>74</v>
      </c>
    </row>
    <row r="3858" spans="1:11" ht="42" customHeight="1">
      <c r="A3858" s="2" t="s">
        <v>9535</v>
      </c>
      <c r="B3858" s="2" t="s">
        <v>9535</v>
      </c>
      <c r="C3858" s="2" t="s">
        <v>31</v>
      </c>
      <c r="D3858" s="2" t="s">
        <v>32</v>
      </c>
      <c r="E3858" s="5">
        <v>-30695</v>
      </c>
      <c r="F3858" s="3" t="s">
        <v>824</v>
      </c>
      <c r="G3858" s="3" t="s">
        <v>97</v>
      </c>
      <c r="H3858" s="2" t="s">
        <v>72</v>
      </c>
      <c r="I3858" s="2" t="s">
        <v>9551</v>
      </c>
      <c r="J3858" s="3" t="str">
        <f>HYPERLINK("https://www.boe.es/gazeta/dias/1815/12/16/pdfs/GMD-1815-156.pdf#page=3","Abrir facsímil")</f>
        <v>Abrir facsímil</v>
      </c>
      <c r="K3858" s="3" t="s">
        <v>74</v>
      </c>
    </row>
    <row r="3859" spans="1:11" ht="42" customHeight="1">
      <c r="A3859" s="2" t="s">
        <v>9535</v>
      </c>
      <c r="B3859" s="2" t="s">
        <v>9535</v>
      </c>
      <c r="C3859" s="2" t="s">
        <v>131</v>
      </c>
      <c r="D3859" s="2" t="s">
        <v>50</v>
      </c>
      <c r="E3859" s="5">
        <v>-30688</v>
      </c>
      <c r="F3859" s="3" t="s">
        <v>62</v>
      </c>
      <c r="G3859" s="3" t="s">
        <v>20</v>
      </c>
      <c r="H3859" s="2" t="s">
        <v>72</v>
      </c>
      <c r="I3859" s="2" t="s">
        <v>9552</v>
      </c>
      <c r="J3859" s="3" t="str">
        <f>HYPERLINK("https://www.boe.es/gazeta/dias/1815/12/23/pdfs/GMD-1815-159.pdf#page=4","Abrir facsímil")</f>
        <v>Abrir facsímil</v>
      </c>
      <c r="K3859" s="3" t="s">
        <v>74</v>
      </c>
    </row>
    <row r="3860" spans="1:11" ht="42" customHeight="1">
      <c r="A3860" s="2" t="s">
        <v>9553</v>
      </c>
      <c r="B3860" s="2" t="s">
        <v>9554</v>
      </c>
      <c r="C3860" s="2" t="s">
        <v>31</v>
      </c>
      <c r="D3860" s="2" t="s">
        <v>32</v>
      </c>
      <c r="E3860" s="5">
        <v>-30809</v>
      </c>
      <c r="F3860" s="3" t="s">
        <v>82</v>
      </c>
      <c r="G3860" s="3" t="s">
        <v>2625</v>
      </c>
      <c r="H3860" s="2" t="s">
        <v>72</v>
      </c>
      <c r="I3860" s="2" t="s">
        <v>9555</v>
      </c>
      <c r="J3860" s="3" t="str">
        <f>HYPERLINK("https://www.boe.es/gazeta/dias/1815/08/24/pdfs/GMD-1815-104.pdf#page=3","Abrir facsímil")</f>
        <v>Abrir facsímil</v>
      </c>
      <c r="K3860" s="3" t="s">
        <v>74</v>
      </c>
    </row>
    <row r="3861" spans="1:11" ht="42" customHeight="1">
      <c r="A3861" s="2" t="s">
        <v>9556</v>
      </c>
      <c r="B3861" s="2" t="s">
        <v>9556</v>
      </c>
      <c r="C3861" s="2" t="s">
        <v>31</v>
      </c>
      <c r="D3861" s="2" t="s">
        <v>32</v>
      </c>
      <c r="E3861" s="5">
        <v>-30818</v>
      </c>
      <c r="F3861" s="3" t="s">
        <v>334</v>
      </c>
      <c r="G3861" s="3" t="s">
        <v>224</v>
      </c>
      <c r="H3861" s="2" t="s">
        <v>72</v>
      </c>
      <c r="I3861" s="2" t="s">
        <v>9557</v>
      </c>
      <c r="J3861" s="3" t="str">
        <f>HYPERLINK("https://www.boe.es/gazeta/dias/1815/08/15/pdfs/GMD-1815-100.pdf#page=9","Abrir facsímil")</f>
        <v>Abrir facsímil</v>
      </c>
      <c r="K3861" s="3" t="s">
        <v>74</v>
      </c>
    </row>
    <row r="3862" spans="1:11" ht="42" customHeight="1">
      <c r="A3862" s="2" t="s">
        <v>9558</v>
      </c>
      <c r="B3862" s="2" t="s">
        <v>9558</v>
      </c>
      <c r="C3862" s="2" t="s">
        <v>49</v>
      </c>
      <c r="D3862" s="2" t="s">
        <v>50</v>
      </c>
      <c r="E3862" s="5">
        <v>-30996</v>
      </c>
      <c r="F3862" s="3" t="s">
        <v>289</v>
      </c>
      <c r="G3862" s="3" t="s">
        <v>38</v>
      </c>
      <c r="H3862" s="2" t="s">
        <v>72</v>
      </c>
      <c r="I3862" s="2" t="s">
        <v>9559</v>
      </c>
      <c r="J3862" s="3" t="str">
        <f>HYPERLINK("https://www.boe.es/gazeta/dias/1815/02/18/pdfs/GMD-1815-21.pdf#page=8","Abrir facsímil")</f>
        <v>Abrir facsímil</v>
      </c>
      <c r="K3862" s="3" t="s">
        <v>74</v>
      </c>
    </row>
    <row r="3863" spans="1:11" ht="42" customHeight="1">
      <c r="A3863" s="2" t="s">
        <v>9558</v>
      </c>
      <c r="B3863" s="2" t="s">
        <v>9558</v>
      </c>
      <c r="C3863" s="2" t="s">
        <v>195</v>
      </c>
      <c r="D3863" s="2" t="s">
        <v>50</v>
      </c>
      <c r="E3863" s="5">
        <v>-30872</v>
      </c>
      <c r="F3863" s="3" t="s">
        <v>167</v>
      </c>
      <c r="G3863" s="3" t="s">
        <v>342</v>
      </c>
      <c r="H3863" s="2" t="s">
        <v>72</v>
      </c>
      <c r="I3863" s="2" t="s">
        <v>9560</v>
      </c>
      <c r="J3863" s="3" t="str">
        <f>HYPERLINK("https://www.boe.es/gazeta/dias/1815/06/22/pdfs/GMD-1815-75.pdf#page=8","Abrir facsímil")</f>
        <v>Abrir facsímil</v>
      </c>
      <c r="K3863" s="3" t="s">
        <v>74</v>
      </c>
    </row>
    <row r="3864" spans="1:11" ht="42" customHeight="1">
      <c r="A3864" s="2" t="s">
        <v>9558</v>
      </c>
      <c r="B3864" s="2" t="s">
        <v>9558</v>
      </c>
      <c r="C3864" s="2" t="s">
        <v>17</v>
      </c>
      <c r="D3864" s="2" t="s">
        <v>18</v>
      </c>
      <c r="E3864" s="5">
        <v>-30795</v>
      </c>
      <c r="F3864" s="3" t="s">
        <v>172</v>
      </c>
      <c r="G3864" s="3" t="s">
        <v>97</v>
      </c>
      <c r="H3864" s="2" t="s">
        <v>72</v>
      </c>
      <c r="I3864" s="2" t="s">
        <v>9561</v>
      </c>
      <c r="J3864" s="3" t="str">
        <f>HYPERLINK("https://www.boe.es/gazeta/dias/1815/09/07/pdfs/GMD-1815-111.pdf#page=3","Abrir facsímil")</f>
        <v>Abrir facsímil</v>
      </c>
      <c r="K3864" s="3" t="s">
        <v>74</v>
      </c>
    </row>
    <row r="3865" spans="1:11" ht="42" customHeight="1">
      <c r="A3865" s="2" t="s">
        <v>9558</v>
      </c>
      <c r="B3865" s="2" t="s">
        <v>9558</v>
      </c>
      <c r="C3865" s="2" t="s">
        <v>31</v>
      </c>
      <c r="D3865" s="2" t="s">
        <v>32</v>
      </c>
      <c r="E3865" s="5">
        <v>-30713</v>
      </c>
      <c r="F3865" s="3" t="s">
        <v>895</v>
      </c>
      <c r="G3865" s="3" t="s">
        <v>71</v>
      </c>
      <c r="H3865" s="2" t="s">
        <v>72</v>
      </c>
      <c r="I3865" s="2" t="s">
        <v>9562</v>
      </c>
      <c r="J3865" s="3" t="str">
        <f>HYPERLINK("https://www.boe.es/gazeta/dias/1815/11/28/pdfs/GMD-1815-148.pdf#page=7","Abrir facsímil")</f>
        <v>Abrir facsímil</v>
      </c>
      <c r="K3865" s="3" t="s">
        <v>74</v>
      </c>
    </row>
    <row r="3866" spans="1:11" ht="42" customHeight="1">
      <c r="A3866" s="2" t="s">
        <v>9563</v>
      </c>
      <c r="B3866" s="2" t="s">
        <v>9564</v>
      </c>
      <c r="C3866" s="2" t="s">
        <v>61</v>
      </c>
      <c r="D3866" s="2" t="s">
        <v>50</v>
      </c>
      <c r="E3866" s="5">
        <v>-30986</v>
      </c>
      <c r="F3866" s="3" t="s">
        <v>46</v>
      </c>
      <c r="G3866" s="3" t="s">
        <v>276</v>
      </c>
      <c r="H3866" s="2" t="s">
        <v>72</v>
      </c>
      <c r="I3866" s="2" t="s">
        <v>9565</v>
      </c>
      <c r="J3866" s="3" t="str">
        <f>HYPERLINK("https://www.boe.es/gazeta/dias/1815/02/28/pdfs/GMD-1815-25.pdf#page=12","Abrir facsímil")</f>
        <v>Abrir facsímil</v>
      </c>
      <c r="K3866" s="3" t="s">
        <v>74</v>
      </c>
    </row>
    <row r="3867" spans="1:11" ht="42" customHeight="1">
      <c r="A3867" s="2" t="s">
        <v>9566</v>
      </c>
      <c r="B3867" s="2" t="s">
        <v>9566</v>
      </c>
      <c r="C3867" s="2" t="s">
        <v>31</v>
      </c>
      <c r="D3867" s="2" t="s">
        <v>32</v>
      </c>
      <c r="E3867" s="5">
        <v>-30858</v>
      </c>
      <c r="F3867" s="3" t="s">
        <v>1928</v>
      </c>
      <c r="G3867" s="3" t="s">
        <v>377</v>
      </c>
      <c r="H3867" s="2" t="s">
        <v>72</v>
      </c>
      <c r="I3867" s="2" t="s">
        <v>9567</v>
      </c>
      <c r="J3867" s="3" t="str">
        <f>HYPERLINK("https://www.boe.es/gazeta/dias/1815/07/06/pdfs/GMD-1815-83.pdf#page=2","Abrir facsímil")</f>
        <v>Abrir facsímil</v>
      </c>
      <c r="K3867" s="3" t="s">
        <v>74</v>
      </c>
    </row>
    <row r="3868" spans="1:11" ht="42" customHeight="1">
      <c r="A3868" s="2" t="s">
        <v>9568</v>
      </c>
      <c r="B3868" s="2" t="s">
        <v>9569</v>
      </c>
      <c r="C3868" s="2" t="s">
        <v>49</v>
      </c>
      <c r="D3868" s="2" t="s">
        <v>50</v>
      </c>
      <c r="E3868" s="5">
        <v>-30865</v>
      </c>
      <c r="F3868" s="3" t="s">
        <v>163</v>
      </c>
      <c r="G3868" s="3" t="s">
        <v>71</v>
      </c>
      <c r="H3868" s="2" t="s">
        <v>72</v>
      </c>
      <c r="I3868" s="2" t="s">
        <v>9570</v>
      </c>
      <c r="J3868" s="3" t="str">
        <f>HYPERLINK("https://www.boe.es/gazeta/dias/1815/06/29/pdfs/GMD-1815-78.pdf#page=7","Abrir facsímil")</f>
        <v>Abrir facsímil</v>
      </c>
      <c r="K3868" s="3" t="s">
        <v>74</v>
      </c>
    </row>
    <row r="3869" spans="1:11" ht="42" customHeight="1">
      <c r="A3869" s="2" t="s">
        <v>9571</v>
      </c>
      <c r="B3869" s="2" t="s">
        <v>9572</v>
      </c>
      <c r="C3869" s="2" t="s">
        <v>49</v>
      </c>
      <c r="D3869" s="2" t="s">
        <v>50</v>
      </c>
      <c r="E3869" s="5">
        <v>-30996</v>
      </c>
      <c r="F3869" s="3" t="s">
        <v>289</v>
      </c>
      <c r="G3869" s="3" t="s">
        <v>27</v>
      </c>
      <c r="H3869" s="2" t="s">
        <v>72</v>
      </c>
      <c r="I3869" s="2" t="s">
        <v>9573</v>
      </c>
      <c r="J3869" s="3" t="str">
        <f>HYPERLINK("https://www.boe.es/gazeta/dias/1815/02/18/pdfs/GMD-1815-21.pdf#page=6","Abrir facsímil")</f>
        <v>Abrir facsímil</v>
      </c>
      <c r="K3869" s="3" t="s">
        <v>74</v>
      </c>
    </row>
    <row r="3870" spans="1:11" ht="42" customHeight="1">
      <c r="A3870" s="2" t="s">
        <v>9574</v>
      </c>
      <c r="B3870" s="2" t="s">
        <v>9574</v>
      </c>
      <c r="C3870" s="2" t="s">
        <v>49</v>
      </c>
      <c r="D3870" s="2" t="s">
        <v>50</v>
      </c>
      <c r="E3870" s="5">
        <v>-30863</v>
      </c>
      <c r="F3870" s="3" t="s">
        <v>110</v>
      </c>
      <c r="G3870" s="3" t="s">
        <v>224</v>
      </c>
      <c r="H3870" s="2" t="s">
        <v>72</v>
      </c>
      <c r="I3870" s="2" t="s">
        <v>9575</v>
      </c>
      <c r="J3870" s="3" t="str">
        <f>HYPERLINK("https://www.boe.es/gazeta/dias/1815/07/01/pdfs/GMD-1815-79.pdf#page=9","Abrir facsímil")</f>
        <v>Abrir facsímil</v>
      </c>
      <c r="K3870" s="3" t="s">
        <v>74</v>
      </c>
    </row>
    <row r="3871" spans="1:11" ht="42" customHeight="1">
      <c r="A3871" s="2" t="s">
        <v>9576</v>
      </c>
      <c r="B3871" s="2" t="s">
        <v>9576</v>
      </c>
      <c r="C3871" s="2" t="s">
        <v>894</v>
      </c>
      <c r="D3871" s="2" t="s">
        <v>179</v>
      </c>
      <c r="E3871" s="5">
        <v>-30860</v>
      </c>
      <c r="F3871" s="3" t="s">
        <v>180</v>
      </c>
      <c r="G3871" s="3" t="s">
        <v>2026</v>
      </c>
      <c r="H3871" s="2" t="s">
        <v>72</v>
      </c>
      <c r="I3871" s="2" t="s">
        <v>9577</v>
      </c>
      <c r="J3871" s="3" t="str">
        <f>HYPERLINK("https://www.boe.es/gazeta/dias/1815/07/04/pdfs/GMD-1815-82E.pdf#page=5","Abrir facsímil")</f>
        <v>Abrir facsímil</v>
      </c>
      <c r="K3871" s="3" t="s">
        <v>74</v>
      </c>
    </row>
    <row r="3872" spans="1:11" ht="42" customHeight="1">
      <c r="A3872" s="2" t="s">
        <v>9578</v>
      </c>
      <c r="B3872" s="2" t="s">
        <v>9579</v>
      </c>
      <c r="C3872" s="2" t="s">
        <v>49</v>
      </c>
      <c r="D3872" s="2" t="s">
        <v>179</v>
      </c>
      <c r="E3872" s="5">
        <v>-30954</v>
      </c>
      <c r="F3872" s="3" t="s">
        <v>9580</v>
      </c>
      <c r="G3872" s="3" t="s">
        <v>377</v>
      </c>
      <c r="H3872" s="2" t="s">
        <v>72</v>
      </c>
      <c r="I3872" s="2" t="s">
        <v>9581</v>
      </c>
      <c r="J3872" s="3" t="str">
        <f>HYPERLINK("https://www.boe.es/gazeta/dias/1815/04/01/pdfs/GMD-1815-40E.pdf#page=2","Abrir facsímil")</f>
        <v>Abrir facsímil</v>
      </c>
      <c r="K3872" s="3" t="s">
        <v>74</v>
      </c>
    </row>
    <row r="3873" spans="1:11" ht="42" customHeight="1">
      <c r="A3873" s="2" t="s">
        <v>9582</v>
      </c>
      <c r="B3873" s="2" t="s">
        <v>9583</v>
      </c>
      <c r="C3873" s="2" t="s">
        <v>17</v>
      </c>
      <c r="D3873" s="2" t="s">
        <v>18</v>
      </c>
      <c r="E3873" s="5">
        <v>-30751</v>
      </c>
      <c r="F3873" s="3" t="s">
        <v>819</v>
      </c>
      <c r="G3873" s="3" t="s">
        <v>820</v>
      </c>
      <c r="H3873" s="2" t="s">
        <v>72</v>
      </c>
      <c r="I3873" s="2" t="s">
        <v>9584</v>
      </c>
      <c r="J3873" s="3" t="str">
        <f>HYPERLINK("https://www.boe.es/gazeta/dias/1815/10/21/pdfs/GMD-1815-132.pdf#page=4","Abrir facsímil")</f>
        <v>Abrir facsímil</v>
      </c>
      <c r="K3873" s="3" t="s">
        <v>74</v>
      </c>
    </row>
    <row r="3874" spans="1:11" ht="42" customHeight="1">
      <c r="A3874" s="2" t="s">
        <v>9585</v>
      </c>
      <c r="B3874" s="2" t="s">
        <v>9586</v>
      </c>
      <c r="C3874" s="2" t="s">
        <v>17</v>
      </c>
      <c r="D3874" s="2" t="s">
        <v>18</v>
      </c>
      <c r="E3874" s="5">
        <v>-30874</v>
      </c>
      <c r="F3874" s="3" t="s">
        <v>208</v>
      </c>
      <c r="G3874" s="3" t="s">
        <v>71</v>
      </c>
      <c r="H3874" s="2" t="s">
        <v>72</v>
      </c>
      <c r="I3874" s="2" t="s">
        <v>9587</v>
      </c>
      <c r="J3874" s="3" t="str">
        <f>HYPERLINK("https://www.boe.es/gazeta/dias/1815/06/20/pdfs/GMD-1815-74.pdf#page=7","Abrir facsímil")</f>
        <v>Abrir facsímil</v>
      </c>
      <c r="K3874" s="3" t="s">
        <v>74</v>
      </c>
    </row>
    <row r="3875" spans="1:11" ht="42" customHeight="1">
      <c r="A3875" s="2" t="s">
        <v>9588</v>
      </c>
      <c r="B3875" s="2" t="s">
        <v>9589</v>
      </c>
      <c r="C3875" s="2" t="s">
        <v>49</v>
      </c>
      <c r="D3875" s="2" t="s">
        <v>50</v>
      </c>
      <c r="E3875" s="5">
        <v>-30863</v>
      </c>
      <c r="F3875" s="3" t="s">
        <v>110</v>
      </c>
      <c r="G3875" s="3" t="s">
        <v>224</v>
      </c>
      <c r="H3875" s="2" t="s">
        <v>72</v>
      </c>
      <c r="I3875" s="2" t="s">
        <v>9590</v>
      </c>
      <c r="J3875" s="3" t="str">
        <f>HYPERLINK("https://www.boe.es/gazeta/dias/1815/07/01/pdfs/GMD-1815-79.pdf#page=9","Abrir facsímil")</f>
        <v>Abrir facsímil</v>
      </c>
      <c r="K3875" s="3" t="s">
        <v>74</v>
      </c>
    </row>
    <row r="3876" spans="1:11" ht="42" customHeight="1">
      <c r="A3876" s="2" t="s">
        <v>9591</v>
      </c>
      <c r="B3876" s="2" t="s">
        <v>9592</v>
      </c>
      <c r="C3876" s="2" t="s">
        <v>17</v>
      </c>
      <c r="D3876" s="2" t="s">
        <v>18</v>
      </c>
      <c r="E3876" s="5">
        <v>-31042</v>
      </c>
      <c r="F3876" s="3" t="s">
        <v>512</v>
      </c>
      <c r="G3876" s="3" t="s">
        <v>20</v>
      </c>
      <c r="H3876" s="2" t="s">
        <v>72</v>
      </c>
      <c r="I3876" s="2" t="s">
        <v>9593</v>
      </c>
      <c r="J3876" s="3" t="str">
        <f>HYPERLINK("https://www.boe.es/gazeta/dias/1815/01/03/pdfs/GMD-1815-1.pdf#page=4","Abrir facsímil")</f>
        <v>Abrir facsímil</v>
      </c>
      <c r="K3876" s="3" t="s">
        <v>74</v>
      </c>
    </row>
    <row r="3877" spans="1:11" ht="42" customHeight="1">
      <c r="A3877" s="2" t="s">
        <v>9594</v>
      </c>
      <c r="B3877" s="2" t="s">
        <v>9595</v>
      </c>
      <c r="C3877" s="2" t="s">
        <v>17</v>
      </c>
      <c r="D3877" s="2" t="s">
        <v>18</v>
      </c>
      <c r="E3877" s="5">
        <v>-30795</v>
      </c>
      <c r="F3877" s="3" t="s">
        <v>172</v>
      </c>
      <c r="G3877" s="3" t="s">
        <v>276</v>
      </c>
      <c r="H3877" s="2" t="s">
        <v>72</v>
      </c>
      <c r="I3877" s="2" t="s">
        <v>9596</v>
      </c>
      <c r="J3877" s="3" t="str">
        <f>HYPERLINK("https://www.boe.es/gazeta/dias/1815/09/07/pdfs/GMD-1815-111.pdf#page=12","Abrir facsímil")</f>
        <v>Abrir facsímil</v>
      </c>
      <c r="K3877" s="3" t="s">
        <v>74</v>
      </c>
    </row>
    <row r="3878" spans="1:11" ht="42" customHeight="1">
      <c r="A3878" s="2" t="s">
        <v>9597</v>
      </c>
      <c r="B3878" s="2" t="s">
        <v>9598</v>
      </c>
      <c r="C3878" s="2" t="s">
        <v>31</v>
      </c>
      <c r="D3878" s="2" t="s">
        <v>32</v>
      </c>
      <c r="E3878" s="5">
        <v>-30937</v>
      </c>
      <c r="F3878" s="3" t="s">
        <v>322</v>
      </c>
      <c r="G3878" s="3" t="s">
        <v>410</v>
      </c>
      <c r="H3878" s="2" t="s">
        <v>72</v>
      </c>
      <c r="I3878" s="2" t="s">
        <v>9599</v>
      </c>
      <c r="J3878" s="3" t="str">
        <f>HYPERLINK("https://www.boe.es/gazeta/dias/1815/04/18/pdfs/GMD-1815-47.pdf#page=1","Abrir facsímil")</f>
        <v>Abrir facsímil</v>
      </c>
      <c r="K3878" s="3" t="s">
        <v>74</v>
      </c>
    </row>
    <row r="3879" spans="1:11" ht="42" customHeight="1">
      <c r="A3879" s="2" t="s">
        <v>9600</v>
      </c>
      <c r="B3879" s="2" t="s">
        <v>9601</v>
      </c>
      <c r="C3879" s="2" t="s">
        <v>31</v>
      </c>
      <c r="D3879" s="2" t="s">
        <v>32</v>
      </c>
      <c r="E3879" s="5">
        <v>-30921</v>
      </c>
      <c r="F3879" s="3" t="s">
        <v>191</v>
      </c>
      <c r="G3879" s="3" t="s">
        <v>71</v>
      </c>
      <c r="H3879" s="2" t="s">
        <v>72</v>
      </c>
      <c r="I3879" s="2" t="s">
        <v>9602</v>
      </c>
      <c r="J3879" s="3" t="str">
        <f>HYPERLINK("https://www.boe.es/gazeta/dias/1815/05/04/pdfs/GMD-1815-54.pdf#page=7","Abrir facsímil")</f>
        <v>Abrir facsímil</v>
      </c>
      <c r="K3879" s="3" t="s">
        <v>74</v>
      </c>
    </row>
    <row r="3880" spans="1:11" ht="42" customHeight="1">
      <c r="A3880" s="2" t="s">
        <v>9603</v>
      </c>
      <c r="B3880" s="2" t="s">
        <v>9604</v>
      </c>
      <c r="C3880" s="2" t="s">
        <v>49</v>
      </c>
      <c r="D3880" s="2" t="s">
        <v>50</v>
      </c>
      <c r="E3880" s="5">
        <v>-31019</v>
      </c>
      <c r="F3880" s="3" t="s">
        <v>1094</v>
      </c>
      <c r="G3880" s="3" t="s">
        <v>276</v>
      </c>
      <c r="H3880" s="2" t="s">
        <v>21</v>
      </c>
      <c r="I3880" s="2" t="s">
        <v>9605</v>
      </c>
      <c r="J3880" s="3" t="str">
        <f>HYPERLINK("https://www.boe.es/gazeta/dias/1815/01/26/pdfs/GMD-1815-11.pdf#page=12","Abrir facsímil")</f>
        <v>Abrir facsímil</v>
      </c>
      <c r="K3880" s="3" t="s">
        <v>23</v>
      </c>
    </row>
    <row r="3881" spans="1:11" ht="42" customHeight="1">
      <c r="A3881" s="2" t="s">
        <v>9606</v>
      </c>
      <c r="B3881" s="2" t="s">
        <v>9606</v>
      </c>
      <c r="C3881" s="2" t="s">
        <v>31</v>
      </c>
      <c r="D3881" s="2" t="s">
        <v>32</v>
      </c>
      <c r="E3881" s="5">
        <v>-30872</v>
      </c>
      <c r="F3881" s="3" t="s">
        <v>167</v>
      </c>
      <c r="G3881" s="3" t="s">
        <v>27</v>
      </c>
      <c r="H3881" s="2" t="s">
        <v>72</v>
      </c>
      <c r="I3881" s="2" t="s">
        <v>9607</v>
      </c>
      <c r="J3881" s="3" t="str">
        <f>HYPERLINK("https://www.boe.es/gazeta/dias/1815/06/22/pdfs/GMD-1815-75.pdf#page=6","Abrir facsímil")</f>
        <v>Abrir facsímil</v>
      </c>
      <c r="K3881" s="3" t="s">
        <v>74</v>
      </c>
    </row>
    <row r="3882" spans="1:11" ht="42" customHeight="1">
      <c r="A3882" s="2" t="s">
        <v>9606</v>
      </c>
      <c r="B3882" s="2" t="s">
        <v>9606</v>
      </c>
      <c r="C3882" s="2" t="s">
        <v>31</v>
      </c>
      <c r="D3882" s="2" t="s">
        <v>32</v>
      </c>
      <c r="E3882" s="5">
        <v>-30872</v>
      </c>
      <c r="F3882" s="3" t="s">
        <v>167</v>
      </c>
      <c r="G3882" s="3" t="s">
        <v>71</v>
      </c>
      <c r="H3882" s="2" t="s">
        <v>72</v>
      </c>
      <c r="I3882" s="2" t="s">
        <v>9608</v>
      </c>
      <c r="J3882" s="3" t="str">
        <f>HYPERLINK("https://www.boe.es/gazeta/dias/1815/06/22/pdfs/GMD-1815-75.pdf#page=7","Abrir facsímil")</f>
        <v>Abrir facsímil</v>
      </c>
      <c r="K3882" s="3" t="s">
        <v>74</v>
      </c>
    </row>
    <row r="3883" spans="1:11" ht="42" customHeight="1">
      <c r="A3883" s="2" t="s">
        <v>9609</v>
      </c>
      <c r="B3883" s="2" t="s">
        <v>9610</v>
      </c>
      <c r="C3883" s="2" t="s">
        <v>49</v>
      </c>
      <c r="D3883" s="2" t="s">
        <v>50</v>
      </c>
      <c r="E3883" s="5">
        <v>-30835</v>
      </c>
      <c r="F3883" s="3" t="s">
        <v>544</v>
      </c>
      <c r="G3883" s="3" t="s">
        <v>88</v>
      </c>
      <c r="H3883" s="2" t="s">
        <v>21</v>
      </c>
      <c r="I3883" s="2" t="s">
        <v>9611</v>
      </c>
      <c r="J3883" s="3" t="str">
        <f>HYPERLINK("https://www.boe.es/gazeta/dias/1815/07/29/pdfs/GMD-1815-93.pdf#page=10","Abrir facsímil")</f>
        <v>Abrir facsímil</v>
      </c>
      <c r="K3883" s="3" t="s">
        <v>23</v>
      </c>
    </row>
    <row r="3884" spans="1:11" ht="42" customHeight="1">
      <c r="A3884" s="2" t="s">
        <v>9612</v>
      </c>
      <c r="B3884" s="2" t="s">
        <v>9613</v>
      </c>
      <c r="C3884" s="2" t="s">
        <v>17</v>
      </c>
      <c r="D3884" s="2" t="s">
        <v>18</v>
      </c>
      <c r="E3884" s="5">
        <v>-31042</v>
      </c>
      <c r="F3884" s="3" t="s">
        <v>512</v>
      </c>
      <c r="G3884" s="3" t="s">
        <v>38</v>
      </c>
      <c r="H3884" s="2" t="s">
        <v>72</v>
      </c>
      <c r="I3884" s="2" t="s">
        <v>9614</v>
      </c>
      <c r="J3884" s="3" t="str">
        <f>HYPERLINK("https://www.boe.es/gazeta/dias/1815/01/03/pdfs/GMD-1815-1.pdf#page=8","Abrir facsímil")</f>
        <v>Abrir facsímil</v>
      </c>
      <c r="K3884" s="3" t="s">
        <v>74</v>
      </c>
    </row>
    <row r="3885" spans="1:11" ht="42" customHeight="1">
      <c r="A3885" s="2" t="s">
        <v>9612</v>
      </c>
      <c r="B3885" s="2" t="s">
        <v>9613</v>
      </c>
      <c r="C3885" s="2" t="s">
        <v>17</v>
      </c>
      <c r="D3885" s="2" t="s">
        <v>18</v>
      </c>
      <c r="E3885" s="5">
        <v>-30972</v>
      </c>
      <c r="F3885" s="3" t="s">
        <v>1382</v>
      </c>
      <c r="G3885" s="3" t="s">
        <v>38</v>
      </c>
      <c r="H3885" s="2" t="s">
        <v>72</v>
      </c>
      <c r="I3885" s="2" t="s">
        <v>9615</v>
      </c>
      <c r="J3885" s="3" t="str">
        <f>HYPERLINK("https://www.boe.es/gazeta/dias/1815/03/14/pdfs/GMD-1815-31.pdf#page=8","Abrir facsímil")</f>
        <v>Abrir facsímil</v>
      </c>
      <c r="K3885" s="3" t="s">
        <v>74</v>
      </c>
    </row>
    <row r="3886" spans="1:11" ht="42" customHeight="1">
      <c r="A3886" s="2" t="s">
        <v>9616</v>
      </c>
      <c r="B3886" s="2" t="s">
        <v>9617</v>
      </c>
      <c r="C3886" s="2" t="s">
        <v>61</v>
      </c>
      <c r="D3886" s="2" t="s">
        <v>50</v>
      </c>
      <c r="E3886" s="5">
        <v>-30783</v>
      </c>
      <c r="F3886" s="3" t="s">
        <v>423</v>
      </c>
      <c r="G3886" s="3" t="s">
        <v>38</v>
      </c>
      <c r="H3886" s="2" t="s">
        <v>72</v>
      </c>
      <c r="I3886" s="2" t="s">
        <v>9618</v>
      </c>
      <c r="J3886" s="3" t="str">
        <f>HYPERLINK("https://www.boe.es/gazeta/dias/1815/09/19/pdfs/GMD-1815-116.pdf#page=8","Abrir facsímil")</f>
        <v>Abrir facsímil</v>
      </c>
      <c r="K3886" s="3" t="s">
        <v>74</v>
      </c>
    </row>
    <row r="3887" spans="1:11" ht="42" customHeight="1">
      <c r="A3887" s="2" t="s">
        <v>9619</v>
      </c>
      <c r="B3887" s="2" t="s">
        <v>9620</v>
      </c>
      <c r="C3887" s="2" t="s">
        <v>81</v>
      </c>
      <c r="D3887" s="2" t="s">
        <v>50</v>
      </c>
      <c r="E3887" s="5">
        <v>-30744</v>
      </c>
      <c r="F3887" s="3" t="s">
        <v>391</v>
      </c>
      <c r="G3887" s="3" t="s">
        <v>38</v>
      </c>
      <c r="H3887" s="2" t="s">
        <v>72</v>
      </c>
      <c r="I3887" s="2" t="s">
        <v>9621</v>
      </c>
      <c r="J3887" s="3" t="str">
        <f>HYPERLINK("https://www.boe.es/gazeta/dias/1815/10/28/pdfs/GMD-1815-135.pdf#page=8","Abrir facsímil")</f>
        <v>Abrir facsímil</v>
      </c>
      <c r="K3887" s="3" t="s">
        <v>74</v>
      </c>
    </row>
    <row r="3888" spans="1:11" ht="42" customHeight="1">
      <c r="A3888" s="2" t="s">
        <v>9622</v>
      </c>
      <c r="B3888" s="2" t="s">
        <v>9623</v>
      </c>
      <c r="C3888" s="2" t="s">
        <v>195</v>
      </c>
      <c r="D3888" s="2" t="s">
        <v>50</v>
      </c>
      <c r="E3888" s="5">
        <v>-30879</v>
      </c>
      <c r="F3888" s="3" t="s">
        <v>754</v>
      </c>
      <c r="G3888" s="3" t="s">
        <v>276</v>
      </c>
      <c r="H3888" s="2" t="s">
        <v>72</v>
      </c>
      <c r="I3888" s="2" t="s">
        <v>9624</v>
      </c>
      <c r="J3888" s="3" t="str">
        <f>HYPERLINK("https://www.boe.es/gazeta/dias/1815/06/15/pdfs/GMD-1815-72.pdf#page=12","Abrir facsímil")</f>
        <v>Abrir facsímil</v>
      </c>
      <c r="K3888" s="3" t="s">
        <v>74</v>
      </c>
    </row>
    <row r="3889" spans="1:11" ht="42" customHeight="1">
      <c r="A3889" s="2" t="s">
        <v>9625</v>
      </c>
      <c r="B3889" s="2" t="s">
        <v>9626</v>
      </c>
      <c r="C3889" s="2" t="s">
        <v>81</v>
      </c>
      <c r="D3889" s="2" t="s">
        <v>50</v>
      </c>
      <c r="E3889" s="5">
        <v>-30942</v>
      </c>
      <c r="F3889" s="3" t="s">
        <v>730</v>
      </c>
      <c r="G3889" s="3" t="s">
        <v>71</v>
      </c>
      <c r="H3889" s="2" t="s">
        <v>72</v>
      </c>
      <c r="I3889" s="2" t="s">
        <v>9627</v>
      </c>
      <c r="J3889" s="3" t="str">
        <f>HYPERLINK("https://www.boe.es/gazeta/dias/1815/04/13/pdfs/GMD-1815-45.pdf#page=7","Abrir facsímil")</f>
        <v>Abrir facsímil</v>
      </c>
      <c r="K3889" s="3" t="s">
        <v>74</v>
      </c>
    </row>
    <row r="3890" spans="1:11" ht="42" customHeight="1">
      <c r="A3890" s="2" t="s">
        <v>9625</v>
      </c>
      <c r="B3890" s="2" t="s">
        <v>9626</v>
      </c>
      <c r="C3890" s="2" t="s">
        <v>31</v>
      </c>
      <c r="D3890" s="2" t="s">
        <v>32</v>
      </c>
      <c r="E3890" s="5">
        <v>-30774</v>
      </c>
      <c r="F3890" s="3" t="s">
        <v>1143</v>
      </c>
      <c r="G3890" s="3" t="s">
        <v>1144</v>
      </c>
      <c r="H3890" s="2" t="s">
        <v>72</v>
      </c>
      <c r="I3890" s="2" t="s">
        <v>9628</v>
      </c>
      <c r="J3890" s="3" t="str">
        <f>HYPERLINK("https://www.boe.es/gazeta/dias/1815/09/28/pdfs/GMD-1815-121.pdf#page=8","Abrir facsímil")</f>
        <v>Abrir facsímil</v>
      </c>
      <c r="K3890" s="3" t="s">
        <v>74</v>
      </c>
    </row>
    <row r="3891" spans="1:11" ht="42" customHeight="1">
      <c r="A3891" s="2" t="s">
        <v>9629</v>
      </c>
      <c r="B3891" s="2" t="s">
        <v>9630</v>
      </c>
      <c r="C3891" s="2" t="s">
        <v>49</v>
      </c>
      <c r="D3891" s="2" t="s">
        <v>50</v>
      </c>
      <c r="E3891" s="5">
        <v>-30818</v>
      </c>
      <c r="F3891" s="3" t="s">
        <v>334</v>
      </c>
      <c r="G3891" s="3" t="s">
        <v>224</v>
      </c>
      <c r="H3891" s="2" t="s">
        <v>72</v>
      </c>
      <c r="I3891" s="2" t="s">
        <v>9631</v>
      </c>
      <c r="J3891" s="3" t="str">
        <f>HYPERLINK("https://www.boe.es/gazeta/dias/1815/08/15/pdfs/GMD-1815-100.pdf#page=9","Abrir facsímil")</f>
        <v>Abrir facsímil</v>
      </c>
      <c r="K3891" s="3" t="s">
        <v>74</v>
      </c>
    </row>
    <row r="3892" spans="1:11" ht="42" customHeight="1">
      <c r="A3892" s="2" t="s">
        <v>9632</v>
      </c>
      <c r="B3892" s="2" t="s">
        <v>9633</v>
      </c>
      <c r="C3892" s="2" t="s">
        <v>31</v>
      </c>
      <c r="D3892" s="2" t="s">
        <v>32</v>
      </c>
      <c r="E3892" s="5">
        <v>-30739</v>
      </c>
      <c r="F3892" s="3" t="s">
        <v>254</v>
      </c>
      <c r="G3892" s="3" t="s">
        <v>88</v>
      </c>
      <c r="H3892" s="2" t="s">
        <v>72</v>
      </c>
      <c r="I3892" s="2" t="s">
        <v>9634</v>
      </c>
      <c r="J3892" s="3" t="str">
        <f>HYPERLINK("https://www.boe.es/gazeta/dias/1815/11/02/pdfs/GMD-1815-137.pdf#page=10","Abrir facsímil")</f>
        <v>Abrir facsímil</v>
      </c>
      <c r="K3892" s="3" t="s">
        <v>74</v>
      </c>
    </row>
    <row r="3893" spans="1:11" ht="42" customHeight="1">
      <c r="A3893" s="2" t="s">
        <v>9635</v>
      </c>
      <c r="B3893" s="2" t="s">
        <v>9636</v>
      </c>
      <c r="C3893" s="2" t="s">
        <v>195</v>
      </c>
      <c r="D3893" s="2" t="s">
        <v>50</v>
      </c>
      <c r="E3893" s="5">
        <v>-30888</v>
      </c>
      <c r="F3893" s="3" t="s">
        <v>368</v>
      </c>
      <c r="G3893" s="3" t="s">
        <v>38</v>
      </c>
      <c r="H3893" s="2" t="s">
        <v>72</v>
      </c>
      <c r="I3893" s="2" t="s">
        <v>9637</v>
      </c>
      <c r="J3893" s="3" t="str">
        <f>HYPERLINK("https://www.boe.es/gazeta/dias/1815/06/06/pdfs/GMD-1815-68.pdf#page=8","Abrir facsímil")</f>
        <v>Abrir facsímil</v>
      </c>
      <c r="K3893" s="3" t="s">
        <v>74</v>
      </c>
    </row>
    <row r="3894" spans="1:11" ht="42" customHeight="1">
      <c r="A3894" s="2" t="s">
        <v>9638</v>
      </c>
      <c r="B3894" s="2" t="s">
        <v>9638</v>
      </c>
      <c r="C3894" s="2" t="s">
        <v>31</v>
      </c>
      <c r="D3894" s="2" t="s">
        <v>32</v>
      </c>
      <c r="E3894" s="5">
        <v>-30898</v>
      </c>
      <c r="F3894" s="3" t="s">
        <v>212</v>
      </c>
      <c r="G3894" s="3" t="s">
        <v>410</v>
      </c>
      <c r="H3894" s="2" t="s">
        <v>72</v>
      </c>
      <c r="I3894" s="2" t="s">
        <v>9639</v>
      </c>
      <c r="J3894" s="3" t="str">
        <f>HYPERLINK("https://www.boe.es/gazeta/dias/1815/05/27/pdfs/GMD-1815-64.pdf#page=1","Abrir facsímil")</f>
        <v>Abrir facsímil</v>
      </c>
      <c r="K3894" s="3" t="s">
        <v>74</v>
      </c>
    </row>
    <row r="3895" spans="1:11" ht="42" customHeight="1">
      <c r="A3895" s="2" t="s">
        <v>9638</v>
      </c>
      <c r="B3895" s="2" t="s">
        <v>9638</v>
      </c>
      <c r="C3895" s="2" t="s">
        <v>31</v>
      </c>
      <c r="D3895" s="2" t="s">
        <v>32</v>
      </c>
      <c r="E3895" s="5">
        <v>-30898</v>
      </c>
      <c r="F3895" s="3" t="s">
        <v>212</v>
      </c>
      <c r="G3895" s="3" t="s">
        <v>377</v>
      </c>
      <c r="H3895" s="2" t="s">
        <v>72</v>
      </c>
      <c r="I3895" s="2" t="s">
        <v>9640</v>
      </c>
      <c r="J3895" s="3" t="str">
        <f>HYPERLINK("https://www.boe.es/gazeta/dias/1815/05/27/pdfs/GMD-1815-64.pdf#page=2","Abrir facsímil")</f>
        <v>Abrir facsímil</v>
      </c>
      <c r="K3895" s="3" t="s">
        <v>74</v>
      </c>
    </row>
    <row r="3896" spans="1:11" ht="42" customHeight="1">
      <c r="A3896" s="2" t="s">
        <v>9638</v>
      </c>
      <c r="B3896" s="2" t="s">
        <v>9638</v>
      </c>
      <c r="C3896" s="2" t="s">
        <v>31</v>
      </c>
      <c r="D3896" s="2" t="s">
        <v>32</v>
      </c>
      <c r="E3896" s="5">
        <v>-30893</v>
      </c>
      <c r="F3896" s="3" t="s">
        <v>132</v>
      </c>
      <c r="G3896" s="3" t="s">
        <v>410</v>
      </c>
      <c r="H3896" s="2" t="s">
        <v>72</v>
      </c>
      <c r="I3896" s="2" t="s">
        <v>9641</v>
      </c>
      <c r="J3896" s="3" t="str">
        <f>HYPERLINK("https://www.boe.es/gazeta/dias/1815/06/01/pdfs/GMD-1815-66.pdf#page=1","Abrir facsímil")</f>
        <v>Abrir facsímil</v>
      </c>
      <c r="K3896" s="3" t="s">
        <v>74</v>
      </c>
    </row>
    <row r="3897" spans="1:11" ht="42" customHeight="1">
      <c r="A3897" s="2" t="s">
        <v>9638</v>
      </c>
      <c r="B3897" s="2" t="s">
        <v>9638</v>
      </c>
      <c r="C3897" s="2" t="s">
        <v>31</v>
      </c>
      <c r="D3897" s="2" t="s">
        <v>32</v>
      </c>
      <c r="E3897" s="5">
        <v>-30893</v>
      </c>
      <c r="F3897" s="3" t="s">
        <v>132</v>
      </c>
      <c r="G3897" s="3" t="s">
        <v>97</v>
      </c>
      <c r="H3897" s="2" t="s">
        <v>72</v>
      </c>
      <c r="I3897" s="2" t="s">
        <v>9642</v>
      </c>
      <c r="J3897" s="3" t="str">
        <f>HYPERLINK("https://www.boe.es/gazeta/dias/1815/06/01/pdfs/GMD-1815-66.pdf#page=3","Abrir facsímil")</f>
        <v>Abrir facsímil</v>
      </c>
      <c r="K3897" s="3" t="s">
        <v>74</v>
      </c>
    </row>
    <row r="3898" spans="1:11" ht="42" customHeight="1">
      <c r="A3898" s="2" t="s">
        <v>9638</v>
      </c>
      <c r="B3898" s="2" t="s">
        <v>9638</v>
      </c>
      <c r="C3898" s="2" t="s">
        <v>31</v>
      </c>
      <c r="D3898" s="2" t="s">
        <v>32</v>
      </c>
      <c r="E3898" s="5">
        <v>-30884</v>
      </c>
      <c r="F3898" s="3" t="s">
        <v>136</v>
      </c>
      <c r="G3898" s="3" t="s">
        <v>410</v>
      </c>
      <c r="H3898" s="2" t="s">
        <v>72</v>
      </c>
      <c r="I3898" s="2" t="s">
        <v>9643</v>
      </c>
      <c r="J3898" s="3" t="str">
        <f>HYPERLINK("https://www.boe.es/gazeta/dias/1815/06/10/pdfs/GMD-1815-70.pdf#page=1","Abrir facsímil")</f>
        <v>Abrir facsímil</v>
      </c>
      <c r="K3898" s="3" t="s">
        <v>74</v>
      </c>
    </row>
    <row r="3899" spans="1:11" ht="42" customHeight="1">
      <c r="A3899" s="2" t="s">
        <v>9638</v>
      </c>
      <c r="B3899" s="2" t="s">
        <v>9638</v>
      </c>
      <c r="C3899" s="2" t="s">
        <v>31</v>
      </c>
      <c r="D3899" s="2" t="s">
        <v>32</v>
      </c>
      <c r="E3899" s="5">
        <v>-30858</v>
      </c>
      <c r="F3899" s="3" t="s">
        <v>1928</v>
      </c>
      <c r="G3899" s="3" t="s">
        <v>377</v>
      </c>
      <c r="H3899" s="2" t="s">
        <v>72</v>
      </c>
      <c r="I3899" s="2" t="s">
        <v>9644</v>
      </c>
      <c r="J3899" s="3" t="str">
        <f>HYPERLINK("https://www.boe.es/gazeta/dias/1815/07/06/pdfs/GMD-1815-83.pdf#page=2","Abrir facsímil")</f>
        <v>Abrir facsímil</v>
      </c>
      <c r="K3899" s="3" t="s">
        <v>74</v>
      </c>
    </row>
    <row r="3900" spans="1:11" ht="42" customHeight="1">
      <c r="A3900" s="2" t="s">
        <v>9645</v>
      </c>
      <c r="B3900" s="2" t="s">
        <v>9645</v>
      </c>
      <c r="C3900" s="2" t="s">
        <v>31</v>
      </c>
      <c r="D3900" s="2" t="s">
        <v>32</v>
      </c>
      <c r="E3900" s="5">
        <v>-30909</v>
      </c>
      <c r="F3900" s="3" t="s">
        <v>581</v>
      </c>
      <c r="G3900" s="3" t="s">
        <v>410</v>
      </c>
      <c r="H3900" s="2" t="s">
        <v>72</v>
      </c>
      <c r="I3900" s="2" t="s">
        <v>9646</v>
      </c>
      <c r="J3900" s="3" t="str">
        <f>HYPERLINK("https://www.boe.es/gazeta/dias/1815/05/16/pdfs/GMD-1815-59.pdf#page=1","Abrir facsímil")</f>
        <v>Abrir facsímil</v>
      </c>
      <c r="K3900" s="3" t="s">
        <v>74</v>
      </c>
    </row>
    <row r="3901" spans="1:11" ht="42" customHeight="1">
      <c r="A3901" s="2" t="s">
        <v>9647</v>
      </c>
      <c r="B3901" s="2" t="s">
        <v>9647</v>
      </c>
      <c r="C3901" s="2" t="s">
        <v>31</v>
      </c>
      <c r="D3901" s="2" t="s">
        <v>32</v>
      </c>
      <c r="E3901" s="5">
        <v>-30739</v>
      </c>
      <c r="F3901" s="3" t="s">
        <v>254</v>
      </c>
      <c r="G3901" s="3" t="s">
        <v>57</v>
      </c>
      <c r="H3901" s="2" t="s">
        <v>72</v>
      </c>
      <c r="I3901" s="2" t="s">
        <v>9648</v>
      </c>
      <c r="J3901" s="3" t="str">
        <f>HYPERLINK("https://www.boe.es/gazeta/dias/1815/11/02/pdfs/GMD-1815-137.pdf#page=5","Abrir facsímil")</f>
        <v>Abrir facsímil</v>
      </c>
      <c r="K3901" s="3" t="s">
        <v>74</v>
      </c>
    </row>
    <row r="3902" spans="1:11" ht="42" customHeight="1">
      <c r="A3902" s="2" t="s">
        <v>9649</v>
      </c>
      <c r="B3902" s="2" t="s">
        <v>9649</v>
      </c>
      <c r="C3902" s="2" t="s">
        <v>49</v>
      </c>
      <c r="D3902" s="2" t="s">
        <v>50</v>
      </c>
      <c r="E3902" s="5">
        <v>-30902</v>
      </c>
      <c r="F3902" s="3" t="s">
        <v>648</v>
      </c>
      <c r="G3902" s="3" t="s">
        <v>57</v>
      </c>
      <c r="H3902" s="2" t="s">
        <v>72</v>
      </c>
      <c r="I3902" s="2" t="s">
        <v>9650</v>
      </c>
      <c r="J3902" s="3" t="str">
        <f>HYPERLINK("https://www.boe.es/gazeta/dias/1815/05/23/pdfs/GMD-1815-62.pdf#page=5","Abrir facsímil")</f>
        <v>Abrir facsímil</v>
      </c>
      <c r="K3902" s="3" t="s">
        <v>74</v>
      </c>
    </row>
    <row r="3903" spans="1:11" ht="42" customHeight="1">
      <c r="A3903" s="2" t="s">
        <v>9651</v>
      </c>
      <c r="B3903" s="2" t="s">
        <v>9652</v>
      </c>
      <c r="C3903" s="2" t="s">
        <v>195</v>
      </c>
      <c r="D3903" s="2" t="s">
        <v>50</v>
      </c>
      <c r="E3903" s="5">
        <v>-31031</v>
      </c>
      <c r="F3903" s="3" t="s">
        <v>105</v>
      </c>
      <c r="G3903" s="3" t="s">
        <v>27</v>
      </c>
      <c r="H3903" s="2" t="s">
        <v>72</v>
      </c>
      <c r="I3903" s="2" t="s">
        <v>9653</v>
      </c>
      <c r="J3903" s="3" t="str">
        <f>HYPERLINK("https://www.boe.es/gazeta/dias/1815/01/14/pdfs/GMD-1815-6.pdf#page=6","Abrir facsímil")</f>
        <v>Abrir facsímil</v>
      </c>
      <c r="K3903" s="3" t="s">
        <v>74</v>
      </c>
    </row>
    <row r="3904" spans="1:11" ht="42" customHeight="1">
      <c r="A3904" s="2" t="s">
        <v>9654</v>
      </c>
      <c r="B3904" s="2" t="s">
        <v>9655</v>
      </c>
      <c r="C3904" s="2" t="s">
        <v>31</v>
      </c>
      <c r="D3904" s="2" t="s">
        <v>32</v>
      </c>
      <c r="E3904" s="5">
        <v>-30921</v>
      </c>
      <c r="F3904" s="3" t="s">
        <v>191</v>
      </c>
      <c r="G3904" s="3" t="s">
        <v>71</v>
      </c>
      <c r="H3904" s="2" t="s">
        <v>72</v>
      </c>
      <c r="I3904" s="2" t="s">
        <v>9656</v>
      </c>
      <c r="J3904" s="3" t="str">
        <f>HYPERLINK("https://www.boe.es/gazeta/dias/1815/05/04/pdfs/GMD-1815-54.pdf#page=7","Abrir facsímil")</f>
        <v>Abrir facsímil</v>
      </c>
      <c r="K3904" s="3" t="s">
        <v>74</v>
      </c>
    </row>
    <row r="3905" spans="1:11" ht="42" customHeight="1">
      <c r="A3905" s="2" t="s">
        <v>9657</v>
      </c>
      <c r="B3905" s="2" t="s">
        <v>9658</v>
      </c>
      <c r="C3905" s="2" t="s">
        <v>31</v>
      </c>
      <c r="D3905" s="2" t="s">
        <v>32</v>
      </c>
      <c r="E3905" s="5">
        <v>-31038</v>
      </c>
      <c r="F3905" s="3" t="s">
        <v>395</v>
      </c>
      <c r="G3905" s="3" t="s">
        <v>396</v>
      </c>
      <c r="H3905" s="2" t="s">
        <v>72</v>
      </c>
      <c r="I3905" s="2" t="s">
        <v>9659</v>
      </c>
      <c r="J3905" s="3" t="str">
        <f>HYPERLINK("https://www.boe.es/gazeta/dias/1815/01/07/pdfs/GMD-1815-3.pdf#page=5","Abrir facsímil")</f>
        <v>Abrir facsímil</v>
      </c>
      <c r="K3905" s="3" t="s">
        <v>74</v>
      </c>
    </row>
    <row r="3906" spans="1:11" ht="42" customHeight="1">
      <c r="A3906" s="2" t="s">
        <v>9660</v>
      </c>
      <c r="B3906" s="2" t="s">
        <v>9661</v>
      </c>
      <c r="C3906" s="2" t="s">
        <v>49</v>
      </c>
      <c r="D3906" s="2" t="s">
        <v>50</v>
      </c>
      <c r="E3906" s="5">
        <v>-30886</v>
      </c>
      <c r="F3906" s="3" t="s">
        <v>140</v>
      </c>
      <c r="G3906" s="3" t="s">
        <v>38</v>
      </c>
      <c r="H3906" s="2" t="s">
        <v>72</v>
      </c>
      <c r="I3906" s="2" t="s">
        <v>9662</v>
      </c>
      <c r="J3906" s="3" t="str">
        <f>HYPERLINK("https://www.boe.es/gazeta/dias/1815/06/08/pdfs/GMD-1815-69.pdf#page=8","Abrir facsímil")</f>
        <v>Abrir facsímil</v>
      </c>
      <c r="K3906" s="3" t="s">
        <v>74</v>
      </c>
    </row>
    <row r="3907" spans="1:11" ht="42" customHeight="1">
      <c r="A3907" s="2" t="s">
        <v>9663</v>
      </c>
      <c r="B3907" s="2" t="s">
        <v>9664</v>
      </c>
      <c r="C3907" s="2" t="s">
        <v>49</v>
      </c>
      <c r="D3907" s="2" t="s">
        <v>50</v>
      </c>
      <c r="E3907" s="5">
        <v>-31026</v>
      </c>
      <c r="F3907" s="3" t="s">
        <v>874</v>
      </c>
      <c r="G3907" s="3" t="s">
        <v>38</v>
      </c>
      <c r="H3907" s="2" t="s">
        <v>72</v>
      </c>
      <c r="I3907" s="2" t="s">
        <v>9665</v>
      </c>
      <c r="J3907" s="3" t="str">
        <f>HYPERLINK("https://www.boe.es/gazeta/dias/1815/01/19/pdfs/GMD-1815-8.pdf#page=8","Abrir facsímil")</f>
        <v>Abrir facsímil</v>
      </c>
      <c r="K3907" s="3" t="s">
        <v>74</v>
      </c>
    </row>
    <row r="3908" spans="1:11" ht="42" customHeight="1">
      <c r="A3908" s="2" t="s">
        <v>9666</v>
      </c>
      <c r="B3908" s="2" t="s">
        <v>9667</v>
      </c>
      <c r="C3908" s="2" t="s">
        <v>31</v>
      </c>
      <c r="D3908" s="2" t="s">
        <v>32</v>
      </c>
      <c r="E3908" s="5">
        <v>-30986</v>
      </c>
      <c r="F3908" s="3" t="s">
        <v>46</v>
      </c>
      <c r="G3908" s="3" t="s">
        <v>224</v>
      </c>
      <c r="H3908" s="2" t="s">
        <v>72</v>
      </c>
      <c r="I3908" s="2" t="s">
        <v>9668</v>
      </c>
      <c r="J3908" s="3" t="str">
        <f>HYPERLINK("https://www.boe.es/gazeta/dias/1815/02/28/pdfs/GMD-1815-25.pdf#page=9","Abrir facsímil")</f>
        <v>Abrir facsímil</v>
      </c>
      <c r="K3908" s="3" t="s">
        <v>74</v>
      </c>
    </row>
    <row r="3909" spans="1:11" ht="42" customHeight="1">
      <c r="A3909" s="2" t="s">
        <v>9669</v>
      </c>
      <c r="B3909" s="2" t="s">
        <v>9670</v>
      </c>
      <c r="C3909" s="2" t="s">
        <v>31</v>
      </c>
      <c r="D3909" s="2" t="s">
        <v>32</v>
      </c>
      <c r="E3909" s="5">
        <v>-30891</v>
      </c>
      <c r="F3909" s="3" t="s">
        <v>498</v>
      </c>
      <c r="G3909" s="3" t="s">
        <v>27</v>
      </c>
      <c r="H3909" s="2" t="s">
        <v>72</v>
      </c>
      <c r="I3909" s="2" t="s">
        <v>9671</v>
      </c>
      <c r="J3909" s="3" t="str">
        <f>HYPERLINK("https://www.boe.es/gazeta/dias/1815/06/03/pdfs/GMD-1815-67.pdf#page=6","Abrir facsímil")</f>
        <v>Abrir facsímil</v>
      </c>
      <c r="K3909" s="3" t="s">
        <v>74</v>
      </c>
    </row>
    <row r="3910" spans="1:11" ht="42" customHeight="1">
      <c r="A3910" s="2" t="s">
        <v>9672</v>
      </c>
      <c r="B3910" s="2" t="s">
        <v>9672</v>
      </c>
      <c r="C3910" s="2" t="s">
        <v>897</v>
      </c>
      <c r="D3910" s="2" t="s">
        <v>50</v>
      </c>
      <c r="E3910" s="5">
        <v>-30984</v>
      </c>
      <c r="F3910" s="3" t="s">
        <v>748</v>
      </c>
      <c r="G3910" s="3" t="s">
        <v>97</v>
      </c>
      <c r="H3910" s="2" t="s">
        <v>72</v>
      </c>
      <c r="I3910" s="2" t="s">
        <v>9673</v>
      </c>
      <c r="J3910" s="3" t="str">
        <f>HYPERLINK("https://www.boe.es/gazeta/dias/1815/03/02/pdfs/GMD-1815-26.pdf#page=3","Abrir facsímil")</f>
        <v>Abrir facsímil</v>
      </c>
      <c r="K3910" s="3" t="s">
        <v>74</v>
      </c>
    </row>
    <row r="3911" spans="1:11" ht="42" customHeight="1">
      <c r="A3911" s="2" t="s">
        <v>9674</v>
      </c>
      <c r="B3911" s="2" t="s">
        <v>9675</v>
      </c>
      <c r="C3911" s="2" t="s">
        <v>31</v>
      </c>
      <c r="D3911" s="2" t="s">
        <v>32</v>
      </c>
      <c r="E3911" s="5">
        <v>-30909</v>
      </c>
      <c r="F3911" s="3" t="s">
        <v>581</v>
      </c>
      <c r="G3911" s="3" t="s">
        <v>57</v>
      </c>
      <c r="H3911" s="2" t="s">
        <v>72</v>
      </c>
      <c r="I3911" s="2" t="s">
        <v>9676</v>
      </c>
      <c r="J3911" s="3" t="str">
        <f>HYPERLINK("https://www.boe.es/gazeta/dias/1815/05/16/pdfs/GMD-1815-59.pdf#page=5","Abrir facsímil")</f>
        <v>Abrir facsímil</v>
      </c>
      <c r="K3911" s="3" t="s">
        <v>74</v>
      </c>
    </row>
    <row r="3912" spans="1:11" ht="42" customHeight="1">
      <c r="A3912" s="2" t="s">
        <v>9677</v>
      </c>
      <c r="B3912" s="2" t="s">
        <v>9678</v>
      </c>
      <c r="C3912" s="2" t="s">
        <v>31</v>
      </c>
      <c r="D3912" s="2" t="s">
        <v>32</v>
      </c>
      <c r="E3912" s="5">
        <v>-30975</v>
      </c>
      <c r="F3912" s="3" t="s">
        <v>1194</v>
      </c>
      <c r="G3912" s="3" t="s">
        <v>71</v>
      </c>
      <c r="H3912" s="2" t="s">
        <v>21</v>
      </c>
      <c r="I3912" s="2" t="s">
        <v>9679</v>
      </c>
      <c r="J3912" s="3" t="str">
        <f>HYPERLINK("https://www.boe.es/gazeta/dias/1815/03/11/pdfs/GMD-1815-30.pdf#page=7","Abrir facsímil")</f>
        <v>Abrir facsímil</v>
      </c>
      <c r="K3912" s="3" t="s">
        <v>23</v>
      </c>
    </row>
    <row r="3913" spans="1:11" ht="42" customHeight="1">
      <c r="A3913" s="2" t="s">
        <v>9680</v>
      </c>
      <c r="B3913" s="2" t="s">
        <v>9681</v>
      </c>
      <c r="C3913" s="2" t="s">
        <v>195</v>
      </c>
      <c r="D3913" s="2" t="s">
        <v>50</v>
      </c>
      <c r="E3913" s="5">
        <v>-30949</v>
      </c>
      <c r="F3913" s="3" t="s">
        <v>420</v>
      </c>
      <c r="G3913" s="3" t="s">
        <v>27</v>
      </c>
      <c r="H3913" s="2" t="s">
        <v>21</v>
      </c>
      <c r="I3913" s="2" t="s">
        <v>9682</v>
      </c>
      <c r="J3913" s="3" t="str">
        <f>HYPERLINK("https://www.boe.es/gazeta/dias/1815/04/06/pdfs/GMD-1815-42.pdf#page=6","Abrir facsímil")</f>
        <v>Abrir facsímil</v>
      </c>
      <c r="K3913" s="3" t="s">
        <v>23</v>
      </c>
    </row>
    <row r="3914" spans="1:11" ht="42" customHeight="1">
      <c r="A3914" s="2" t="s">
        <v>9683</v>
      </c>
      <c r="B3914" s="2" t="s">
        <v>9684</v>
      </c>
      <c r="C3914" s="2" t="s">
        <v>17</v>
      </c>
      <c r="D3914" s="2" t="s">
        <v>18</v>
      </c>
      <c r="E3914" s="5">
        <v>-30874</v>
      </c>
      <c r="F3914" s="3" t="s">
        <v>208</v>
      </c>
      <c r="G3914" s="3" t="s">
        <v>52</v>
      </c>
      <c r="H3914" s="2" t="s">
        <v>72</v>
      </c>
      <c r="I3914" s="2" t="s">
        <v>9685</v>
      </c>
      <c r="J3914" s="3" t="str">
        <f>HYPERLINK("https://www.boe.es/gazeta/dias/1815/06/20/pdfs/GMD-1815-74.pdf#page=11","Abrir facsímil")</f>
        <v>Abrir facsímil</v>
      </c>
      <c r="K3914" s="3" t="s">
        <v>74</v>
      </c>
    </row>
    <row r="3915" spans="1:11" ht="42" customHeight="1">
      <c r="A3915" s="2" t="s">
        <v>9686</v>
      </c>
      <c r="B3915" s="2" t="s">
        <v>9687</v>
      </c>
      <c r="C3915" s="2" t="s">
        <v>49</v>
      </c>
      <c r="D3915" s="2" t="s">
        <v>50</v>
      </c>
      <c r="E3915" s="5">
        <v>-30818</v>
      </c>
      <c r="F3915" s="3" t="s">
        <v>334</v>
      </c>
      <c r="G3915" s="3" t="s">
        <v>224</v>
      </c>
      <c r="H3915" s="2" t="s">
        <v>72</v>
      </c>
      <c r="I3915" s="2" t="s">
        <v>9688</v>
      </c>
      <c r="J3915" s="3" t="str">
        <f>HYPERLINK("https://www.boe.es/gazeta/dias/1815/08/15/pdfs/GMD-1815-100.pdf#page=9","Abrir facsímil")</f>
        <v>Abrir facsímil</v>
      </c>
      <c r="K3915" s="3" t="s">
        <v>74</v>
      </c>
    </row>
    <row r="3916" spans="1:11" ht="42" customHeight="1">
      <c r="A3916" s="2" t="s">
        <v>9689</v>
      </c>
      <c r="B3916" s="2" t="s">
        <v>9690</v>
      </c>
      <c r="C3916" s="2" t="s">
        <v>195</v>
      </c>
      <c r="D3916" s="2" t="s">
        <v>50</v>
      </c>
      <c r="E3916" s="5">
        <v>-30872</v>
      </c>
      <c r="F3916" s="3" t="s">
        <v>167</v>
      </c>
      <c r="G3916" s="3" t="s">
        <v>2825</v>
      </c>
      <c r="H3916" s="2" t="s">
        <v>72</v>
      </c>
      <c r="I3916" s="2" t="s">
        <v>9691</v>
      </c>
      <c r="J3916" s="3" t="str">
        <f>HYPERLINK("https://www.boe.es/gazeta/dias/1815/06/22/pdfs/GMD-1815-75.pdf#page=10","Abrir facsímil")</f>
        <v>Abrir facsímil</v>
      </c>
      <c r="K3916" s="3" t="s">
        <v>74</v>
      </c>
    </row>
    <row r="3917" spans="1:11" ht="42" customHeight="1">
      <c r="A3917" s="2" t="s">
        <v>9692</v>
      </c>
      <c r="B3917" s="2" t="s">
        <v>9693</v>
      </c>
      <c r="C3917" s="2" t="s">
        <v>49</v>
      </c>
      <c r="D3917" s="2" t="s">
        <v>50</v>
      </c>
      <c r="E3917" s="5">
        <v>-30839</v>
      </c>
      <c r="F3917" s="3" t="s">
        <v>616</v>
      </c>
      <c r="G3917" s="3" t="s">
        <v>71</v>
      </c>
      <c r="H3917" s="2" t="s">
        <v>72</v>
      </c>
      <c r="I3917" s="2" t="s">
        <v>9694</v>
      </c>
      <c r="J3917" s="3" t="str">
        <f>HYPERLINK("https://www.boe.es/gazeta/dias/1815/07/25/pdfs/GMD-1815-91.pdf#page=7","Abrir facsímil")</f>
        <v>Abrir facsímil</v>
      </c>
      <c r="K3917" s="3" t="s">
        <v>74</v>
      </c>
    </row>
    <row r="3918" spans="1:11" ht="42" customHeight="1">
      <c r="A3918" s="2" t="s">
        <v>9695</v>
      </c>
      <c r="B3918" s="2" t="s">
        <v>9695</v>
      </c>
      <c r="C3918" s="2" t="s">
        <v>31</v>
      </c>
      <c r="D3918" s="2" t="s">
        <v>32</v>
      </c>
      <c r="E3918" s="5">
        <v>-30886</v>
      </c>
      <c r="F3918" s="3" t="s">
        <v>140</v>
      </c>
      <c r="G3918" s="3" t="s">
        <v>377</v>
      </c>
      <c r="H3918" s="2" t="s">
        <v>72</v>
      </c>
      <c r="I3918" s="2" t="s">
        <v>9696</v>
      </c>
      <c r="J3918" s="3" t="str">
        <f>HYPERLINK("https://www.boe.es/gazeta/dias/1815/06/08/pdfs/GMD-1815-69.pdf#page=2","Abrir facsímil")</f>
        <v>Abrir facsímil</v>
      </c>
      <c r="K3918" s="3" t="s">
        <v>74</v>
      </c>
    </row>
    <row r="3919" spans="1:11" ht="42" customHeight="1">
      <c r="A3919" s="2" t="s">
        <v>9695</v>
      </c>
      <c r="B3919" s="2" t="s">
        <v>9695</v>
      </c>
      <c r="C3919" s="2" t="s">
        <v>31</v>
      </c>
      <c r="D3919" s="2" t="s">
        <v>32</v>
      </c>
      <c r="E3919" s="5">
        <v>-30732</v>
      </c>
      <c r="F3919" s="3" t="s">
        <v>554</v>
      </c>
      <c r="G3919" s="3" t="s">
        <v>20</v>
      </c>
      <c r="H3919" s="2" t="s">
        <v>72</v>
      </c>
      <c r="I3919" s="2" t="s">
        <v>9697</v>
      </c>
      <c r="J3919" s="3" t="str">
        <f>HYPERLINK("https://www.boe.es/gazeta/dias/1815/11/09/pdfs/GMD-1815-140.pdf#page=4","Abrir facsímil")</f>
        <v>Abrir facsímil</v>
      </c>
      <c r="K3919" s="3" t="s">
        <v>74</v>
      </c>
    </row>
    <row r="3920" spans="1:11" ht="42" customHeight="1">
      <c r="A3920" s="2" t="s">
        <v>9698</v>
      </c>
      <c r="B3920" s="2" t="s">
        <v>9699</v>
      </c>
      <c r="C3920" s="2" t="s">
        <v>131</v>
      </c>
      <c r="D3920" s="2" t="s">
        <v>50</v>
      </c>
      <c r="E3920" s="5">
        <v>-31019</v>
      </c>
      <c r="F3920" s="3" t="s">
        <v>1094</v>
      </c>
      <c r="G3920" s="3" t="s">
        <v>52</v>
      </c>
      <c r="H3920" s="2" t="s">
        <v>72</v>
      </c>
      <c r="I3920" s="2" t="s">
        <v>9700</v>
      </c>
      <c r="J3920" s="3" t="str">
        <f>HYPERLINK("https://www.boe.es/gazeta/dias/1815/01/26/pdfs/GMD-1815-11.pdf#page=11","Abrir facsímil")</f>
        <v>Abrir facsímil</v>
      </c>
      <c r="K3920" s="3" t="s">
        <v>74</v>
      </c>
    </row>
    <row r="3921" spans="1:11" ht="42" customHeight="1">
      <c r="A3921" s="2" t="s">
        <v>9701</v>
      </c>
      <c r="B3921" s="2" t="s">
        <v>9702</v>
      </c>
      <c r="C3921" s="2" t="s">
        <v>195</v>
      </c>
      <c r="D3921" s="2" t="s">
        <v>50</v>
      </c>
      <c r="E3921" s="5">
        <v>-30888</v>
      </c>
      <c r="F3921" s="3" t="s">
        <v>368</v>
      </c>
      <c r="G3921" s="3" t="s">
        <v>224</v>
      </c>
      <c r="H3921" s="2" t="s">
        <v>72</v>
      </c>
      <c r="I3921" s="2" t="s">
        <v>9703</v>
      </c>
      <c r="J3921" s="3" t="str">
        <f>HYPERLINK("https://www.boe.es/gazeta/dias/1815/06/06/pdfs/GMD-1815-68.pdf#page=9","Abrir facsímil")</f>
        <v>Abrir facsímil</v>
      </c>
      <c r="K3921" s="3" t="s">
        <v>74</v>
      </c>
    </row>
    <row r="3922" spans="1:11" ht="42" customHeight="1">
      <c r="A3922" s="2" t="s">
        <v>9704</v>
      </c>
      <c r="B3922" s="2" t="s">
        <v>9705</v>
      </c>
      <c r="C3922" s="2" t="s">
        <v>49</v>
      </c>
      <c r="D3922" s="2" t="s">
        <v>50</v>
      </c>
      <c r="E3922" s="5">
        <v>-30870</v>
      </c>
      <c r="F3922" s="3" t="s">
        <v>122</v>
      </c>
      <c r="G3922" s="3" t="s">
        <v>88</v>
      </c>
      <c r="H3922" s="2" t="s">
        <v>72</v>
      </c>
      <c r="I3922" s="2" t="s">
        <v>9706</v>
      </c>
      <c r="J3922" s="3" t="str">
        <f>HYPERLINK("https://www.boe.es/gazeta/dias/1815/06/24/pdfs/GMD-1815-76.pdf#page=10","Abrir facsímil")</f>
        <v>Abrir facsímil</v>
      </c>
      <c r="K3922" s="3" t="s">
        <v>74</v>
      </c>
    </row>
    <row r="3923" spans="1:11" ht="42" customHeight="1">
      <c r="A3923" s="2" t="s">
        <v>9707</v>
      </c>
      <c r="B3923" s="2" t="s">
        <v>9708</v>
      </c>
      <c r="C3923" s="2" t="s">
        <v>31</v>
      </c>
      <c r="D3923" s="2" t="s">
        <v>32</v>
      </c>
      <c r="E3923" s="5">
        <v>-30891</v>
      </c>
      <c r="F3923" s="3" t="s">
        <v>498</v>
      </c>
      <c r="G3923" s="3" t="s">
        <v>71</v>
      </c>
      <c r="H3923" s="2" t="s">
        <v>72</v>
      </c>
      <c r="I3923" s="2" t="s">
        <v>9709</v>
      </c>
      <c r="J3923" s="3" t="str">
        <f>HYPERLINK("https://www.boe.es/gazeta/dias/1815/06/03/pdfs/GMD-1815-67.pdf#page=7","Abrir facsímil")</f>
        <v>Abrir facsímil</v>
      </c>
      <c r="K3923" s="3" t="s">
        <v>74</v>
      </c>
    </row>
    <row r="3924" spans="1:11" ht="42" customHeight="1">
      <c r="A3924" s="2" t="s">
        <v>9710</v>
      </c>
      <c r="B3924" s="2" t="s">
        <v>9711</v>
      </c>
      <c r="C3924" s="2" t="s">
        <v>195</v>
      </c>
      <c r="D3924" s="2" t="s">
        <v>50</v>
      </c>
      <c r="E3924" s="5">
        <v>-30888</v>
      </c>
      <c r="F3924" s="3" t="s">
        <v>368</v>
      </c>
      <c r="G3924" s="3" t="s">
        <v>88</v>
      </c>
      <c r="H3924" s="2" t="s">
        <v>72</v>
      </c>
      <c r="I3924" s="2" t="s">
        <v>9712</v>
      </c>
      <c r="J3924" s="3" t="str">
        <f>HYPERLINK("https://www.boe.es/gazeta/dias/1815/06/06/pdfs/GMD-1815-68.pdf#page=10","Abrir facsímil")</f>
        <v>Abrir facsímil</v>
      </c>
      <c r="K3924" s="3" t="s">
        <v>74</v>
      </c>
    </row>
    <row r="3925" spans="1:11" ht="42" customHeight="1">
      <c r="A3925" s="2" t="s">
        <v>9713</v>
      </c>
      <c r="B3925" s="2" t="s">
        <v>9713</v>
      </c>
      <c r="C3925" s="2" t="s">
        <v>31</v>
      </c>
      <c r="D3925" s="2" t="s">
        <v>32</v>
      </c>
      <c r="E3925" s="5">
        <v>-30860</v>
      </c>
      <c r="F3925" s="3" t="s">
        <v>184</v>
      </c>
      <c r="G3925" s="3" t="s">
        <v>97</v>
      </c>
      <c r="H3925" s="2" t="s">
        <v>72</v>
      </c>
      <c r="I3925" s="2" t="s">
        <v>9714</v>
      </c>
      <c r="J3925" s="3" t="str">
        <f>HYPERLINK("https://www.boe.es/gazeta/dias/1815/07/04/pdfs/GMD-1815-81.pdf#page=3","Abrir facsímil")</f>
        <v>Abrir facsímil</v>
      </c>
      <c r="K3925" s="3" t="s">
        <v>74</v>
      </c>
    </row>
    <row r="3926" spans="1:11" ht="42" customHeight="1">
      <c r="A3926" s="2" t="s">
        <v>9715</v>
      </c>
      <c r="B3926" s="2" t="s">
        <v>9716</v>
      </c>
      <c r="C3926" s="2" t="s">
        <v>49</v>
      </c>
      <c r="D3926" s="2" t="s">
        <v>50</v>
      </c>
      <c r="E3926" s="5">
        <v>-30870</v>
      </c>
      <c r="F3926" s="3" t="s">
        <v>122</v>
      </c>
      <c r="G3926" s="3" t="s">
        <v>88</v>
      </c>
      <c r="H3926" s="2" t="s">
        <v>72</v>
      </c>
      <c r="I3926" s="2" t="s">
        <v>9717</v>
      </c>
      <c r="J3926" s="3" t="str">
        <f>HYPERLINK("https://www.boe.es/gazeta/dias/1815/06/24/pdfs/GMD-1815-76.pdf#page=10","Abrir facsímil")</f>
        <v>Abrir facsímil</v>
      </c>
      <c r="K3926" s="3" t="s">
        <v>74</v>
      </c>
    </row>
    <row r="3927" spans="1:11" ht="42" customHeight="1">
      <c r="A3927" s="2" t="s">
        <v>9718</v>
      </c>
      <c r="B3927" s="2" t="s">
        <v>9719</v>
      </c>
      <c r="C3927" s="2" t="s">
        <v>61</v>
      </c>
      <c r="D3927" s="2" t="s">
        <v>50</v>
      </c>
      <c r="E3927" s="5">
        <v>-30958</v>
      </c>
      <c r="F3927" s="3" t="s">
        <v>297</v>
      </c>
      <c r="G3927" s="3" t="s">
        <v>38</v>
      </c>
      <c r="H3927" s="2" t="s">
        <v>72</v>
      </c>
      <c r="I3927" s="2" t="s">
        <v>9720</v>
      </c>
      <c r="J3927" s="3" t="str">
        <f>HYPERLINK("https://www.boe.es/gazeta/dias/1815/03/28/pdfs/GMD-1815-37.pdf#page=8","Abrir facsímil")</f>
        <v>Abrir facsímil</v>
      </c>
      <c r="K3927" s="3" t="s">
        <v>74</v>
      </c>
    </row>
    <row r="3928" spans="1:11" ht="42" customHeight="1">
      <c r="A3928" s="2" t="s">
        <v>9721</v>
      </c>
      <c r="B3928" s="2" t="s">
        <v>9722</v>
      </c>
      <c r="C3928" s="2" t="s">
        <v>31</v>
      </c>
      <c r="D3928" s="2" t="s">
        <v>179</v>
      </c>
      <c r="E3928" s="5">
        <v>-30773</v>
      </c>
      <c r="F3928" s="3" t="s">
        <v>6571</v>
      </c>
      <c r="G3928" s="3" t="s">
        <v>410</v>
      </c>
      <c r="H3928" s="2" t="s">
        <v>72</v>
      </c>
      <c r="I3928" s="2" t="s">
        <v>9723</v>
      </c>
      <c r="J3928" s="3" t="str">
        <f>HYPERLINK("https://www.boe.es/gazeta/dias/1815/09/29/pdfs/GMD-1815-122E.pdf#page=1","Abrir facsímil")</f>
        <v>Abrir facsímil</v>
      </c>
      <c r="K3928" s="3" t="s">
        <v>74</v>
      </c>
    </row>
    <row r="3929" spans="1:11" ht="42" customHeight="1">
      <c r="A3929" s="2" t="s">
        <v>9724</v>
      </c>
      <c r="B3929" s="2" t="s">
        <v>9725</v>
      </c>
      <c r="C3929" s="2" t="s">
        <v>49</v>
      </c>
      <c r="D3929" s="2" t="s">
        <v>50</v>
      </c>
      <c r="E3929" s="5">
        <v>-31040</v>
      </c>
      <c r="F3929" s="3" t="s">
        <v>326</v>
      </c>
      <c r="G3929" s="3" t="s">
        <v>27</v>
      </c>
      <c r="H3929" s="2" t="s">
        <v>72</v>
      </c>
      <c r="I3929" s="2" t="s">
        <v>9726</v>
      </c>
      <c r="J3929" s="3" t="str">
        <f>HYPERLINK("https://www.boe.es/gazeta/dias/1815/01/05/pdfs/GMD-1815-2.pdf#page=6","Abrir facsímil")</f>
        <v>Abrir facsímil</v>
      </c>
      <c r="K3929" s="3" t="s">
        <v>74</v>
      </c>
    </row>
    <row r="3930" spans="1:11" ht="42" customHeight="1">
      <c r="A3930" s="2" t="s">
        <v>9727</v>
      </c>
      <c r="B3930" s="2" t="s">
        <v>9728</v>
      </c>
      <c r="C3930" s="2" t="s">
        <v>49</v>
      </c>
      <c r="D3930" s="2" t="s">
        <v>50</v>
      </c>
      <c r="E3930" s="5">
        <v>-30835</v>
      </c>
      <c r="F3930" s="3" t="s">
        <v>544</v>
      </c>
      <c r="G3930" s="3" t="s">
        <v>224</v>
      </c>
      <c r="H3930" s="2" t="s">
        <v>21</v>
      </c>
      <c r="I3930" s="2" t="s">
        <v>9729</v>
      </c>
      <c r="J3930" s="3" t="str">
        <f>HYPERLINK("https://www.boe.es/gazeta/dias/1815/07/29/pdfs/GMD-1815-93.pdf#page=9","Abrir facsímil")</f>
        <v>Abrir facsímil</v>
      </c>
      <c r="K3930" s="3" t="s">
        <v>23</v>
      </c>
    </row>
    <row r="3931" spans="1:11" ht="42" customHeight="1">
      <c r="A3931" s="2" t="s">
        <v>9730</v>
      </c>
      <c r="B3931" s="2" t="s">
        <v>9731</v>
      </c>
      <c r="C3931" s="2" t="s">
        <v>195</v>
      </c>
      <c r="D3931" s="2" t="s">
        <v>50</v>
      </c>
      <c r="E3931" s="5">
        <v>-30879</v>
      </c>
      <c r="F3931" s="3" t="s">
        <v>754</v>
      </c>
      <c r="G3931" s="3" t="s">
        <v>88</v>
      </c>
      <c r="H3931" s="2" t="s">
        <v>72</v>
      </c>
      <c r="I3931" s="2" t="s">
        <v>9732</v>
      </c>
      <c r="J3931" s="3" t="str">
        <f>HYPERLINK("https://www.boe.es/gazeta/dias/1815/06/15/pdfs/GMD-1815-72.pdf#page=10","Abrir facsímil")</f>
        <v>Abrir facsímil</v>
      </c>
      <c r="K3931" s="3" t="s">
        <v>74</v>
      </c>
    </row>
    <row r="3932" spans="1:11" ht="42" customHeight="1">
      <c r="A3932" s="2" t="s">
        <v>9733</v>
      </c>
      <c r="B3932" s="2" t="s">
        <v>9734</v>
      </c>
      <c r="C3932" s="2" t="s">
        <v>49</v>
      </c>
      <c r="D3932" s="2" t="s">
        <v>50</v>
      </c>
      <c r="E3932" s="5">
        <v>-30886</v>
      </c>
      <c r="F3932" s="3" t="s">
        <v>140</v>
      </c>
      <c r="G3932" s="3" t="s">
        <v>224</v>
      </c>
      <c r="H3932" s="2" t="s">
        <v>72</v>
      </c>
      <c r="I3932" s="2" t="s">
        <v>9735</v>
      </c>
      <c r="J3932" s="3" t="str">
        <f>HYPERLINK("https://www.boe.es/gazeta/dias/1815/06/08/pdfs/GMD-1815-69.pdf#page=9","Abrir facsímil")</f>
        <v>Abrir facsímil</v>
      </c>
      <c r="K3932" s="3" t="s">
        <v>74</v>
      </c>
    </row>
    <row r="3933" spans="1:11" ht="42" customHeight="1">
      <c r="A3933" s="2" t="s">
        <v>9736</v>
      </c>
      <c r="B3933" s="2" t="s">
        <v>9737</v>
      </c>
      <c r="C3933" s="2" t="s">
        <v>31</v>
      </c>
      <c r="D3933" s="2" t="s">
        <v>32</v>
      </c>
      <c r="E3933" s="5">
        <v>-30958</v>
      </c>
      <c r="F3933" s="3" t="s">
        <v>297</v>
      </c>
      <c r="G3933" s="3" t="s">
        <v>71</v>
      </c>
      <c r="H3933" s="2" t="s">
        <v>72</v>
      </c>
      <c r="I3933" s="2" t="s">
        <v>9738</v>
      </c>
      <c r="J3933" s="3" t="str">
        <f>HYPERLINK("https://www.boe.es/gazeta/dias/1815/03/28/pdfs/GMD-1815-37.pdf#page=7","Abrir facsímil")</f>
        <v>Abrir facsímil</v>
      </c>
      <c r="K3933" s="3" t="s">
        <v>74</v>
      </c>
    </row>
    <row r="3934" spans="1:11" ht="42" customHeight="1">
      <c r="A3934" s="2" t="s">
        <v>9739</v>
      </c>
      <c r="B3934" s="2" t="s">
        <v>9740</v>
      </c>
      <c r="C3934" s="2" t="s">
        <v>31</v>
      </c>
      <c r="D3934" s="2" t="s">
        <v>32</v>
      </c>
      <c r="E3934" s="5">
        <v>-31024</v>
      </c>
      <c r="F3934" s="3" t="s">
        <v>101</v>
      </c>
      <c r="G3934" s="3" t="s">
        <v>71</v>
      </c>
      <c r="H3934" s="2" t="s">
        <v>72</v>
      </c>
      <c r="I3934" s="2" t="s">
        <v>9741</v>
      </c>
      <c r="J3934" s="3" t="str">
        <f>HYPERLINK("https://www.boe.es/gazeta/dias/1815/01/21/pdfs/GMD-1815-9.pdf#page=7","Abrir facsímil")</f>
        <v>Abrir facsímil</v>
      </c>
      <c r="K3934" s="3" t="s">
        <v>74</v>
      </c>
    </row>
    <row r="3935" spans="1:11" ht="42" customHeight="1">
      <c r="A3935" s="2" t="s">
        <v>9742</v>
      </c>
      <c r="B3935" s="2" t="s">
        <v>9743</v>
      </c>
      <c r="C3935" s="2" t="s">
        <v>17</v>
      </c>
      <c r="D3935" s="2" t="s">
        <v>18</v>
      </c>
      <c r="E3935" s="5">
        <v>-30781</v>
      </c>
      <c r="F3935" s="3" t="s">
        <v>685</v>
      </c>
      <c r="G3935" s="3" t="s">
        <v>71</v>
      </c>
      <c r="H3935" s="2" t="s">
        <v>72</v>
      </c>
      <c r="I3935" s="2" t="s">
        <v>9744</v>
      </c>
      <c r="J3935" s="3" t="str">
        <f>HYPERLINK("https://www.boe.es/gazeta/dias/1815/09/21/pdfs/GMD-1815-117.pdf#page=7","Abrir facsímil")</f>
        <v>Abrir facsímil</v>
      </c>
      <c r="K3935" s="3" t="s">
        <v>74</v>
      </c>
    </row>
    <row r="3936" spans="1:11" ht="42" customHeight="1">
      <c r="A3936" s="2" t="s">
        <v>9745</v>
      </c>
      <c r="B3936" s="2" t="s">
        <v>9746</v>
      </c>
      <c r="C3936" s="2" t="s">
        <v>31</v>
      </c>
      <c r="D3936" s="2" t="s">
        <v>32</v>
      </c>
      <c r="E3936" s="5">
        <v>-30716</v>
      </c>
      <c r="F3936" s="3" t="s">
        <v>589</v>
      </c>
      <c r="G3936" s="3" t="s">
        <v>27</v>
      </c>
      <c r="H3936" s="2" t="s">
        <v>72</v>
      </c>
      <c r="I3936" s="2" t="s">
        <v>9747</v>
      </c>
      <c r="J3936" s="3" t="str">
        <f>HYPERLINK("https://www.boe.es/gazeta/dias/1815/11/25/pdfs/GMD-1815-147.pdf#page=6","Abrir facsímil")</f>
        <v>Abrir facsímil</v>
      </c>
      <c r="K3936" s="3" t="s">
        <v>74</v>
      </c>
    </row>
    <row r="3937" spans="1:11" ht="42" customHeight="1">
      <c r="A3937" s="2" t="s">
        <v>9748</v>
      </c>
      <c r="B3937" s="2" t="s">
        <v>9749</v>
      </c>
      <c r="C3937" s="2" t="s">
        <v>49</v>
      </c>
      <c r="D3937" s="2" t="s">
        <v>50</v>
      </c>
      <c r="E3937" s="5">
        <v>-30760</v>
      </c>
      <c r="F3937" s="3" t="s">
        <v>349</v>
      </c>
      <c r="G3937" s="3" t="s">
        <v>71</v>
      </c>
      <c r="H3937" s="2" t="s">
        <v>72</v>
      </c>
      <c r="I3937" s="2" t="s">
        <v>9750</v>
      </c>
      <c r="J3937" s="3" t="str">
        <f>HYPERLINK("https://www.boe.es/gazeta/dias/1815/10/12/pdfs/GMD-1815-128.pdf#page=7","Abrir facsímil")</f>
        <v>Abrir facsímil</v>
      </c>
      <c r="K3937" s="3" t="s">
        <v>74</v>
      </c>
    </row>
    <row r="3938" spans="1:11" ht="42" customHeight="1">
      <c r="A3938" s="2" t="s">
        <v>9751</v>
      </c>
      <c r="B3938" s="2" t="s">
        <v>9752</v>
      </c>
      <c r="C3938" s="2" t="s">
        <v>17</v>
      </c>
      <c r="D3938" s="2" t="s">
        <v>18</v>
      </c>
      <c r="E3938" s="5">
        <v>-30944</v>
      </c>
      <c r="F3938" s="3" t="s">
        <v>412</v>
      </c>
      <c r="G3938" s="3" t="s">
        <v>38</v>
      </c>
      <c r="H3938" s="2" t="s">
        <v>72</v>
      </c>
      <c r="I3938" s="2" t="s">
        <v>9753</v>
      </c>
      <c r="J3938" s="3" t="str">
        <f>HYPERLINK("https://www.boe.es/gazeta/dias/1815/04/11/pdfs/GMD-1815-44.pdf#page=8","Abrir facsímil")</f>
        <v>Abrir facsímil</v>
      </c>
      <c r="K3938" s="3" t="s">
        <v>74</v>
      </c>
    </row>
    <row r="3939" spans="1:11" ht="42" customHeight="1">
      <c r="A3939" s="2" t="s">
        <v>9754</v>
      </c>
      <c r="B3939" s="2" t="s">
        <v>9755</v>
      </c>
      <c r="C3939" s="2" t="s">
        <v>49</v>
      </c>
      <c r="D3939" s="2" t="s">
        <v>50</v>
      </c>
      <c r="E3939" s="5">
        <v>-30893</v>
      </c>
      <c r="F3939" s="3" t="s">
        <v>132</v>
      </c>
      <c r="G3939" s="3" t="s">
        <v>155</v>
      </c>
      <c r="H3939" s="2" t="s">
        <v>72</v>
      </c>
      <c r="I3939" s="2" t="s">
        <v>9756</v>
      </c>
      <c r="J3939" s="3" t="str">
        <f>HYPERLINK("https://www.boe.es/gazeta/dias/1815/06/01/pdfs/GMD-1815-66.pdf#page=6","Abrir facsímil")</f>
        <v>Abrir facsímil</v>
      </c>
      <c r="K3939" s="3" t="s">
        <v>74</v>
      </c>
    </row>
    <row r="3940" spans="1:11" ht="42" customHeight="1">
      <c r="A3940" s="2" t="s">
        <v>9757</v>
      </c>
      <c r="B3940" s="2" t="s">
        <v>9758</v>
      </c>
      <c r="C3940" s="2" t="s">
        <v>49</v>
      </c>
      <c r="D3940" s="2" t="s">
        <v>50</v>
      </c>
      <c r="E3940" s="5">
        <v>-31038</v>
      </c>
      <c r="F3940" s="3" t="s">
        <v>395</v>
      </c>
      <c r="G3940" s="3" t="s">
        <v>396</v>
      </c>
      <c r="H3940" s="2" t="s">
        <v>72</v>
      </c>
      <c r="I3940" s="2" t="s">
        <v>9759</v>
      </c>
      <c r="J3940" s="3" t="str">
        <f>HYPERLINK("https://www.boe.es/gazeta/dias/1815/01/07/pdfs/GMD-1815-3.pdf#page=5","Abrir facsímil")</f>
        <v>Abrir facsímil</v>
      </c>
      <c r="K3940" s="3" t="s">
        <v>74</v>
      </c>
    </row>
    <row r="3941" spans="1:11" ht="42" customHeight="1">
      <c r="A3941" s="2" t="s">
        <v>9760</v>
      </c>
      <c r="B3941" s="2" t="s">
        <v>9760</v>
      </c>
      <c r="C3941" s="2" t="s">
        <v>31</v>
      </c>
      <c r="D3941" s="2" t="s">
        <v>32</v>
      </c>
      <c r="E3941" s="5">
        <v>-30933</v>
      </c>
      <c r="F3941" s="3" t="s">
        <v>725</v>
      </c>
      <c r="G3941" s="3" t="s">
        <v>27</v>
      </c>
      <c r="H3941" s="2" t="s">
        <v>72</v>
      </c>
      <c r="I3941" s="2" t="s">
        <v>9761</v>
      </c>
      <c r="J3941" s="3" t="str">
        <f>HYPERLINK("https://www.boe.es/gazeta/dias/1815/04/22/pdfs/GMD-1815-49.pdf#page=6","Abrir facsímil")</f>
        <v>Abrir facsímil</v>
      </c>
      <c r="K3941" s="3" t="s">
        <v>74</v>
      </c>
    </row>
    <row r="3942" spans="1:11" ht="42" customHeight="1">
      <c r="A3942" s="2" t="s">
        <v>9762</v>
      </c>
      <c r="B3942" s="2" t="s">
        <v>9763</v>
      </c>
      <c r="C3942" s="2" t="s">
        <v>31</v>
      </c>
      <c r="D3942" s="2" t="s">
        <v>32</v>
      </c>
      <c r="E3942" s="5">
        <v>-30697</v>
      </c>
      <c r="F3942" s="3" t="s">
        <v>381</v>
      </c>
      <c r="G3942" s="3" t="s">
        <v>1556</v>
      </c>
      <c r="H3942" s="2" t="s">
        <v>72</v>
      </c>
      <c r="I3942" s="2" t="s">
        <v>9764</v>
      </c>
      <c r="J3942" s="3" t="str">
        <f>HYPERLINK("https://www.boe.es/gazeta/dias/1815/12/14/pdfs/GMD-1815-155.pdf#page=8","Abrir facsímil")</f>
        <v>Abrir facsímil</v>
      </c>
      <c r="K3942" s="3" t="s">
        <v>74</v>
      </c>
    </row>
    <row r="3943" spans="1:11" ht="42" customHeight="1">
      <c r="A3943" s="2" t="s">
        <v>9765</v>
      </c>
      <c r="B3943" s="2" t="s">
        <v>9766</v>
      </c>
      <c r="C3943" s="2" t="s">
        <v>17</v>
      </c>
      <c r="D3943" s="2" t="s">
        <v>18</v>
      </c>
      <c r="E3943" s="5">
        <v>-31035</v>
      </c>
      <c r="F3943" s="3" t="s">
        <v>42</v>
      </c>
      <c r="G3943" s="3" t="s">
        <v>20</v>
      </c>
      <c r="H3943" s="2" t="s">
        <v>72</v>
      </c>
      <c r="I3943" s="2" t="s">
        <v>9767</v>
      </c>
      <c r="J3943" s="3" t="str">
        <f>HYPERLINK("https://www.boe.es/gazeta/dias/1815/01/10/pdfs/GMD-1815-4.pdf#page=4","Abrir facsímil")</f>
        <v>Abrir facsímil</v>
      </c>
      <c r="K3943" s="3" t="s">
        <v>74</v>
      </c>
    </row>
    <row r="3944" spans="1:11" ht="42" customHeight="1">
      <c r="A3944" s="2" t="s">
        <v>9768</v>
      </c>
      <c r="B3944" s="2" t="s">
        <v>9769</v>
      </c>
      <c r="C3944" s="2" t="s">
        <v>49</v>
      </c>
      <c r="D3944" s="2" t="s">
        <v>50</v>
      </c>
      <c r="E3944" s="5">
        <v>-30832</v>
      </c>
      <c r="F3944" s="3" t="s">
        <v>266</v>
      </c>
      <c r="G3944" s="3" t="s">
        <v>224</v>
      </c>
      <c r="H3944" s="2" t="s">
        <v>21</v>
      </c>
      <c r="I3944" s="2" t="s">
        <v>9770</v>
      </c>
      <c r="J3944" s="3" t="str">
        <f>HYPERLINK("https://www.boe.es/gazeta/dias/1815/08/01/pdfs/GMD-1815-94.pdf#page=9","Abrir facsímil")</f>
        <v>Abrir facsímil</v>
      </c>
      <c r="K3944" s="3" t="s">
        <v>23</v>
      </c>
    </row>
    <row r="3945" spans="1:11" ht="42" customHeight="1">
      <c r="A3945" s="2" t="s">
        <v>9768</v>
      </c>
      <c r="B3945" s="2" t="s">
        <v>9769</v>
      </c>
      <c r="C3945" s="2" t="s">
        <v>49</v>
      </c>
      <c r="D3945" s="2" t="s">
        <v>50</v>
      </c>
      <c r="E3945" s="5">
        <v>-30830</v>
      </c>
      <c r="F3945" s="3" t="s">
        <v>33</v>
      </c>
      <c r="G3945" s="3" t="s">
        <v>52</v>
      </c>
      <c r="H3945" s="2" t="s">
        <v>21</v>
      </c>
      <c r="I3945" s="2" t="s">
        <v>9771</v>
      </c>
      <c r="J3945" s="3" t="str">
        <f>HYPERLINK("https://www.boe.es/gazeta/dias/1815/08/03/pdfs/GMD-1815-95.pdf#page=11","Abrir facsímil")</f>
        <v>Abrir facsímil</v>
      </c>
      <c r="K3945" s="3" t="s">
        <v>23</v>
      </c>
    </row>
    <row r="3946" spans="1:11" ht="42" customHeight="1">
      <c r="A3946" s="2" t="s">
        <v>9772</v>
      </c>
      <c r="B3946" s="2" t="s">
        <v>9773</v>
      </c>
      <c r="C3946" s="2" t="s">
        <v>195</v>
      </c>
      <c r="D3946" s="2" t="s">
        <v>50</v>
      </c>
      <c r="E3946" s="5">
        <v>-30923</v>
      </c>
      <c r="F3946" s="3" t="s">
        <v>524</v>
      </c>
      <c r="G3946" s="3" t="s">
        <v>1289</v>
      </c>
      <c r="H3946" s="2" t="s">
        <v>72</v>
      </c>
      <c r="I3946" s="2" t="s">
        <v>9774</v>
      </c>
      <c r="J3946" s="3" t="str">
        <f>HYPERLINK("https://www.boe.es/gazeta/dias/1815/05/02/pdfs/GMD-1815-53.pdf#page=11","Abrir facsímil")</f>
        <v>Abrir facsímil</v>
      </c>
      <c r="K3946" s="3" t="s">
        <v>74</v>
      </c>
    </row>
    <row r="3947" spans="1:11" ht="42" customHeight="1">
      <c r="A3947" s="2" t="s">
        <v>9775</v>
      </c>
      <c r="B3947" s="2" t="s">
        <v>9776</v>
      </c>
      <c r="C3947" s="2" t="s">
        <v>49</v>
      </c>
      <c r="D3947" s="2" t="s">
        <v>50</v>
      </c>
      <c r="E3947" s="5">
        <v>-30886</v>
      </c>
      <c r="F3947" s="3" t="s">
        <v>140</v>
      </c>
      <c r="G3947" s="3" t="s">
        <v>224</v>
      </c>
      <c r="H3947" s="2" t="s">
        <v>72</v>
      </c>
      <c r="I3947" s="2" t="s">
        <v>9777</v>
      </c>
      <c r="J3947" s="3" t="str">
        <f>HYPERLINK("https://www.boe.es/gazeta/dias/1815/06/08/pdfs/GMD-1815-69.pdf#page=9","Abrir facsímil")</f>
        <v>Abrir facsímil</v>
      </c>
      <c r="K3947" s="3" t="s">
        <v>74</v>
      </c>
    </row>
    <row r="3948" spans="1:11" ht="42" customHeight="1">
      <c r="A3948" s="2" t="s">
        <v>9778</v>
      </c>
      <c r="B3948" s="2" t="s">
        <v>9779</v>
      </c>
      <c r="C3948" s="2" t="s">
        <v>17</v>
      </c>
      <c r="D3948" s="2" t="s">
        <v>18</v>
      </c>
      <c r="E3948" s="5">
        <v>-30909</v>
      </c>
      <c r="F3948" s="3" t="s">
        <v>581</v>
      </c>
      <c r="G3948" s="3" t="s">
        <v>57</v>
      </c>
      <c r="H3948" s="2" t="s">
        <v>72</v>
      </c>
      <c r="I3948" s="2" t="s">
        <v>9780</v>
      </c>
      <c r="J3948" s="3" t="str">
        <f>HYPERLINK("https://www.boe.es/gazeta/dias/1815/05/16/pdfs/GMD-1815-59.pdf#page=5","Abrir facsímil")</f>
        <v>Abrir facsímil</v>
      </c>
      <c r="K3948" s="3" t="s">
        <v>74</v>
      </c>
    </row>
    <row r="3949" spans="1:11" ht="42" customHeight="1">
      <c r="A3949" s="2" t="s">
        <v>9781</v>
      </c>
      <c r="B3949" s="2" t="s">
        <v>9782</v>
      </c>
      <c r="C3949" s="2" t="s">
        <v>49</v>
      </c>
      <c r="D3949" s="2" t="s">
        <v>50</v>
      </c>
      <c r="E3949" s="5">
        <v>-30818</v>
      </c>
      <c r="F3949" s="3" t="s">
        <v>334</v>
      </c>
      <c r="G3949" s="3" t="s">
        <v>224</v>
      </c>
      <c r="H3949" s="2" t="s">
        <v>72</v>
      </c>
      <c r="I3949" s="2" t="s">
        <v>9783</v>
      </c>
      <c r="J3949" s="3" t="str">
        <f>HYPERLINK("https://www.boe.es/gazeta/dias/1815/08/15/pdfs/GMD-1815-100.pdf#page=9","Abrir facsímil")</f>
        <v>Abrir facsímil</v>
      </c>
      <c r="K3949" s="3" t="s">
        <v>74</v>
      </c>
    </row>
    <row r="3950" spans="1:11" ht="42" customHeight="1">
      <c r="A3950" s="2" t="s">
        <v>9784</v>
      </c>
      <c r="B3950" s="2" t="s">
        <v>9785</v>
      </c>
      <c r="C3950" s="2" t="s">
        <v>17</v>
      </c>
      <c r="D3950" s="2" t="s">
        <v>18</v>
      </c>
      <c r="E3950" s="5">
        <v>-30949</v>
      </c>
      <c r="F3950" s="3" t="s">
        <v>420</v>
      </c>
      <c r="G3950" s="3" t="s">
        <v>71</v>
      </c>
      <c r="H3950" s="2" t="s">
        <v>72</v>
      </c>
      <c r="I3950" s="2" t="s">
        <v>9786</v>
      </c>
      <c r="J3950" s="3" t="str">
        <f>HYPERLINK("https://www.boe.es/gazeta/dias/1815/04/06/pdfs/GMD-1815-42.pdf#page=7","Abrir facsímil")</f>
        <v>Abrir facsímil</v>
      </c>
      <c r="K3950" s="3" t="s">
        <v>74</v>
      </c>
    </row>
    <row r="3951" spans="1:11" ht="42" customHeight="1">
      <c r="A3951" s="2" t="s">
        <v>9787</v>
      </c>
      <c r="B3951" s="2" t="s">
        <v>9788</v>
      </c>
      <c r="C3951" s="2" t="s">
        <v>17</v>
      </c>
      <c r="D3951" s="2" t="s">
        <v>18</v>
      </c>
      <c r="E3951" s="5">
        <v>-30986</v>
      </c>
      <c r="F3951" s="3" t="s">
        <v>46</v>
      </c>
      <c r="G3951" s="3" t="s">
        <v>88</v>
      </c>
      <c r="H3951" s="2" t="s">
        <v>21</v>
      </c>
      <c r="I3951" s="2" t="s">
        <v>9789</v>
      </c>
      <c r="J3951" s="3" t="str">
        <f>HYPERLINK("https://www.boe.es/gazeta/dias/1815/02/28/pdfs/GMD-1815-25.pdf#page=10","Abrir facsímil")</f>
        <v>Abrir facsímil</v>
      </c>
      <c r="K3951" s="3" t="s">
        <v>23</v>
      </c>
    </row>
    <row r="3952" spans="1:11" ht="42" customHeight="1">
      <c r="A3952" s="2" t="s">
        <v>9790</v>
      </c>
      <c r="B3952" s="2" t="s">
        <v>9791</v>
      </c>
      <c r="C3952" s="2" t="s">
        <v>31</v>
      </c>
      <c r="D3952" s="2" t="s">
        <v>32</v>
      </c>
      <c r="E3952" s="5">
        <v>-30902</v>
      </c>
      <c r="F3952" s="3" t="s">
        <v>648</v>
      </c>
      <c r="G3952" s="3" t="s">
        <v>38</v>
      </c>
      <c r="H3952" s="2" t="s">
        <v>72</v>
      </c>
      <c r="I3952" s="2" t="s">
        <v>9792</v>
      </c>
      <c r="J3952" s="3" t="str">
        <f>HYPERLINK("https://www.boe.es/gazeta/dias/1815/05/23/pdfs/GMD-1815-62.pdf#page=8","Abrir facsímil")</f>
        <v>Abrir facsímil</v>
      </c>
      <c r="K3952" s="3" t="s">
        <v>74</v>
      </c>
    </row>
    <row r="3953" spans="1:11" ht="42" customHeight="1">
      <c r="A3953" s="2" t="s">
        <v>9793</v>
      </c>
      <c r="B3953" s="2" t="s">
        <v>9794</v>
      </c>
      <c r="C3953" s="2" t="s">
        <v>49</v>
      </c>
      <c r="D3953" s="2" t="s">
        <v>50</v>
      </c>
      <c r="E3953" s="5">
        <v>-30865</v>
      </c>
      <c r="F3953" s="3" t="s">
        <v>163</v>
      </c>
      <c r="G3953" s="3" t="s">
        <v>71</v>
      </c>
      <c r="H3953" s="2" t="s">
        <v>72</v>
      </c>
      <c r="I3953" s="2" t="s">
        <v>9795</v>
      </c>
      <c r="J3953" s="3" t="str">
        <f>HYPERLINK("https://www.boe.es/gazeta/dias/1815/06/29/pdfs/GMD-1815-78.pdf#page=7","Abrir facsímil")</f>
        <v>Abrir facsímil</v>
      </c>
      <c r="K3953" s="3" t="s">
        <v>74</v>
      </c>
    </row>
    <row r="3954" spans="1:11" ht="42" customHeight="1">
      <c r="A3954" s="2" t="s">
        <v>9796</v>
      </c>
      <c r="B3954" s="2" t="s">
        <v>9797</v>
      </c>
      <c r="C3954" s="2" t="s">
        <v>61</v>
      </c>
      <c r="D3954" s="2" t="s">
        <v>50</v>
      </c>
      <c r="E3954" s="5">
        <v>-30879</v>
      </c>
      <c r="F3954" s="3" t="s">
        <v>754</v>
      </c>
      <c r="G3954" s="3" t="s">
        <v>276</v>
      </c>
      <c r="H3954" s="2" t="s">
        <v>21</v>
      </c>
      <c r="I3954" s="2" t="s">
        <v>9798</v>
      </c>
      <c r="J3954" s="3" t="str">
        <f>HYPERLINK("https://www.boe.es/gazeta/dias/1815/06/15/pdfs/GMD-1815-72.pdf#page=12","Abrir facsímil")</f>
        <v>Abrir facsímil</v>
      </c>
      <c r="K3954" s="3" t="s">
        <v>23</v>
      </c>
    </row>
    <row r="3955" spans="1:11" ht="42" customHeight="1">
      <c r="A3955" s="2" t="s">
        <v>9799</v>
      </c>
      <c r="B3955" s="2" t="s">
        <v>9800</v>
      </c>
      <c r="C3955" s="2" t="s">
        <v>61</v>
      </c>
      <c r="D3955" s="2" t="s">
        <v>50</v>
      </c>
      <c r="E3955" s="5">
        <v>-31019</v>
      </c>
      <c r="F3955" s="3" t="s">
        <v>1094</v>
      </c>
      <c r="G3955" s="3" t="s">
        <v>276</v>
      </c>
      <c r="H3955" s="2" t="s">
        <v>21</v>
      </c>
      <c r="I3955" s="2" t="s">
        <v>9801</v>
      </c>
      <c r="J3955" s="3" t="str">
        <f>HYPERLINK("https://www.boe.es/gazeta/dias/1815/01/26/pdfs/GMD-1815-11.pdf#page=12","Abrir facsímil")</f>
        <v>Abrir facsímil</v>
      </c>
      <c r="K3955" s="3" t="s">
        <v>23</v>
      </c>
    </row>
    <row r="3956" spans="1:11" ht="42" customHeight="1">
      <c r="A3956" s="2" t="s">
        <v>9802</v>
      </c>
      <c r="B3956" s="2" t="s">
        <v>9803</v>
      </c>
      <c r="C3956" s="2" t="s">
        <v>17</v>
      </c>
      <c r="D3956" s="2" t="s">
        <v>18</v>
      </c>
      <c r="E3956" s="5">
        <v>-30944</v>
      </c>
      <c r="F3956" s="3" t="s">
        <v>412</v>
      </c>
      <c r="G3956" s="3" t="s">
        <v>71</v>
      </c>
      <c r="H3956" s="2" t="s">
        <v>72</v>
      </c>
      <c r="I3956" s="2" t="s">
        <v>9804</v>
      </c>
      <c r="J3956" s="3" t="str">
        <f>HYPERLINK("https://www.boe.es/gazeta/dias/1815/04/11/pdfs/GMD-1815-44.pdf#page=7","Abrir facsímil")</f>
        <v>Abrir facsímil</v>
      </c>
      <c r="K3956" s="3" t="s">
        <v>74</v>
      </c>
    </row>
    <row r="3957" spans="1:11" ht="42" customHeight="1">
      <c r="A3957" s="2" t="s">
        <v>9805</v>
      </c>
      <c r="B3957" s="2" t="s">
        <v>9805</v>
      </c>
      <c r="C3957" s="2" t="s">
        <v>31</v>
      </c>
      <c r="D3957" s="2" t="s">
        <v>32</v>
      </c>
      <c r="E3957" s="5">
        <v>-30849</v>
      </c>
      <c r="F3957" s="3" t="s">
        <v>501</v>
      </c>
      <c r="G3957" s="3" t="s">
        <v>88</v>
      </c>
      <c r="H3957" s="2" t="s">
        <v>72</v>
      </c>
      <c r="I3957" s="2" t="s">
        <v>9806</v>
      </c>
      <c r="J3957" s="3" t="str">
        <f>HYPERLINK("https://www.boe.es/gazeta/dias/1815/07/15/pdfs/GMD-1815-87.pdf#page=10","Abrir facsímil")</f>
        <v>Abrir facsímil</v>
      </c>
      <c r="K3957" s="3" t="s">
        <v>74</v>
      </c>
    </row>
    <row r="3958" spans="1:11" ht="42" customHeight="1">
      <c r="A3958" s="2" t="s">
        <v>9807</v>
      </c>
      <c r="B3958" s="2" t="s">
        <v>9807</v>
      </c>
      <c r="C3958" s="2" t="s">
        <v>31</v>
      </c>
      <c r="D3958" s="2" t="s">
        <v>32</v>
      </c>
      <c r="E3958" s="5">
        <v>-30898</v>
      </c>
      <c r="F3958" s="3" t="s">
        <v>212</v>
      </c>
      <c r="G3958" s="3" t="s">
        <v>97</v>
      </c>
      <c r="H3958" s="2" t="s">
        <v>72</v>
      </c>
      <c r="I3958" s="2" t="s">
        <v>9808</v>
      </c>
      <c r="J3958" s="3" t="str">
        <f>HYPERLINK("https://www.boe.es/gazeta/dias/1815/05/27/pdfs/GMD-1815-64.pdf#page=3","Abrir facsímil")</f>
        <v>Abrir facsímil</v>
      </c>
      <c r="K3958" s="3" t="s">
        <v>74</v>
      </c>
    </row>
    <row r="3959" spans="1:11" ht="42" customHeight="1">
      <c r="A3959" s="2" t="s">
        <v>9807</v>
      </c>
      <c r="B3959" s="2" t="s">
        <v>9807</v>
      </c>
      <c r="C3959" s="2" t="s">
        <v>31</v>
      </c>
      <c r="D3959" s="2" t="s">
        <v>179</v>
      </c>
      <c r="E3959" s="5">
        <v>-30860</v>
      </c>
      <c r="F3959" s="3" t="s">
        <v>180</v>
      </c>
      <c r="G3959" s="3" t="s">
        <v>20</v>
      </c>
      <c r="H3959" s="2" t="s">
        <v>72</v>
      </c>
      <c r="I3959" s="2" t="s">
        <v>9809</v>
      </c>
      <c r="J3959" s="3" t="str">
        <f>HYPERLINK("https://www.boe.es/gazeta/dias/1815/07/04/pdfs/GMD-1815-82E.pdf#page=4","Abrir facsímil")</f>
        <v>Abrir facsímil</v>
      </c>
      <c r="K3959" s="3" t="s">
        <v>74</v>
      </c>
    </row>
    <row r="3960" spans="1:11" ht="42" customHeight="1">
      <c r="A3960" s="2" t="s">
        <v>9810</v>
      </c>
      <c r="B3960" s="2" t="s">
        <v>9811</v>
      </c>
      <c r="C3960" s="2" t="s">
        <v>17</v>
      </c>
      <c r="D3960" s="2" t="s">
        <v>18</v>
      </c>
      <c r="E3960" s="5">
        <v>-30947</v>
      </c>
      <c r="F3960" s="3" t="s">
        <v>159</v>
      </c>
      <c r="G3960" s="3" t="s">
        <v>57</v>
      </c>
      <c r="H3960" s="2" t="s">
        <v>72</v>
      </c>
      <c r="I3960" s="2" t="s">
        <v>9812</v>
      </c>
      <c r="J3960" s="3" t="str">
        <f>HYPERLINK("https://www.boe.es/gazeta/dias/1815/04/08/pdfs/GMD-1815-43.pdf#page=5","Abrir facsímil")</f>
        <v>Abrir facsímil</v>
      </c>
      <c r="K3960" s="3" t="s">
        <v>74</v>
      </c>
    </row>
    <row r="3961" spans="1:11" ht="42" customHeight="1">
      <c r="A3961" s="2" t="s">
        <v>9813</v>
      </c>
      <c r="B3961" s="2" t="s">
        <v>9814</v>
      </c>
      <c r="C3961" s="2" t="s">
        <v>49</v>
      </c>
      <c r="D3961" s="2" t="s">
        <v>50</v>
      </c>
      <c r="E3961" s="5">
        <v>-30818</v>
      </c>
      <c r="F3961" s="3" t="s">
        <v>334</v>
      </c>
      <c r="G3961" s="3" t="s">
        <v>224</v>
      </c>
      <c r="H3961" s="2" t="s">
        <v>72</v>
      </c>
      <c r="I3961" s="2" t="s">
        <v>9815</v>
      </c>
      <c r="J3961" s="3" t="str">
        <f>HYPERLINK("https://www.boe.es/gazeta/dias/1815/08/15/pdfs/GMD-1815-100.pdf#page=9","Abrir facsímil")</f>
        <v>Abrir facsímil</v>
      </c>
      <c r="K3961" s="3" t="s">
        <v>74</v>
      </c>
    </row>
    <row r="3962" spans="1:11" ht="42" customHeight="1">
      <c r="A3962" s="2" t="s">
        <v>9816</v>
      </c>
      <c r="B3962" s="2" t="s">
        <v>9816</v>
      </c>
      <c r="C3962" s="2" t="s">
        <v>81</v>
      </c>
      <c r="D3962" s="2" t="s">
        <v>50</v>
      </c>
      <c r="E3962" s="5">
        <v>-30851</v>
      </c>
      <c r="F3962" s="3" t="s">
        <v>442</v>
      </c>
      <c r="G3962" s="3" t="s">
        <v>38</v>
      </c>
      <c r="H3962" s="2" t="s">
        <v>72</v>
      </c>
      <c r="I3962" s="2" t="s">
        <v>9817</v>
      </c>
      <c r="J3962" s="3" t="str">
        <f>HYPERLINK("https://www.boe.es/gazeta/dias/1815/07/13/pdfs/GMD-1815-86.pdf#page=8","Abrir facsímil")</f>
        <v>Abrir facsímil</v>
      </c>
      <c r="K3962" s="3" t="s">
        <v>74</v>
      </c>
    </row>
    <row r="3963" spans="1:11" ht="42" customHeight="1">
      <c r="A3963" s="2" t="s">
        <v>9818</v>
      </c>
      <c r="B3963" s="2" t="s">
        <v>9819</v>
      </c>
      <c r="C3963" s="2" t="s">
        <v>17</v>
      </c>
      <c r="D3963" s="2" t="s">
        <v>18</v>
      </c>
      <c r="E3963" s="5">
        <v>-30772</v>
      </c>
      <c r="F3963" s="3" t="s">
        <v>216</v>
      </c>
      <c r="G3963" s="3" t="s">
        <v>27</v>
      </c>
      <c r="H3963" s="2" t="s">
        <v>72</v>
      </c>
      <c r="I3963" s="2" t="s">
        <v>9820</v>
      </c>
      <c r="J3963" s="3" t="str">
        <f>HYPERLINK("https://www.boe.es/gazeta/dias/1815/09/30/pdfs/GMD-1815-123.pdf#page=6","Abrir facsímil")</f>
        <v>Abrir facsímil</v>
      </c>
      <c r="K3963" s="3" t="s">
        <v>74</v>
      </c>
    </row>
    <row r="3964" spans="1:11" ht="42" customHeight="1">
      <c r="A3964" s="2" t="s">
        <v>9821</v>
      </c>
      <c r="B3964" s="2" t="s">
        <v>9822</v>
      </c>
      <c r="C3964" s="2" t="s">
        <v>17</v>
      </c>
      <c r="D3964" s="2" t="s">
        <v>18</v>
      </c>
      <c r="E3964" s="5">
        <v>-30979</v>
      </c>
      <c r="F3964" s="3" t="s">
        <v>56</v>
      </c>
      <c r="G3964" s="3" t="s">
        <v>410</v>
      </c>
      <c r="H3964" s="2" t="s">
        <v>72</v>
      </c>
      <c r="I3964" s="2" t="s">
        <v>9823</v>
      </c>
      <c r="J3964" s="3" t="str">
        <f>HYPERLINK("https://www.boe.es/gazeta/dias/1815/03/07/pdfs/GMD-1815-28.pdf#page=1","Abrir facsímil")</f>
        <v>Abrir facsímil</v>
      </c>
      <c r="K3964" s="3" t="s">
        <v>74</v>
      </c>
    </row>
    <row r="3965" spans="1:11" ht="42" customHeight="1">
      <c r="A3965" s="2" t="s">
        <v>9824</v>
      </c>
      <c r="B3965" s="2" t="s">
        <v>9825</v>
      </c>
      <c r="C3965" s="2" t="s">
        <v>31</v>
      </c>
      <c r="D3965" s="2" t="s">
        <v>32</v>
      </c>
      <c r="E3965" s="5">
        <v>-30823</v>
      </c>
      <c r="F3965" s="3" t="s">
        <v>305</v>
      </c>
      <c r="G3965" s="3" t="s">
        <v>276</v>
      </c>
      <c r="H3965" s="2" t="s">
        <v>72</v>
      </c>
      <c r="I3965" s="2" t="s">
        <v>9826</v>
      </c>
      <c r="J3965" s="3" t="str">
        <f>HYPERLINK("https://www.boe.es/gazeta/dias/1815/08/10/pdfs/GMD-1815-98.pdf#page=12","Abrir facsímil")</f>
        <v>Abrir facsímil</v>
      </c>
      <c r="K3965" s="3" t="s">
        <v>74</v>
      </c>
    </row>
    <row r="3966" spans="1:11" ht="42" customHeight="1">
      <c r="A3966" s="2" t="s">
        <v>9827</v>
      </c>
      <c r="B3966" s="2" t="s">
        <v>9828</v>
      </c>
      <c r="C3966" s="2" t="s">
        <v>61</v>
      </c>
      <c r="D3966" s="2" t="s">
        <v>50</v>
      </c>
      <c r="E3966" s="5">
        <v>-30874</v>
      </c>
      <c r="F3966" s="3" t="s">
        <v>208</v>
      </c>
      <c r="G3966" s="3" t="s">
        <v>38</v>
      </c>
      <c r="H3966" s="2" t="s">
        <v>72</v>
      </c>
      <c r="I3966" s="2" t="s">
        <v>9829</v>
      </c>
      <c r="J3966" s="3" t="str">
        <f>HYPERLINK("https://www.boe.es/gazeta/dias/1815/06/20/pdfs/GMD-1815-74.pdf#page=8","Abrir facsímil")</f>
        <v>Abrir facsímil</v>
      </c>
      <c r="K3966" s="3" t="s">
        <v>74</v>
      </c>
    </row>
    <row r="3967" spans="1:11" ht="42" customHeight="1">
      <c r="A3967" s="2" t="s">
        <v>9830</v>
      </c>
      <c r="B3967" s="2" t="s">
        <v>9831</v>
      </c>
      <c r="C3967" s="2" t="s">
        <v>31</v>
      </c>
      <c r="D3967" s="2" t="s">
        <v>32</v>
      </c>
      <c r="E3967" s="5">
        <v>-31019</v>
      </c>
      <c r="F3967" s="3" t="s">
        <v>1094</v>
      </c>
      <c r="G3967" s="3" t="s">
        <v>52</v>
      </c>
      <c r="H3967" s="2" t="s">
        <v>72</v>
      </c>
      <c r="I3967" s="2" t="s">
        <v>9832</v>
      </c>
      <c r="J3967" s="3" t="str">
        <f>HYPERLINK("https://www.boe.es/gazeta/dias/1815/01/26/pdfs/GMD-1815-11.pdf#page=11","Abrir facsímil")</f>
        <v>Abrir facsímil</v>
      </c>
      <c r="K3967" s="3" t="s">
        <v>74</v>
      </c>
    </row>
    <row r="3968" spans="1:11" ht="42" customHeight="1">
      <c r="A3968" s="2" t="s">
        <v>9833</v>
      </c>
      <c r="B3968" s="2" t="s">
        <v>9834</v>
      </c>
      <c r="C3968" s="2" t="s">
        <v>61</v>
      </c>
      <c r="D3968" s="2" t="s">
        <v>50</v>
      </c>
      <c r="E3968" s="5">
        <v>-30716</v>
      </c>
      <c r="F3968" s="3" t="s">
        <v>589</v>
      </c>
      <c r="G3968" s="3" t="s">
        <v>71</v>
      </c>
      <c r="H3968" s="2" t="s">
        <v>72</v>
      </c>
      <c r="I3968" s="2" t="s">
        <v>9835</v>
      </c>
      <c r="J3968" s="3" t="str">
        <f>HYPERLINK("https://www.boe.es/gazeta/dias/1815/11/25/pdfs/GMD-1815-147.pdf#page=7","Abrir facsímil")</f>
        <v>Abrir facsímil</v>
      </c>
      <c r="K3968" s="3" t="s">
        <v>74</v>
      </c>
    </row>
    <row r="3969" spans="1:11" ht="42" customHeight="1">
      <c r="A3969" s="2" t="s">
        <v>9836</v>
      </c>
      <c r="B3969" s="2" t="s">
        <v>9837</v>
      </c>
      <c r="C3969" s="2" t="s">
        <v>49</v>
      </c>
      <c r="D3969" s="2" t="s">
        <v>50</v>
      </c>
      <c r="E3969" s="5">
        <v>-30758</v>
      </c>
      <c r="F3969" s="3" t="s">
        <v>1964</v>
      </c>
      <c r="G3969" s="3" t="s">
        <v>20</v>
      </c>
      <c r="H3969" s="2" t="s">
        <v>21</v>
      </c>
      <c r="I3969" s="2" t="s">
        <v>9838</v>
      </c>
      <c r="J3969" s="3" t="str">
        <f>HYPERLINK("https://www.boe.es/gazeta/dias/1815/10/14/pdfs/GMD-1815-129.pdf#page=4","Abrir facsímil")</f>
        <v>Abrir facsímil</v>
      </c>
      <c r="K3969" s="3" t="s">
        <v>23</v>
      </c>
    </row>
    <row r="3970" spans="1:11" ht="42" customHeight="1">
      <c r="A3970" s="2" t="s">
        <v>9839</v>
      </c>
      <c r="B3970" s="2" t="s">
        <v>9840</v>
      </c>
      <c r="C3970" s="2" t="s">
        <v>31</v>
      </c>
      <c r="D3970" s="2" t="s">
        <v>32</v>
      </c>
      <c r="E3970" s="5">
        <v>-30697</v>
      </c>
      <c r="F3970" s="3" t="s">
        <v>381</v>
      </c>
      <c r="G3970" s="3" t="s">
        <v>5896</v>
      </c>
      <c r="H3970" s="2" t="s">
        <v>72</v>
      </c>
      <c r="I3970" s="2" t="s">
        <v>9841</v>
      </c>
      <c r="J3970" s="3" t="str">
        <f>HYPERLINK("https://www.boe.es/gazeta/dias/1815/12/14/pdfs/GMD-1815-155.pdf#page=6","Abrir facsímil")</f>
        <v>Abrir facsímil</v>
      </c>
      <c r="K3970" s="3" t="s">
        <v>74</v>
      </c>
    </row>
    <row r="3971" spans="1:11" ht="42" customHeight="1">
      <c r="A3971" s="2" t="s">
        <v>9842</v>
      </c>
      <c r="B3971" s="2" t="s">
        <v>9843</v>
      </c>
      <c r="C3971" s="2" t="s">
        <v>195</v>
      </c>
      <c r="D3971" s="2" t="s">
        <v>50</v>
      </c>
      <c r="E3971" s="5">
        <v>-30818</v>
      </c>
      <c r="F3971" s="3" t="s">
        <v>334</v>
      </c>
      <c r="G3971" s="3" t="s">
        <v>52</v>
      </c>
      <c r="H3971" s="2" t="s">
        <v>72</v>
      </c>
      <c r="I3971" s="2" t="s">
        <v>9844</v>
      </c>
      <c r="J3971" s="3" t="str">
        <f>HYPERLINK("https://www.boe.es/gazeta/dias/1815/08/15/pdfs/GMD-1815-100.pdf#page=11","Abrir facsímil")</f>
        <v>Abrir facsímil</v>
      </c>
      <c r="K3971" s="3" t="s">
        <v>74</v>
      </c>
    </row>
    <row r="3972" spans="1:11" ht="42" customHeight="1">
      <c r="A3972" s="2" t="s">
        <v>9845</v>
      </c>
      <c r="B3972" s="2" t="s">
        <v>9846</v>
      </c>
      <c r="C3972" s="2" t="s">
        <v>49</v>
      </c>
      <c r="D3972" s="2" t="s">
        <v>50</v>
      </c>
      <c r="E3972" s="5">
        <v>-30818</v>
      </c>
      <c r="F3972" s="3" t="s">
        <v>334</v>
      </c>
      <c r="G3972" s="3" t="s">
        <v>224</v>
      </c>
      <c r="H3972" s="2" t="s">
        <v>72</v>
      </c>
      <c r="I3972" s="2" t="s">
        <v>9847</v>
      </c>
      <c r="J3972" s="3" t="str">
        <f>HYPERLINK("https://www.boe.es/gazeta/dias/1815/08/15/pdfs/GMD-1815-100.pdf#page=9","Abrir facsímil")</f>
        <v>Abrir facsímil</v>
      </c>
      <c r="K3972" s="3" t="s">
        <v>74</v>
      </c>
    </row>
    <row r="3973" spans="1:11" ht="42" customHeight="1">
      <c r="A3973" s="2" t="s">
        <v>9848</v>
      </c>
      <c r="B3973" s="2" t="s">
        <v>9849</v>
      </c>
      <c r="C3973" s="2" t="s">
        <v>31</v>
      </c>
      <c r="D3973" s="2" t="s">
        <v>32</v>
      </c>
      <c r="E3973" s="5">
        <v>-30958</v>
      </c>
      <c r="F3973" s="3" t="s">
        <v>297</v>
      </c>
      <c r="G3973" s="3" t="s">
        <v>27</v>
      </c>
      <c r="H3973" s="2" t="s">
        <v>72</v>
      </c>
      <c r="I3973" s="2" t="s">
        <v>9850</v>
      </c>
      <c r="J3973" s="3" t="str">
        <f>HYPERLINK("https://www.boe.es/gazeta/dias/1815/03/28/pdfs/GMD-1815-37.pdf#page=6","Abrir facsímil")</f>
        <v>Abrir facsímil</v>
      </c>
      <c r="K3973" s="3" t="s">
        <v>74</v>
      </c>
    </row>
    <row r="3974" spans="1:11" ht="42" customHeight="1">
      <c r="A3974" s="2" t="s">
        <v>9851</v>
      </c>
      <c r="B3974" s="2" t="s">
        <v>9852</v>
      </c>
      <c r="C3974" s="2" t="s">
        <v>49</v>
      </c>
      <c r="D3974" s="2" t="s">
        <v>50</v>
      </c>
      <c r="E3974" s="5">
        <v>-30865</v>
      </c>
      <c r="F3974" s="3" t="s">
        <v>163</v>
      </c>
      <c r="G3974" s="3" t="s">
        <v>27</v>
      </c>
      <c r="H3974" s="2" t="s">
        <v>72</v>
      </c>
      <c r="I3974" s="2" t="s">
        <v>9853</v>
      </c>
      <c r="J3974" s="3" t="str">
        <f>HYPERLINK("https://www.boe.es/gazeta/dias/1815/06/29/pdfs/GMD-1815-78.pdf#page=6","Abrir facsímil")</f>
        <v>Abrir facsímil</v>
      </c>
      <c r="K3974" s="3" t="s">
        <v>74</v>
      </c>
    </row>
    <row r="3975" spans="1:11" ht="42" customHeight="1">
      <c r="A3975" s="2" t="s">
        <v>9854</v>
      </c>
      <c r="B3975" s="2" t="s">
        <v>9855</v>
      </c>
      <c r="C3975" s="2" t="s">
        <v>17</v>
      </c>
      <c r="D3975" s="2" t="s">
        <v>18</v>
      </c>
      <c r="E3975" s="5">
        <v>-30982</v>
      </c>
      <c r="F3975" s="3" t="s">
        <v>220</v>
      </c>
      <c r="G3975" s="3" t="s">
        <v>57</v>
      </c>
      <c r="H3975" s="2" t="s">
        <v>72</v>
      </c>
      <c r="I3975" s="2" t="s">
        <v>9856</v>
      </c>
      <c r="J3975" s="3" t="str">
        <f>HYPERLINK("https://www.boe.es/gazeta/dias/1815/03/04/pdfs/GMD-1815-27.pdf#page=5","Abrir facsímil")</f>
        <v>Abrir facsímil</v>
      </c>
      <c r="K3975" s="3" t="s">
        <v>74</v>
      </c>
    </row>
    <row r="3976" spans="1:11" ht="42" customHeight="1">
      <c r="A3976" s="2" t="s">
        <v>9857</v>
      </c>
      <c r="B3976" s="2" t="s">
        <v>9858</v>
      </c>
      <c r="C3976" s="2" t="s">
        <v>49</v>
      </c>
      <c r="D3976" s="2" t="s">
        <v>50</v>
      </c>
      <c r="E3976" s="5">
        <v>-30870</v>
      </c>
      <c r="F3976" s="3" t="s">
        <v>122</v>
      </c>
      <c r="G3976" s="3" t="s">
        <v>88</v>
      </c>
      <c r="H3976" s="2" t="s">
        <v>72</v>
      </c>
      <c r="I3976" s="2" t="s">
        <v>9859</v>
      </c>
      <c r="J3976" s="3" t="str">
        <f>HYPERLINK("https://www.boe.es/gazeta/dias/1815/06/24/pdfs/GMD-1815-76.pdf#page=10","Abrir facsímil")</f>
        <v>Abrir facsímil</v>
      </c>
      <c r="K3976" s="3" t="s">
        <v>74</v>
      </c>
    </row>
    <row r="3977" spans="1:11" ht="42" customHeight="1">
      <c r="A3977" s="2" t="s">
        <v>9860</v>
      </c>
      <c r="B3977" s="2" t="s">
        <v>9860</v>
      </c>
      <c r="C3977" s="2" t="s">
        <v>31</v>
      </c>
      <c r="D3977" s="2" t="s">
        <v>32</v>
      </c>
      <c r="E3977" s="5">
        <v>-30818</v>
      </c>
      <c r="F3977" s="3" t="s">
        <v>334</v>
      </c>
      <c r="G3977" s="3" t="s">
        <v>410</v>
      </c>
      <c r="H3977" s="2" t="s">
        <v>72</v>
      </c>
      <c r="I3977" s="2" t="s">
        <v>9861</v>
      </c>
      <c r="J3977" s="3" t="str">
        <f>HYPERLINK("https://www.boe.es/gazeta/dias/1815/08/15/pdfs/GMD-1815-100.pdf#page=1","Abrir facsímil")</f>
        <v>Abrir facsímil</v>
      </c>
      <c r="K3977" s="3" t="s">
        <v>74</v>
      </c>
    </row>
    <row r="3978" spans="1:11" ht="42" customHeight="1">
      <c r="A3978" s="2" t="s">
        <v>9862</v>
      </c>
      <c r="B3978" s="2" t="s">
        <v>9862</v>
      </c>
      <c r="C3978" s="2" t="s">
        <v>31</v>
      </c>
      <c r="D3978" s="2" t="s">
        <v>32</v>
      </c>
      <c r="E3978" s="5">
        <v>-30849</v>
      </c>
      <c r="F3978" s="3" t="s">
        <v>501</v>
      </c>
      <c r="G3978" s="3" t="s">
        <v>88</v>
      </c>
      <c r="H3978" s="2" t="s">
        <v>72</v>
      </c>
      <c r="I3978" s="2" t="s">
        <v>9863</v>
      </c>
      <c r="J3978" s="3" t="str">
        <f>HYPERLINK("https://www.boe.es/gazeta/dias/1815/07/15/pdfs/GMD-1815-87.pdf#page=10","Abrir facsímil")</f>
        <v>Abrir facsímil</v>
      </c>
      <c r="K3978" s="3" t="s">
        <v>74</v>
      </c>
    </row>
    <row r="3979" spans="1:11" ht="42" customHeight="1">
      <c r="A3979" s="2" t="s">
        <v>9864</v>
      </c>
      <c r="B3979" s="2" t="s">
        <v>9865</v>
      </c>
      <c r="C3979" s="2" t="s">
        <v>31</v>
      </c>
      <c r="D3979" s="2" t="s">
        <v>32</v>
      </c>
      <c r="E3979" s="5">
        <v>-30863</v>
      </c>
      <c r="F3979" s="3" t="s">
        <v>110</v>
      </c>
      <c r="G3979" s="3" t="s">
        <v>88</v>
      </c>
      <c r="H3979" s="2" t="s">
        <v>72</v>
      </c>
      <c r="I3979" s="2" t="s">
        <v>9866</v>
      </c>
      <c r="J3979" s="3" t="str">
        <f>HYPERLINK("https://www.boe.es/gazeta/dias/1815/07/01/pdfs/GMD-1815-79.pdf#page=10","Abrir facsímil")</f>
        <v>Abrir facsímil</v>
      </c>
      <c r="K3979" s="3" t="s">
        <v>74</v>
      </c>
    </row>
    <row r="3980" spans="1:11" ht="42" customHeight="1">
      <c r="A3980" s="2" t="s">
        <v>9867</v>
      </c>
      <c r="B3980" s="2" t="s">
        <v>9868</v>
      </c>
      <c r="C3980" s="2" t="s">
        <v>897</v>
      </c>
      <c r="D3980" s="2" t="s">
        <v>50</v>
      </c>
      <c r="E3980" s="5">
        <v>-30907</v>
      </c>
      <c r="F3980" s="3" t="s">
        <v>301</v>
      </c>
      <c r="G3980" s="3" t="s">
        <v>3011</v>
      </c>
      <c r="H3980" s="2" t="s">
        <v>72</v>
      </c>
      <c r="I3980" s="2" t="s">
        <v>9869</v>
      </c>
      <c r="J3980" s="3" t="str">
        <f>HYPERLINK("https://www.boe.es/gazeta/dias/1815/05/18/pdfs/GMD-1815-60.pdf#page=8","Abrir facsímil")</f>
        <v>Abrir facsímil</v>
      </c>
      <c r="K3980" s="3" t="s">
        <v>74</v>
      </c>
    </row>
    <row r="3981" spans="1:11" ht="42" customHeight="1">
      <c r="A3981" s="2" t="s">
        <v>9870</v>
      </c>
      <c r="B3981" s="2" t="s">
        <v>9871</v>
      </c>
      <c r="C3981" s="2" t="s">
        <v>49</v>
      </c>
      <c r="D3981" s="2" t="s">
        <v>50</v>
      </c>
      <c r="E3981" s="5">
        <v>-30818</v>
      </c>
      <c r="F3981" s="3" t="s">
        <v>334</v>
      </c>
      <c r="G3981" s="3" t="s">
        <v>276</v>
      </c>
      <c r="H3981" s="2" t="s">
        <v>72</v>
      </c>
      <c r="I3981" s="2" t="s">
        <v>9872</v>
      </c>
      <c r="J3981" s="3" t="str">
        <f>HYPERLINK("https://www.boe.es/gazeta/dias/1815/08/15/pdfs/GMD-1815-100.pdf#page=12","Abrir facsímil")</f>
        <v>Abrir facsímil</v>
      </c>
      <c r="K3981" s="3" t="s">
        <v>74</v>
      </c>
    </row>
    <row r="3982" spans="1:11" ht="42" customHeight="1">
      <c r="A3982" s="2" t="s">
        <v>9873</v>
      </c>
      <c r="B3982" s="2" t="s">
        <v>9874</v>
      </c>
      <c r="C3982" s="2" t="s">
        <v>31</v>
      </c>
      <c r="D3982" s="2" t="s">
        <v>32</v>
      </c>
      <c r="E3982" s="5">
        <v>-30793</v>
      </c>
      <c r="F3982" s="3" t="s">
        <v>1704</v>
      </c>
      <c r="G3982" s="3" t="s">
        <v>38</v>
      </c>
      <c r="H3982" s="2" t="s">
        <v>72</v>
      </c>
      <c r="I3982" s="2" t="s">
        <v>9875</v>
      </c>
      <c r="J3982" s="3" t="str">
        <f>HYPERLINK("https://www.boe.es/gazeta/dias/1815/09/09/pdfs/GMD-1815-112.pdf#page=8","Abrir facsímil")</f>
        <v>Abrir facsímil</v>
      </c>
      <c r="K3982" s="3" t="s">
        <v>74</v>
      </c>
    </row>
    <row r="3983" spans="1:11" ht="42" customHeight="1">
      <c r="A3983" s="2" t="s">
        <v>9876</v>
      </c>
      <c r="B3983" s="2" t="s">
        <v>9877</v>
      </c>
      <c r="C3983" s="2" t="s">
        <v>49</v>
      </c>
      <c r="D3983" s="2" t="s">
        <v>50</v>
      </c>
      <c r="E3983" s="5">
        <v>-30720</v>
      </c>
      <c r="F3983" s="3" t="s">
        <v>373</v>
      </c>
      <c r="G3983" s="3" t="s">
        <v>88</v>
      </c>
      <c r="H3983" s="2" t="s">
        <v>72</v>
      </c>
      <c r="I3983" s="2" t="s">
        <v>9878</v>
      </c>
      <c r="J3983" s="3" t="str">
        <f>HYPERLINK("https://www.boe.es/gazeta/dias/1815/11/21/pdfs/GMD-1815-145.pdf#page=10","Abrir facsímil")</f>
        <v>Abrir facsímil</v>
      </c>
      <c r="K3983" s="3" t="s">
        <v>74</v>
      </c>
    </row>
    <row r="3984" spans="1:11" ht="42" customHeight="1">
      <c r="A3984" s="2" t="s">
        <v>9879</v>
      </c>
      <c r="B3984" s="2" t="s">
        <v>9880</v>
      </c>
      <c r="C3984" s="2" t="s">
        <v>31</v>
      </c>
      <c r="D3984" s="2" t="s">
        <v>32</v>
      </c>
      <c r="E3984" s="5">
        <v>-30765</v>
      </c>
      <c r="F3984" s="3" t="s">
        <v>2150</v>
      </c>
      <c r="G3984" s="3" t="s">
        <v>71</v>
      </c>
      <c r="H3984" s="2" t="s">
        <v>72</v>
      </c>
      <c r="I3984" s="2" t="s">
        <v>9881</v>
      </c>
      <c r="J3984" s="3" t="str">
        <f>HYPERLINK("https://www.boe.es/gazeta/dias/1815/10/07/pdfs/GMD-1815-126.pdf#page=7","Abrir facsímil")</f>
        <v>Abrir facsímil</v>
      </c>
      <c r="K3984" s="3" t="s">
        <v>74</v>
      </c>
    </row>
    <row r="3985" spans="1:11" ht="42" customHeight="1">
      <c r="A3985" s="2" t="s">
        <v>9882</v>
      </c>
      <c r="B3985" s="2" t="s">
        <v>9883</v>
      </c>
      <c r="C3985" s="2" t="s">
        <v>61</v>
      </c>
      <c r="D3985" s="2" t="s">
        <v>50</v>
      </c>
      <c r="E3985" s="5">
        <v>-30949</v>
      </c>
      <c r="F3985" s="3" t="s">
        <v>420</v>
      </c>
      <c r="G3985" s="3" t="s">
        <v>27</v>
      </c>
      <c r="H3985" s="2" t="s">
        <v>72</v>
      </c>
      <c r="I3985" s="2" t="s">
        <v>9884</v>
      </c>
      <c r="J3985" s="3" t="str">
        <f>HYPERLINK("https://www.boe.es/gazeta/dias/1815/04/06/pdfs/GMD-1815-42.pdf#page=6","Abrir facsímil")</f>
        <v>Abrir facsímil</v>
      </c>
      <c r="K3985" s="3" t="s">
        <v>74</v>
      </c>
    </row>
    <row r="3986" spans="1:11" ht="42" customHeight="1">
      <c r="A3986" s="2" t="s">
        <v>9885</v>
      </c>
      <c r="B3986" s="2" t="s">
        <v>9886</v>
      </c>
      <c r="C3986" s="2" t="s">
        <v>31</v>
      </c>
      <c r="D3986" s="2" t="s">
        <v>32</v>
      </c>
      <c r="E3986" s="5">
        <v>-30907</v>
      </c>
      <c r="F3986" s="3" t="s">
        <v>301</v>
      </c>
      <c r="G3986" s="3" t="s">
        <v>71</v>
      </c>
      <c r="H3986" s="2" t="s">
        <v>72</v>
      </c>
      <c r="I3986" s="2" t="s">
        <v>9887</v>
      </c>
      <c r="J3986" s="3" t="str">
        <f>HYPERLINK("https://www.boe.es/gazeta/dias/1815/05/18/pdfs/GMD-1815-60.pdf#page=7","Abrir facsímil")</f>
        <v>Abrir facsímil</v>
      </c>
      <c r="K3986" s="3" t="s">
        <v>74</v>
      </c>
    </row>
    <row r="3987" spans="1:11" ht="42" customHeight="1">
      <c r="A3987" s="2" t="s">
        <v>9888</v>
      </c>
      <c r="B3987" s="2" t="s">
        <v>9889</v>
      </c>
      <c r="C3987" s="2" t="s">
        <v>195</v>
      </c>
      <c r="D3987" s="2" t="s">
        <v>50</v>
      </c>
      <c r="E3987" s="5">
        <v>-30970</v>
      </c>
      <c r="F3987" s="3" t="s">
        <v>436</v>
      </c>
      <c r="G3987" s="3" t="s">
        <v>38</v>
      </c>
      <c r="H3987" s="2" t="s">
        <v>72</v>
      </c>
      <c r="I3987" s="2" t="s">
        <v>9890</v>
      </c>
      <c r="J3987" s="3" t="str">
        <f>HYPERLINK("https://www.boe.es/gazeta/dias/1815/03/16/pdfs/GMD-1815-32.pdf#page=8","Abrir facsímil")</f>
        <v>Abrir facsímil</v>
      </c>
      <c r="K3987" s="3" t="s">
        <v>74</v>
      </c>
    </row>
    <row r="3988" spans="1:11" ht="42" customHeight="1">
      <c r="A3988" s="2" t="s">
        <v>9891</v>
      </c>
      <c r="B3988" s="2" t="s">
        <v>9892</v>
      </c>
      <c r="C3988" s="2" t="s">
        <v>31</v>
      </c>
      <c r="D3988" s="2" t="s">
        <v>32</v>
      </c>
      <c r="E3988" s="5">
        <v>-30699</v>
      </c>
      <c r="F3988" s="3" t="s">
        <v>810</v>
      </c>
      <c r="G3988" s="3" t="s">
        <v>57</v>
      </c>
      <c r="H3988" s="2" t="s">
        <v>72</v>
      </c>
      <c r="I3988" s="2" t="s">
        <v>9893</v>
      </c>
      <c r="J3988" s="3" t="str">
        <f>HYPERLINK("https://www.boe.es/gazeta/dias/1815/12/12/pdfs/GMD-1815-154.pdf#page=5","Abrir facsímil")</f>
        <v>Abrir facsímil</v>
      </c>
      <c r="K3988" s="3" t="s">
        <v>74</v>
      </c>
    </row>
    <row r="3989" spans="1:11" ht="42" customHeight="1">
      <c r="A3989" s="2" t="s">
        <v>9894</v>
      </c>
      <c r="B3989" s="2" t="s">
        <v>9895</v>
      </c>
      <c r="C3989" s="2" t="s">
        <v>17</v>
      </c>
      <c r="D3989" s="2" t="s">
        <v>18</v>
      </c>
      <c r="E3989" s="5">
        <v>-30839</v>
      </c>
      <c r="F3989" s="3" t="s">
        <v>616</v>
      </c>
      <c r="G3989" s="3" t="s">
        <v>27</v>
      </c>
      <c r="H3989" s="2" t="s">
        <v>21</v>
      </c>
      <c r="I3989" s="2" t="s">
        <v>9896</v>
      </c>
      <c r="J3989" s="3" t="str">
        <f>HYPERLINK("https://www.boe.es/gazeta/dias/1815/07/25/pdfs/GMD-1815-91.pdf#page=6","Abrir facsímil")</f>
        <v>Abrir facsímil</v>
      </c>
      <c r="K3989" s="3" t="s">
        <v>23</v>
      </c>
    </row>
    <row r="3990" spans="1:11" ht="42" customHeight="1">
      <c r="A3990" s="2" t="s">
        <v>9897</v>
      </c>
      <c r="B3990" s="2" t="s">
        <v>9898</v>
      </c>
      <c r="C3990" s="2" t="s">
        <v>31</v>
      </c>
      <c r="D3990" s="2" t="s">
        <v>32</v>
      </c>
      <c r="E3990" s="5">
        <v>-31031</v>
      </c>
      <c r="F3990" s="3" t="s">
        <v>105</v>
      </c>
      <c r="G3990" s="3" t="s">
        <v>97</v>
      </c>
      <c r="H3990" s="2" t="s">
        <v>72</v>
      </c>
      <c r="I3990" s="2" t="s">
        <v>9899</v>
      </c>
      <c r="J3990" s="3" t="str">
        <f>HYPERLINK("https://www.boe.es/gazeta/dias/1815/01/14/pdfs/GMD-1815-6.pdf#page=3","Abrir facsímil")</f>
        <v>Abrir facsímil</v>
      </c>
      <c r="K3990" s="3" t="s">
        <v>74</v>
      </c>
    </row>
    <row r="3991" spans="1:11" ht="42" customHeight="1">
      <c r="A3991" s="2" t="s">
        <v>9900</v>
      </c>
      <c r="B3991" s="2" t="s">
        <v>9901</v>
      </c>
      <c r="C3991" s="2" t="s">
        <v>195</v>
      </c>
      <c r="D3991" s="2" t="s">
        <v>50</v>
      </c>
      <c r="E3991" s="5">
        <v>-30874</v>
      </c>
      <c r="F3991" s="3" t="s">
        <v>208</v>
      </c>
      <c r="G3991" s="3" t="s">
        <v>224</v>
      </c>
      <c r="H3991" s="2" t="s">
        <v>72</v>
      </c>
      <c r="I3991" s="2" t="s">
        <v>9902</v>
      </c>
      <c r="J3991" s="3" t="str">
        <f>HYPERLINK("https://www.boe.es/gazeta/dias/1815/06/20/pdfs/GMD-1815-74.pdf#page=9","Abrir facsímil")</f>
        <v>Abrir facsímil</v>
      </c>
      <c r="K3991" s="3" t="s">
        <v>74</v>
      </c>
    </row>
    <row r="3992" spans="1:11" ht="42" customHeight="1">
      <c r="A3992" s="2" t="s">
        <v>9903</v>
      </c>
      <c r="B3992" s="2" t="s">
        <v>9904</v>
      </c>
      <c r="C3992" s="2" t="s">
        <v>81</v>
      </c>
      <c r="D3992" s="2" t="s">
        <v>50</v>
      </c>
      <c r="E3992" s="5">
        <v>-30900</v>
      </c>
      <c r="F3992" s="3" t="s">
        <v>921</v>
      </c>
      <c r="G3992" s="3" t="s">
        <v>276</v>
      </c>
      <c r="H3992" s="2" t="s">
        <v>72</v>
      </c>
      <c r="I3992" s="2" t="s">
        <v>9905</v>
      </c>
      <c r="J3992" s="3" t="str">
        <f>HYPERLINK("https://www.boe.es/gazeta/dias/1815/05/25/pdfs/GMD-1815-63.pdf#page=12","Abrir facsímil")</f>
        <v>Abrir facsímil</v>
      </c>
      <c r="K3992" s="3" t="s">
        <v>74</v>
      </c>
    </row>
    <row r="3993" spans="1:11" ht="42" customHeight="1">
      <c r="A3993" s="2" t="s">
        <v>9906</v>
      </c>
      <c r="B3993" s="2" t="s">
        <v>9907</v>
      </c>
      <c r="C3993" s="2" t="s">
        <v>31</v>
      </c>
      <c r="D3993" s="2" t="s">
        <v>32</v>
      </c>
      <c r="E3993" s="5">
        <v>-30881</v>
      </c>
      <c r="F3993" s="3" t="s">
        <v>446</v>
      </c>
      <c r="G3993" s="3" t="s">
        <v>52</v>
      </c>
      <c r="H3993" s="2" t="s">
        <v>72</v>
      </c>
      <c r="I3993" s="2" t="s">
        <v>9908</v>
      </c>
      <c r="J3993" s="3" t="str">
        <f>HYPERLINK("https://www.boe.es/gazeta/dias/1815/06/13/pdfs/GMD-1815-71.pdf#page=11","Abrir facsímil")</f>
        <v>Abrir facsímil</v>
      </c>
      <c r="K3993" s="3" t="s">
        <v>74</v>
      </c>
    </row>
    <row r="3994" spans="1:11" ht="42" customHeight="1">
      <c r="A3994" s="2" t="s">
        <v>9909</v>
      </c>
      <c r="B3994" s="2" t="s">
        <v>9909</v>
      </c>
      <c r="C3994" s="2" t="s">
        <v>31</v>
      </c>
      <c r="D3994" s="2" t="s">
        <v>32</v>
      </c>
      <c r="E3994" s="5">
        <v>-30723</v>
      </c>
      <c r="F3994" s="3" t="s">
        <v>77</v>
      </c>
      <c r="G3994" s="3" t="s">
        <v>97</v>
      </c>
      <c r="H3994" s="2" t="s">
        <v>72</v>
      </c>
      <c r="I3994" s="2" t="s">
        <v>9910</v>
      </c>
      <c r="J3994" s="3" t="str">
        <f>HYPERLINK("https://www.boe.es/gazeta/dias/1815/11/18/pdfs/GMD-1815-144.pdf#page=3","Abrir facsímil")</f>
        <v>Abrir facsímil</v>
      </c>
      <c r="K3994" s="3" t="s">
        <v>74</v>
      </c>
    </row>
    <row r="3995" spans="1:11" ht="42" customHeight="1">
      <c r="A3995" s="2" t="s">
        <v>9911</v>
      </c>
      <c r="B3995" s="2" t="s">
        <v>9912</v>
      </c>
      <c r="C3995" s="2" t="s">
        <v>195</v>
      </c>
      <c r="D3995" s="2" t="s">
        <v>50</v>
      </c>
      <c r="E3995" s="5">
        <v>-30888</v>
      </c>
      <c r="F3995" s="3" t="s">
        <v>368</v>
      </c>
      <c r="G3995" s="3" t="s">
        <v>38</v>
      </c>
      <c r="H3995" s="2" t="s">
        <v>72</v>
      </c>
      <c r="I3995" s="2" t="s">
        <v>9913</v>
      </c>
      <c r="J3995" s="3" t="str">
        <f>HYPERLINK("https://www.boe.es/gazeta/dias/1815/06/06/pdfs/GMD-1815-68.pdf#page=8","Abrir facsímil")</f>
        <v>Abrir facsímil</v>
      </c>
      <c r="K3995" s="3" t="s">
        <v>74</v>
      </c>
    </row>
    <row r="3996" spans="1:11" ht="42" customHeight="1">
      <c r="A3996" s="2" t="s">
        <v>9914</v>
      </c>
      <c r="B3996" s="2" t="s">
        <v>9915</v>
      </c>
      <c r="C3996" s="2" t="s">
        <v>31</v>
      </c>
      <c r="D3996" s="2" t="s">
        <v>32</v>
      </c>
      <c r="E3996" s="5">
        <v>-31024</v>
      </c>
      <c r="F3996" s="3" t="s">
        <v>101</v>
      </c>
      <c r="G3996" s="3" t="s">
        <v>71</v>
      </c>
      <c r="H3996" s="2" t="s">
        <v>72</v>
      </c>
      <c r="I3996" s="2" t="s">
        <v>9916</v>
      </c>
      <c r="J3996" s="3" t="str">
        <f>HYPERLINK("https://www.boe.es/gazeta/dias/1815/01/21/pdfs/GMD-1815-9.pdf#page=7","Abrir facsímil")</f>
        <v>Abrir facsímil</v>
      </c>
      <c r="K3996" s="3" t="s">
        <v>74</v>
      </c>
    </row>
    <row r="3997" spans="1:11" ht="42" customHeight="1">
      <c r="A3997" s="2" t="s">
        <v>9917</v>
      </c>
      <c r="B3997" s="2" t="s">
        <v>9918</v>
      </c>
      <c r="C3997" s="2" t="s">
        <v>31</v>
      </c>
      <c r="D3997" s="2" t="s">
        <v>32</v>
      </c>
      <c r="E3997" s="5">
        <v>-30916</v>
      </c>
      <c r="F3997" s="3" t="s">
        <v>147</v>
      </c>
      <c r="G3997" s="3" t="s">
        <v>148</v>
      </c>
      <c r="H3997" s="2" t="s">
        <v>72</v>
      </c>
      <c r="I3997" s="2" t="s">
        <v>9919</v>
      </c>
      <c r="J3997" s="3" t="str">
        <f>HYPERLINK("https://www.boe.es/gazeta/dias/1815/05/09/pdfs/GMD-1815-56.pdf#page=7","Abrir facsímil")</f>
        <v>Abrir facsímil</v>
      </c>
      <c r="K3997" s="3" t="s">
        <v>74</v>
      </c>
    </row>
    <row r="3998" spans="1:11" ht="42" customHeight="1">
      <c r="A3998" s="2" t="s">
        <v>9920</v>
      </c>
      <c r="B3998" s="2" t="s">
        <v>9921</v>
      </c>
      <c r="C3998" s="2" t="s">
        <v>195</v>
      </c>
      <c r="D3998" s="2" t="s">
        <v>50</v>
      </c>
      <c r="E3998" s="5">
        <v>-30716</v>
      </c>
      <c r="F3998" s="3" t="s">
        <v>589</v>
      </c>
      <c r="G3998" s="3" t="s">
        <v>27</v>
      </c>
      <c r="H3998" s="2" t="s">
        <v>72</v>
      </c>
      <c r="I3998" s="2" t="s">
        <v>9922</v>
      </c>
      <c r="J3998" s="3" t="str">
        <f>HYPERLINK("https://www.boe.es/gazeta/dias/1815/11/25/pdfs/GMD-1815-147.pdf#page=6","Abrir facsímil")</f>
        <v>Abrir facsímil</v>
      </c>
      <c r="K3998" s="3" t="s">
        <v>74</v>
      </c>
    </row>
    <row r="3999" spans="1:11" ht="42" customHeight="1">
      <c r="A3999" s="2" t="s">
        <v>9923</v>
      </c>
      <c r="B3999" s="2" t="s">
        <v>9924</v>
      </c>
      <c r="C3999" s="2" t="s">
        <v>17</v>
      </c>
      <c r="D3999" s="2" t="s">
        <v>18</v>
      </c>
      <c r="E3999" s="5">
        <v>-30942</v>
      </c>
      <c r="F3999" s="3" t="s">
        <v>730</v>
      </c>
      <c r="G3999" s="3" t="s">
        <v>71</v>
      </c>
      <c r="H3999" s="2" t="s">
        <v>72</v>
      </c>
      <c r="I3999" s="2" t="s">
        <v>9925</v>
      </c>
      <c r="J3999" s="3" t="str">
        <f>HYPERLINK("https://www.boe.es/gazeta/dias/1815/04/13/pdfs/GMD-1815-45.pdf#page=7","Abrir facsímil")</f>
        <v>Abrir facsímil</v>
      </c>
      <c r="K3999" s="3" t="s">
        <v>74</v>
      </c>
    </row>
    <row r="4000" spans="1:11" ht="42" customHeight="1">
      <c r="A4000" s="2" t="s">
        <v>9926</v>
      </c>
      <c r="B4000" s="2" t="s">
        <v>9927</v>
      </c>
      <c r="C4000" s="2" t="s">
        <v>195</v>
      </c>
      <c r="D4000" s="2" t="s">
        <v>50</v>
      </c>
      <c r="E4000" s="5">
        <v>-30874</v>
      </c>
      <c r="F4000" s="3" t="s">
        <v>208</v>
      </c>
      <c r="G4000" s="3" t="s">
        <v>224</v>
      </c>
      <c r="H4000" s="2" t="s">
        <v>72</v>
      </c>
      <c r="I4000" s="2" t="s">
        <v>9928</v>
      </c>
      <c r="J4000" s="3" t="str">
        <f>HYPERLINK("https://www.boe.es/gazeta/dias/1815/06/20/pdfs/GMD-1815-74.pdf#page=9","Abrir facsímil")</f>
        <v>Abrir facsímil</v>
      </c>
      <c r="K4000" s="3" t="s">
        <v>74</v>
      </c>
    </row>
    <row r="4001" spans="1:11" ht="42" customHeight="1">
      <c r="A4001" s="2" t="s">
        <v>9929</v>
      </c>
      <c r="B4001" s="2" t="s">
        <v>9930</v>
      </c>
      <c r="C4001" s="2" t="s">
        <v>195</v>
      </c>
      <c r="D4001" s="2" t="s">
        <v>50</v>
      </c>
      <c r="E4001" s="5">
        <v>-30692</v>
      </c>
      <c r="F4001" s="3" t="s">
        <v>508</v>
      </c>
      <c r="G4001" s="3" t="s">
        <v>1353</v>
      </c>
      <c r="H4001" s="2" t="s">
        <v>72</v>
      </c>
      <c r="I4001" s="2" t="s">
        <v>9931</v>
      </c>
      <c r="J4001" s="3" t="str">
        <f>HYPERLINK("https://www.boe.es/gazeta/dias/1815/12/19/pdfs/GMD-1815-157.pdf#page=7","Abrir facsímil")</f>
        <v>Abrir facsímil</v>
      </c>
      <c r="K4001" s="3" t="s">
        <v>74</v>
      </c>
    </row>
    <row r="4002" spans="1:11" ht="42" customHeight="1">
      <c r="A4002" s="2" t="s">
        <v>9932</v>
      </c>
      <c r="B4002" s="2" t="s">
        <v>9933</v>
      </c>
      <c r="C4002" s="2" t="s">
        <v>31</v>
      </c>
      <c r="D4002" s="2" t="s">
        <v>32</v>
      </c>
      <c r="E4002" s="5">
        <v>-30942</v>
      </c>
      <c r="F4002" s="3" t="s">
        <v>730</v>
      </c>
      <c r="G4002" s="3" t="s">
        <v>38</v>
      </c>
      <c r="H4002" s="2" t="s">
        <v>21</v>
      </c>
      <c r="I4002" s="2" t="s">
        <v>9934</v>
      </c>
      <c r="J4002" s="3" t="str">
        <f>HYPERLINK("https://www.boe.es/gazeta/dias/1815/04/13/pdfs/GMD-1815-45.pdf#page=8","Abrir facsímil")</f>
        <v>Abrir facsímil</v>
      </c>
      <c r="K4002" s="3" t="s">
        <v>23</v>
      </c>
    </row>
    <row r="4003" spans="1:11" ht="42" customHeight="1">
      <c r="A4003" s="2" t="s">
        <v>9935</v>
      </c>
      <c r="B4003" s="2" t="s">
        <v>9936</v>
      </c>
      <c r="C4003" s="2" t="s">
        <v>31</v>
      </c>
      <c r="D4003" s="2" t="s">
        <v>32</v>
      </c>
      <c r="E4003" s="5">
        <v>-30916</v>
      </c>
      <c r="F4003" s="3" t="s">
        <v>147</v>
      </c>
      <c r="G4003" s="3" t="s">
        <v>38</v>
      </c>
      <c r="H4003" s="2" t="s">
        <v>72</v>
      </c>
      <c r="I4003" s="2" t="s">
        <v>9937</v>
      </c>
      <c r="J4003" s="3" t="str">
        <f>HYPERLINK("https://www.boe.es/gazeta/dias/1815/05/09/pdfs/GMD-1815-56.pdf#page=8","Abrir facsímil")</f>
        <v>Abrir facsímil</v>
      </c>
      <c r="K4003" s="3" t="s">
        <v>74</v>
      </c>
    </row>
    <row r="4004" spans="1:11" ht="42" customHeight="1">
      <c r="A4004" s="2" t="s">
        <v>9938</v>
      </c>
      <c r="B4004" s="2" t="s">
        <v>9939</v>
      </c>
      <c r="C4004" s="2" t="s">
        <v>31</v>
      </c>
      <c r="D4004" s="2" t="s">
        <v>32</v>
      </c>
      <c r="E4004" s="5">
        <v>-30916</v>
      </c>
      <c r="F4004" s="3" t="s">
        <v>147</v>
      </c>
      <c r="G4004" s="3" t="s">
        <v>148</v>
      </c>
      <c r="H4004" s="2" t="s">
        <v>72</v>
      </c>
      <c r="I4004" s="2" t="s">
        <v>9940</v>
      </c>
      <c r="J4004" s="3" t="str">
        <f>HYPERLINK("https://www.boe.es/gazeta/dias/1815/05/09/pdfs/GMD-1815-56.pdf#page=7","Abrir facsímil")</f>
        <v>Abrir facsímil</v>
      </c>
      <c r="K4004" s="3" t="s">
        <v>74</v>
      </c>
    </row>
    <row r="4005" spans="1:11" ht="42" customHeight="1">
      <c r="A4005" s="2" t="s">
        <v>9941</v>
      </c>
      <c r="B4005" s="2" t="s">
        <v>9942</v>
      </c>
      <c r="C4005" s="2" t="s">
        <v>31</v>
      </c>
      <c r="D4005" s="2" t="s">
        <v>32</v>
      </c>
      <c r="E4005" s="5">
        <v>-30921</v>
      </c>
      <c r="F4005" s="3" t="s">
        <v>191</v>
      </c>
      <c r="G4005" s="3" t="s">
        <v>71</v>
      </c>
      <c r="H4005" s="2" t="s">
        <v>72</v>
      </c>
      <c r="I4005" s="2" t="s">
        <v>9943</v>
      </c>
      <c r="J4005" s="3" t="str">
        <f>HYPERLINK("https://www.boe.es/gazeta/dias/1815/05/04/pdfs/GMD-1815-54.pdf#page=7","Abrir facsímil")</f>
        <v>Abrir facsímil</v>
      </c>
      <c r="K4005" s="3" t="s">
        <v>74</v>
      </c>
    </row>
    <row r="4006" spans="1:11" ht="42" customHeight="1">
      <c r="A4006" s="2" t="s">
        <v>9941</v>
      </c>
      <c r="B4006" s="2" t="s">
        <v>9942</v>
      </c>
      <c r="C4006" s="2" t="s">
        <v>31</v>
      </c>
      <c r="D4006" s="2" t="s">
        <v>32</v>
      </c>
      <c r="E4006" s="5">
        <v>-30916</v>
      </c>
      <c r="F4006" s="3" t="s">
        <v>147</v>
      </c>
      <c r="G4006" s="3" t="s">
        <v>38</v>
      </c>
      <c r="H4006" s="2" t="s">
        <v>72</v>
      </c>
      <c r="I4006" s="2" t="s">
        <v>9944</v>
      </c>
      <c r="J4006" s="3" t="str">
        <f>HYPERLINK("https://www.boe.es/gazeta/dias/1815/05/09/pdfs/GMD-1815-56.pdf#page=8","Abrir facsímil")</f>
        <v>Abrir facsímil</v>
      </c>
      <c r="K4006" s="3" t="s">
        <v>74</v>
      </c>
    </row>
    <row r="4007" spans="1:11" ht="42" customHeight="1">
      <c r="A4007" s="2" t="s">
        <v>9941</v>
      </c>
      <c r="B4007" s="2" t="s">
        <v>9942</v>
      </c>
      <c r="C4007" s="2" t="s">
        <v>81</v>
      </c>
      <c r="D4007" s="2" t="s">
        <v>50</v>
      </c>
      <c r="E4007" s="5">
        <v>-30741</v>
      </c>
      <c r="F4007" s="3" t="s">
        <v>1000</v>
      </c>
      <c r="G4007" s="3" t="s">
        <v>71</v>
      </c>
      <c r="H4007" s="2" t="s">
        <v>72</v>
      </c>
      <c r="I4007" s="2" t="s">
        <v>9945</v>
      </c>
      <c r="J4007" s="3" t="str">
        <f>HYPERLINK("https://www.boe.es/gazeta/dias/1815/10/31/pdfs/GMD-1815-136.pdf#page=7","Abrir facsímil")</f>
        <v>Abrir facsímil</v>
      </c>
      <c r="K4007" s="3" t="s">
        <v>74</v>
      </c>
    </row>
    <row r="4008" spans="1:11" ht="42" customHeight="1">
      <c r="A4008" s="2" t="s">
        <v>9946</v>
      </c>
      <c r="B4008" s="2" t="s">
        <v>9946</v>
      </c>
      <c r="C4008" s="2" t="s">
        <v>17</v>
      </c>
      <c r="D4008" s="2" t="s">
        <v>18</v>
      </c>
      <c r="E4008" s="5">
        <v>-30942</v>
      </c>
      <c r="F4008" s="3" t="s">
        <v>730</v>
      </c>
      <c r="G4008" s="3" t="s">
        <v>97</v>
      </c>
      <c r="H4008" s="2" t="s">
        <v>72</v>
      </c>
      <c r="I4008" s="2" t="s">
        <v>9947</v>
      </c>
      <c r="J4008" s="3" t="str">
        <f>HYPERLINK("https://www.boe.es/gazeta/dias/1815/04/13/pdfs/GMD-1815-45.pdf#page=3","Abrir facsímil")</f>
        <v>Abrir facsímil</v>
      </c>
      <c r="K4008" s="3" t="s">
        <v>74</v>
      </c>
    </row>
    <row r="4009" spans="1:11" ht="42" customHeight="1">
      <c r="A4009" s="2" t="s">
        <v>9948</v>
      </c>
      <c r="B4009" s="2" t="s">
        <v>9949</v>
      </c>
      <c r="C4009" s="2" t="s">
        <v>17</v>
      </c>
      <c r="D4009" s="2" t="s">
        <v>18</v>
      </c>
      <c r="E4009" s="5">
        <v>-31038</v>
      </c>
      <c r="F4009" s="3" t="s">
        <v>395</v>
      </c>
      <c r="G4009" s="3" t="s">
        <v>71</v>
      </c>
      <c r="H4009" s="2" t="s">
        <v>72</v>
      </c>
      <c r="I4009" s="2" t="s">
        <v>9950</v>
      </c>
      <c r="J4009" s="3" t="str">
        <f>HYPERLINK("https://www.boe.es/gazeta/dias/1815/01/07/pdfs/GMD-1815-3.pdf#page=7","Abrir facsímil")</f>
        <v>Abrir facsímil</v>
      </c>
      <c r="K4009" s="3" t="s">
        <v>74</v>
      </c>
    </row>
    <row r="4010" spans="1:11" ht="42" customHeight="1">
      <c r="A4010" s="2" t="s">
        <v>9951</v>
      </c>
      <c r="B4010" s="2" t="s">
        <v>9952</v>
      </c>
      <c r="C4010" s="2" t="s">
        <v>61</v>
      </c>
      <c r="D4010" s="2" t="s">
        <v>50</v>
      </c>
      <c r="E4010" s="5">
        <v>-31033</v>
      </c>
      <c r="F4010" s="3" t="s">
        <v>493</v>
      </c>
      <c r="G4010" s="3" t="s">
        <v>38</v>
      </c>
      <c r="H4010" s="2" t="s">
        <v>72</v>
      </c>
      <c r="I4010" s="2" t="s">
        <v>9953</v>
      </c>
      <c r="J4010" s="3" t="str">
        <f>HYPERLINK("https://www.boe.es/gazeta/dias/1815/01/12/pdfs/GMD-1815-5.pdf#page=8","Abrir facsímil")</f>
        <v>Abrir facsímil</v>
      </c>
      <c r="K4010" s="3" t="s">
        <v>74</v>
      </c>
    </row>
    <row r="4011" spans="1:11" ht="42" customHeight="1">
      <c r="A4011" s="2" t="s">
        <v>9951</v>
      </c>
      <c r="B4011" s="2" t="s">
        <v>9952</v>
      </c>
      <c r="C4011" s="2" t="s">
        <v>17</v>
      </c>
      <c r="D4011" s="2" t="s">
        <v>18</v>
      </c>
      <c r="E4011" s="5">
        <v>-30951</v>
      </c>
      <c r="F4011" s="3" t="s">
        <v>87</v>
      </c>
      <c r="G4011" s="3" t="s">
        <v>88</v>
      </c>
      <c r="H4011" s="2" t="s">
        <v>72</v>
      </c>
      <c r="I4011" s="2" t="s">
        <v>9954</v>
      </c>
      <c r="J4011" s="3" t="str">
        <f>HYPERLINK("https://www.boe.es/gazeta/dias/1815/04/04/pdfs/GMD-1815-41.pdf#page=10","Abrir facsímil")</f>
        <v>Abrir facsímil</v>
      </c>
      <c r="K4011" s="3" t="s">
        <v>74</v>
      </c>
    </row>
    <row r="4012" spans="1:11" ht="42" customHeight="1">
      <c r="A4012" s="2" t="s">
        <v>9951</v>
      </c>
      <c r="B4012" s="2" t="s">
        <v>9952</v>
      </c>
      <c r="C4012" s="2" t="s">
        <v>49</v>
      </c>
      <c r="D4012" s="2" t="s">
        <v>50</v>
      </c>
      <c r="E4012" s="5">
        <v>-30949</v>
      </c>
      <c r="F4012" s="3" t="s">
        <v>420</v>
      </c>
      <c r="G4012" s="3" t="s">
        <v>20</v>
      </c>
      <c r="H4012" s="2" t="s">
        <v>72</v>
      </c>
      <c r="I4012" s="2" t="s">
        <v>9955</v>
      </c>
      <c r="J4012" s="3" t="str">
        <f>HYPERLINK("https://www.boe.es/gazeta/dias/1815/04/06/pdfs/GMD-1815-42.pdf#page=4","Abrir facsímil")</f>
        <v>Abrir facsímil</v>
      </c>
      <c r="K4012" s="3" t="s">
        <v>74</v>
      </c>
    </row>
    <row r="4013" spans="1:11" ht="42" customHeight="1">
      <c r="A4013" s="2" t="s">
        <v>9956</v>
      </c>
      <c r="B4013" s="2" t="s">
        <v>9957</v>
      </c>
      <c r="C4013" s="2" t="s">
        <v>31</v>
      </c>
      <c r="D4013" s="2" t="s">
        <v>32</v>
      </c>
      <c r="E4013" s="5">
        <v>-31028</v>
      </c>
      <c r="F4013" s="3" t="s">
        <v>517</v>
      </c>
      <c r="G4013" s="3" t="s">
        <v>88</v>
      </c>
      <c r="H4013" s="2" t="s">
        <v>72</v>
      </c>
      <c r="I4013" s="2" t="s">
        <v>9958</v>
      </c>
      <c r="J4013" s="3" t="str">
        <f>HYPERLINK("https://www.boe.es/gazeta/dias/1815/01/17/pdfs/GMD-1815-7.pdf#page=10","Abrir facsímil")</f>
        <v>Abrir facsímil</v>
      </c>
      <c r="K4013" s="3" t="s">
        <v>74</v>
      </c>
    </row>
    <row r="4014" spans="1:11" ht="42" customHeight="1">
      <c r="A4014" s="2" t="s">
        <v>9959</v>
      </c>
      <c r="B4014" s="2" t="s">
        <v>9960</v>
      </c>
      <c r="C4014" s="2" t="s">
        <v>49</v>
      </c>
      <c r="D4014" s="2" t="s">
        <v>50</v>
      </c>
      <c r="E4014" s="5">
        <v>-30886</v>
      </c>
      <c r="F4014" s="3" t="s">
        <v>140</v>
      </c>
      <c r="G4014" s="3" t="s">
        <v>38</v>
      </c>
      <c r="H4014" s="2" t="s">
        <v>72</v>
      </c>
      <c r="I4014" s="2" t="s">
        <v>9961</v>
      </c>
      <c r="J4014" s="3" t="str">
        <f>HYPERLINK("https://www.boe.es/gazeta/dias/1815/06/08/pdfs/GMD-1815-69.pdf#page=8","Abrir facsímil")</f>
        <v>Abrir facsímil</v>
      </c>
      <c r="K4014" s="3" t="s">
        <v>74</v>
      </c>
    </row>
    <row r="4015" spans="1:11" ht="42" customHeight="1">
      <c r="A4015" s="2" t="s">
        <v>9962</v>
      </c>
      <c r="B4015" s="2" t="s">
        <v>9963</v>
      </c>
      <c r="C4015" s="2" t="s">
        <v>31</v>
      </c>
      <c r="D4015" s="2" t="s">
        <v>32</v>
      </c>
      <c r="E4015" s="5">
        <v>-30870</v>
      </c>
      <c r="F4015" s="3" t="s">
        <v>122</v>
      </c>
      <c r="G4015" s="3" t="s">
        <v>52</v>
      </c>
      <c r="H4015" s="2" t="s">
        <v>72</v>
      </c>
      <c r="I4015" s="2" t="s">
        <v>9964</v>
      </c>
      <c r="J4015" s="3" t="str">
        <f>HYPERLINK("https://www.boe.es/gazeta/dias/1815/06/24/pdfs/GMD-1815-76.pdf#page=11","Abrir facsímil")</f>
        <v>Abrir facsímil</v>
      </c>
      <c r="K4015" s="3" t="s">
        <v>74</v>
      </c>
    </row>
    <row r="4016" spans="1:11" ht="42" customHeight="1">
      <c r="A4016" s="2" t="s">
        <v>9965</v>
      </c>
      <c r="B4016" s="2" t="s">
        <v>9966</v>
      </c>
      <c r="C4016" s="2" t="s">
        <v>31</v>
      </c>
      <c r="D4016" s="2" t="s">
        <v>32</v>
      </c>
      <c r="E4016" s="5">
        <v>-30886</v>
      </c>
      <c r="F4016" s="3" t="s">
        <v>140</v>
      </c>
      <c r="G4016" s="3" t="s">
        <v>88</v>
      </c>
      <c r="H4016" s="2" t="s">
        <v>72</v>
      </c>
      <c r="I4016" s="2" t="s">
        <v>9967</v>
      </c>
      <c r="J4016" s="3" t="str">
        <f>HYPERLINK("https://www.boe.es/gazeta/dias/1815/06/08/pdfs/GMD-1815-69.pdf#page=10","Abrir facsímil")</f>
        <v>Abrir facsímil</v>
      </c>
      <c r="K4016" s="3" t="s">
        <v>74</v>
      </c>
    </row>
    <row r="4017" spans="1:11" ht="42" customHeight="1">
      <c r="A4017" s="2" t="s">
        <v>9968</v>
      </c>
      <c r="B4017" s="2" t="s">
        <v>9969</v>
      </c>
      <c r="C4017" s="2" t="s">
        <v>31</v>
      </c>
      <c r="D4017" s="2" t="s">
        <v>32</v>
      </c>
      <c r="E4017" s="5">
        <v>-31038</v>
      </c>
      <c r="F4017" s="3" t="s">
        <v>395</v>
      </c>
      <c r="G4017" s="3" t="s">
        <v>396</v>
      </c>
      <c r="H4017" s="2" t="s">
        <v>72</v>
      </c>
      <c r="I4017" s="2" t="s">
        <v>9970</v>
      </c>
      <c r="J4017" s="3" t="str">
        <f>HYPERLINK("https://www.boe.es/gazeta/dias/1815/01/07/pdfs/GMD-1815-3.pdf#page=5","Abrir facsímil")</f>
        <v>Abrir facsímil</v>
      </c>
      <c r="K4017" s="3" t="s">
        <v>74</v>
      </c>
    </row>
    <row r="4018" spans="1:11" ht="42" customHeight="1">
      <c r="A4018" s="2" t="s">
        <v>9971</v>
      </c>
      <c r="B4018" s="2" t="s">
        <v>9972</v>
      </c>
      <c r="C4018" s="2" t="s">
        <v>17</v>
      </c>
      <c r="D4018" s="2" t="s">
        <v>18</v>
      </c>
      <c r="E4018" s="5">
        <v>-30835</v>
      </c>
      <c r="F4018" s="3" t="s">
        <v>544</v>
      </c>
      <c r="G4018" s="3" t="s">
        <v>38</v>
      </c>
      <c r="H4018" s="2" t="s">
        <v>72</v>
      </c>
      <c r="I4018" s="2" t="s">
        <v>9973</v>
      </c>
      <c r="J4018" s="3" t="str">
        <f>HYPERLINK("https://www.boe.es/gazeta/dias/1815/07/29/pdfs/GMD-1815-93.pdf#page=8","Abrir facsímil")</f>
        <v>Abrir facsímil</v>
      </c>
      <c r="K4018" s="3" t="s">
        <v>74</v>
      </c>
    </row>
    <row r="4019" spans="1:11" ht="42" customHeight="1">
      <c r="A4019" s="2" t="s">
        <v>9974</v>
      </c>
      <c r="B4019" s="2" t="s">
        <v>9975</v>
      </c>
      <c r="C4019" s="2" t="s">
        <v>31</v>
      </c>
      <c r="D4019" s="2" t="s">
        <v>32</v>
      </c>
      <c r="E4019" s="5">
        <v>-30727</v>
      </c>
      <c r="F4019" s="3" t="s">
        <v>262</v>
      </c>
      <c r="G4019" s="3" t="s">
        <v>27</v>
      </c>
      <c r="H4019" s="2" t="s">
        <v>72</v>
      </c>
      <c r="I4019" s="2" t="s">
        <v>9976</v>
      </c>
      <c r="J4019" s="3" t="str">
        <f>HYPERLINK("https://www.boe.es/gazeta/dias/1815/11/14/pdfs/GMD-1815-142.pdf#page=6","Abrir facsímil")</f>
        <v>Abrir facsímil</v>
      </c>
      <c r="K4019" s="3" t="s">
        <v>74</v>
      </c>
    </row>
    <row r="4020" spans="1:11" ht="42" customHeight="1">
      <c r="A4020" s="2" t="s">
        <v>9977</v>
      </c>
      <c r="B4020" s="2" t="s">
        <v>9977</v>
      </c>
      <c r="C4020" s="2" t="s">
        <v>49</v>
      </c>
      <c r="D4020" s="2" t="s">
        <v>50</v>
      </c>
      <c r="E4020" s="5">
        <v>-30961</v>
      </c>
      <c r="F4020" s="3" t="s">
        <v>1176</v>
      </c>
      <c r="G4020" s="3" t="s">
        <v>377</v>
      </c>
      <c r="H4020" s="2" t="s">
        <v>72</v>
      </c>
      <c r="I4020" s="2" t="s">
        <v>9978</v>
      </c>
      <c r="J4020" s="3" t="str">
        <f>HYPERLINK("https://www.boe.es/gazeta/dias/1815/03/25/pdfs/GMD-1815-36.pdf#page=2","Abrir facsímil")</f>
        <v>Abrir facsímil</v>
      </c>
      <c r="K4020" s="3" t="s">
        <v>74</v>
      </c>
    </row>
    <row r="4021" spans="1:11" ht="42" customHeight="1">
      <c r="A4021" s="2" t="s">
        <v>9977</v>
      </c>
      <c r="B4021" s="2" t="s">
        <v>9977</v>
      </c>
      <c r="C4021" s="2" t="s">
        <v>31</v>
      </c>
      <c r="D4021" s="2" t="s">
        <v>32</v>
      </c>
      <c r="E4021" s="5">
        <v>-30734</v>
      </c>
      <c r="F4021" s="3" t="s">
        <v>376</v>
      </c>
      <c r="G4021" s="3" t="s">
        <v>97</v>
      </c>
      <c r="H4021" s="2" t="s">
        <v>72</v>
      </c>
      <c r="I4021" s="2" t="s">
        <v>9979</v>
      </c>
      <c r="J4021" s="3" t="str">
        <f>HYPERLINK("https://www.boe.es/gazeta/dias/1815/11/07/pdfs/GMD-1815-139.pdf#page=3","Abrir facsímil")</f>
        <v>Abrir facsímil</v>
      </c>
      <c r="K4021" s="3" t="s">
        <v>74</v>
      </c>
    </row>
    <row r="4022" spans="1:11" ht="42" customHeight="1">
      <c r="A4022" s="2" t="s">
        <v>9980</v>
      </c>
      <c r="B4022" s="2" t="s">
        <v>9980</v>
      </c>
      <c r="C4022" s="2" t="s">
        <v>31</v>
      </c>
      <c r="D4022" s="2" t="s">
        <v>32</v>
      </c>
      <c r="E4022" s="5">
        <v>-30795</v>
      </c>
      <c r="F4022" s="3" t="s">
        <v>172</v>
      </c>
      <c r="G4022" s="3" t="s">
        <v>377</v>
      </c>
      <c r="H4022" s="2" t="s">
        <v>72</v>
      </c>
      <c r="I4022" s="2" t="s">
        <v>9981</v>
      </c>
      <c r="J4022" s="3" t="str">
        <f>HYPERLINK("https://www.boe.es/gazeta/dias/1815/09/07/pdfs/GMD-1815-111.pdf#page=2","Abrir facsímil")</f>
        <v>Abrir facsímil</v>
      </c>
      <c r="K4022" s="3" t="s">
        <v>74</v>
      </c>
    </row>
    <row r="4023" spans="1:11" ht="42" customHeight="1">
      <c r="A4023" s="2" t="s">
        <v>9982</v>
      </c>
      <c r="B4023" s="2" t="s">
        <v>9982</v>
      </c>
      <c r="C4023" s="2" t="s">
        <v>31</v>
      </c>
      <c r="D4023" s="2" t="s">
        <v>32</v>
      </c>
      <c r="E4023" s="5">
        <v>-30795</v>
      </c>
      <c r="F4023" s="3" t="s">
        <v>172</v>
      </c>
      <c r="G4023" s="3" t="s">
        <v>97</v>
      </c>
      <c r="H4023" s="2" t="s">
        <v>72</v>
      </c>
      <c r="I4023" s="2" t="s">
        <v>9983</v>
      </c>
      <c r="J4023" s="3" t="str">
        <f>HYPERLINK("https://www.boe.es/gazeta/dias/1815/09/07/pdfs/GMD-1815-111.pdf#page=3","Abrir facsímil")</f>
        <v>Abrir facsímil</v>
      </c>
      <c r="K4023" s="3" t="s">
        <v>74</v>
      </c>
    </row>
    <row r="4024" spans="1:11" ht="42" customHeight="1">
      <c r="A4024" s="2" t="s">
        <v>9984</v>
      </c>
      <c r="B4024" s="2" t="s">
        <v>9985</v>
      </c>
      <c r="C4024" s="2" t="s">
        <v>61</v>
      </c>
      <c r="D4024" s="2" t="s">
        <v>50</v>
      </c>
      <c r="E4024" s="5">
        <v>-30874</v>
      </c>
      <c r="F4024" s="3" t="s">
        <v>208</v>
      </c>
      <c r="G4024" s="3" t="s">
        <v>38</v>
      </c>
      <c r="H4024" s="2" t="s">
        <v>72</v>
      </c>
      <c r="I4024" s="2" t="s">
        <v>9986</v>
      </c>
      <c r="J4024" s="3" t="str">
        <f>HYPERLINK("https://www.boe.es/gazeta/dias/1815/06/20/pdfs/GMD-1815-74.pdf#page=8","Abrir facsímil")</f>
        <v>Abrir facsímil</v>
      </c>
      <c r="K4024" s="3" t="s">
        <v>74</v>
      </c>
    </row>
    <row r="4025" spans="1:11" ht="42" customHeight="1">
      <c r="A4025" s="2" t="s">
        <v>9987</v>
      </c>
      <c r="B4025" s="2" t="s">
        <v>9988</v>
      </c>
      <c r="C4025" s="2" t="s">
        <v>49</v>
      </c>
      <c r="D4025" s="2" t="s">
        <v>50</v>
      </c>
      <c r="E4025" s="5">
        <v>-30886</v>
      </c>
      <c r="F4025" s="3" t="s">
        <v>140</v>
      </c>
      <c r="G4025" s="3" t="s">
        <v>88</v>
      </c>
      <c r="H4025" s="2" t="s">
        <v>72</v>
      </c>
      <c r="I4025" s="2" t="s">
        <v>9989</v>
      </c>
      <c r="J4025" s="3" t="str">
        <f>HYPERLINK("https://www.boe.es/gazeta/dias/1815/06/08/pdfs/GMD-1815-69.pdf#page=10","Abrir facsímil")</f>
        <v>Abrir facsímil</v>
      </c>
      <c r="K4025" s="3" t="s">
        <v>74</v>
      </c>
    </row>
    <row r="4026" spans="1:11" ht="42" customHeight="1">
      <c r="A4026" s="2" t="s">
        <v>9990</v>
      </c>
      <c r="B4026" s="2" t="s">
        <v>9991</v>
      </c>
      <c r="C4026" s="2" t="s">
        <v>31</v>
      </c>
      <c r="D4026" s="2" t="s">
        <v>32</v>
      </c>
      <c r="E4026" s="5">
        <v>-30916</v>
      </c>
      <c r="F4026" s="3" t="s">
        <v>147</v>
      </c>
      <c r="G4026" s="3" t="s">
        <v>38</v>
      </c>
      <c r="H4026" s="2" t="s">
        <v>72</v>
      </c>
      <c r="I4026" s="2" t="s">
        <v>9992</v>
      </c>
      <c r="J4026" s="3" t="str">
        <f>HYPERLINK("https://www.boe.es/gazeta/dias/1815/05/09/pdfs/GMD-1815-56.pdf#page=8","Abrir facsímil")</f>
        <v>Abrir facsímil</v>
      </c>
      <c r="K4026" s="3" t="s">
        <v>74</v>
      </c>
    </row>
    <row r="4027" spans="1:11" ht="42" customHeight="1">
      <c r="A4027" s="2" t="s">
        <v>9993</v>
      </c>
      <c r="B4027" s="2" t="s">
        <v>9994</v>
      </c>
      <c r="C4027" s="2" t="s">
        <v>49</v>
      </c>
      <c r="D4027" s="2" t="s">
        <v>50</v>
      </c>
      <c r="E4027" s="5">
        <v>-30863</v>
      </c>
      <c r="F4027" s="3" t="s">
        <v>110</v>
      </c>
      <c r="G4027" s="3" t="s">
        <v>224</v>
      </c>
      <c r="H4027" s="2" t="s">
        <v>72</v>
      </c>
      <c r="I4027" s="2" t="s">
        <v>9995</v>
      </c>
      <c r="J4027" s="3" t="str">
        <f>HYPERLINK("https://www.boe.es/gazeta/dias/1815/07/01/pdfs/GMD-1815-79.pdf#page=9","Abrir facsímil")</f>
        <v>Abrir facsímil</v>
      </c>
      <c r="K4027" s="3" t="s">
        <v>74</v>
      </c>
    </row>
    <row r="4028" spans="1:11" ht="42" customHeight="1">
      <c r="A4028" s="2" t="s">
        <v>9996</v>
      </c>
      <c r="B4028" s="2" t="s">
        <v>9997</v>
      </c>
      <c r="C4028" s="2" t="s">
        <v>61</v>
      </c>
      <c r="D4028" s="2" t="s">
        <v>50</v>
      </c>
      <c r="E4028" s="5">
        <v>-31038</v>
      </c>
      <c r="F4028" s="3" t="s">
        <v>395</v>
      </c>
      <c r="G4028" s="3" t="s">
        <v>27</v>
      </c>
      <c r="H4028" s="2" t="s">
        <v>21</v>
      </c>
      <c r="I4028" s="2" t="s">
        <v>9998</v>
      </c>
      <c r="J4028" s="3" t="str">
        <f>HYPERLINK("https://www.boe.es/gazeta/dias/1815/01/07/pdfs/GMD-1815-3.pdf#page=6","Abrir facsímil")</f>
        <v>Abrir facsímil</v>
      </c>
      <c r="K4028" s="3" t="s">
        <v>23</v>
      </c>
    </row>
    <row r="4029" spans="1:11" ht="42" customHeight="1">
      <c r="A4029" s="2" t="s">
        <v>9999</v>
      </c>
      <c r="B4029" s="2" t="s">
        <v>10000</v>
      </c>
      <c r="C4029" s="2" t="s">
        <v>195</v>
      </c>
      <c r="D4029" s="2" t="s">
        <v>50</v>
      </c>
      <c r="E4029" s="5">
        <v>-30783</v>
      </c>
      <c r="F4029" s="3" t="s">
        <v>423</v>
      </c>
      <c r="G4029" s="3" t="s">
        <v>38</v>
      </c>
      <c r="H4029" s="2" t="s">
        <v>21</v>
      </c>
      <c r="I4029" s="2" t="s">
        <v>10001</v>
      </c>
      <c r="J4029" s="3" t="str">
        <f>HYPERLINK("https://www.boe.es/gazeta/dias/1815/09/19/pdfs/GMD-1815-116.pdf#page=8","Abrir facsímil")</f>
        <v>Abrir facsímil</v>
      </c>
      <c r="K4029" s="3" t="s">
        <v>23</v>
      </c>
    </row>
    <row r="4030" spans="1:11" ht="42" customHeight="1">
      <c r="A4030" s="2" t="s">
        <v>10002</v>
      </c>
      <c r="B4030" s="2" t="s">
        <v>10003</v>
      </c>
      <c r="C4030" s="2" t="s">
        <v>31</v>
      </c>
      <c r="D4030" s="2" t="s">
        <v>32</v>
      </c>
      <c r="E4030" s="5">
        <v>-30888</v>
      </c>
      <c r="F4030" s="3" t="s">
        <v>368</v>
      </c>
      <c r="G4030" s="3" t="s">
        <v>38</v>
      </c>
      <c r="H4030" s="2" t="s">
        <v>72</v>
      </c>
      <c r="I4030" s="2" t="s">
        <v>10004</v>
      </c>
      <c r="J4030" s="3" t="str">
        <f>HYPERLINK("https://www.boe.es/gazeta/dias/1815/06/06/pdfs/GMD-1815-68.pdf#page=8","Abrir facsímil")</f>
        <v>Abrir facsímil</v>
      </c>
      <c r="K4030" s="3" t="s">
        <v>74</v>
      </c>
    </row>
    <row r="4031" spans="1:11" ht="42" customHeight="1">
      <c r="A4031" s="2" t="s">
        <v>10005</v>
      </c>
      <c r="B4031" s="2" t="s">
        <v>10005</v>
      </c>
      <c r="C4031" s="2" t="s">
        <v>31</v>
      </c>
      <c r="D4031" s="2" t="s">
        <v>32</v>
      </c>
      <c r="E4031" s="5">
        <v>-30690</v>
      </c>
      <c r="F4031" s="3" t="s">
        <v>1449</v>
      </c>
      <c r="G4031" s="3" t="s">
        <v>377</v>
      </c>
      <c r="H4031" s="2" t="s">
        <v>72</v>
      </c>
      <c r="I4031" s="2" t="s">
        <v>10006</v>
      </c>
      <c r="J4031" s="3" t="str">
        <f>HYPERLINK("https://www.boe.es/gazeta/dias/1815/12/21/pdfs/GMD-1815-158.pdf#page=2","Abrir facsímil")</f>
        <v>Abrir facsímil</v>
      </c>
      <c r="K4031" s="3" t="s">
        <v>74</v>
      </c>
    </row>
    <row r="4032" spans="1:11" ht="42" customHeight="1">
      <c r="A4032" s="2" t="s">
        <v>10007</v>
      </c>
      <c r="B4032" s="2" t="s">
        <v>10008</v>
      </c>
      <c r="C4032" s="2" t="s">
        <v>31</v>
      </c>
      <c r="D4032" s="2" t="s">
        <v>32</v>
      </c>
      <c r="E4032" s="5">
        <v>-31019</v>
      </c>
      <c r="F4032" s="3" t="s">
        <v>1094</v>
      </c>
      <c r="G4032" s="3" t="s">
        <v>52</v>
      </c>
      <c r="H4032" s="2" t="s">
        <v>21</v>
      </c>
      <c r="I4032" s="2" t="s">
        <v>10009</v>
      </c>
      <c r="J4032" s="3" t="str">
        <f>HYPERLINK("https://www.boe.es/gazeta/dias/1815/01/26/pdfs/GMD-1815-11.pdf#page=11","Abrir facsímil")</f>
        <v>Abrir facsímil</v>
      </c>
      <c r="K4032" s="3" t="s">
        <v>23</v>
      </c>
    </row>
    <row r="4033" spans="1:11" ht="42" customHeight="1">
      <c r="A4033" s="2" t="s">
        <v>10010</v>
      </c>
      <c r="B4033" s="2" t="s">
        <v>10011</v>
      </c>
      <c r="C4033" s="2" t="s">
        <v>17</v>
      </c>
      <c r="D4033" s="2" t="s">
        <v>18</v>
      </c>
      <c r="E4033" s="5">
        <v>-30692</v>
      </c>
      <c r="F4033" s="3" t="s">
        <v>508</v>
      </c>
      <c r="G4033" s="3" t="s">
        <v>1353</v>
      </c>
      <c r="H4033" s="2" t="s">
        <v>21</v>
      </c>
      <c r="I4033" s="2" t="s">
        <v>10012</v>
      </c>
      <c r="J4033" s="3" t="str">
        <f>HYPERLINK("https://www.boe.es/gazeta/dias/1815/12/19/pdfs/GMD-1815-157.pdf#page=7","Abrir facsímil")</f>
        <v>Abrir facsímil</v>
      </c>
      <c r="K4033" s="3" t="s">
        <v>23</v>
      </c>
    </row>
    <row r="4034" spans="1:11" ht="42" customHeight="1">
      <c r="A4034" s="2" t="s">
        <v>10013</v>
      </c>
      <c r="B4034" s="2" t="s">
        <v>10013</v>
      </c>
      <c r="C4034" s="2" t="s">
        <v>81</v>
      </c>
      <c r="D4034" s="2" t="s">
        <v>50</v>
      </c>
      <c r="E4034" s="5">
        <v>-30776</v>
      </c>
      <c r="F4034" s="3" t="s">
        <v>118</v>
      </c>
      <c r="G4034" s="3" t="s">
        <v>38</v>
      </c>
      <c r="H4034" s="2" t="s">
        <v>72</v>
      </c>
      <c r="I4034" s="2" t="s">
        <v>10014</v>
      </c>
      <c r="J4034" s="3" t="str">
        <f>HYPERLINK("https://www.boe.es/gazeta/dias/1815/09/26/pdfs/GMD-1815-119.pdf#page=8","Abrir facsímil")</f>
        <v>Abrir facsímil</v>
      </c>
      <c r="K4034" s="3" t="s">
        <v>74</v>
      </c>
    </row>
    <row r="4035" spans="1:11" ht="42" customHeight="1">
      <c r="A4035" s="2" t="s">
        <v>10015</v>
      </c>
      <c r="B4035" s="2" t="s">
        <v>10016</v>
      </c>
      <c r="C4035" s="2" t="s">
        <v>49</v>
      </c>
      <c r="D4035" s="2" t="s">
        <v>50</v>
      </c>
      <c r="E4035" s="5">
        <v>-30996</v>
      </c>
      <c r="F4035" s="3" t="s">
        <v>289</v>
      </c>
      <c r="G4035" s="3" t="s">
        <v>27</v>
      </c>
      <c r="H4035" s="2" t="s">
        <v>72</v>
      </c>
      <c r="I4035" s="2" t="s">
        <v>10017</v>
      </c>
      <c r="J4035" s="3" t="str">
        <f>HYPERLINK("https://www.boe.es/gazeta/dias/1815/02/18/pdfs/GMD-1815-21.pdf#page=6","Abrir facsímil")</f>
        <v>Abrir facsímil</v>
      </c>
      <c r="K4035" s="3" t="s">
        <v>74</v>
      </c>
    </row>
    <row r="4036" spans="1:11" ht="42" customHeight="1">
      <c r="A4036" s="2" t="s">
        <v>10018</v>
      </c>
      <c r="B4036" s="2" t="s">
        <v>10019</v>
      </c>
      <c r="C4036" s="2" t="s">
        <v>31</v>
      </c>
      <c r="D4036" s="2" t="s">
        <v>32</v>
      </c>
      <c r="E4036" s="5">
        <v>-30979</v>
      </c>
      <c r="F4036" s="3" t="s">
        <v>56</v>
      </c>
      <c r="G4036" s="3" t="s">
        <v>57</v>
      </c>
      <c r="H4036" s="2" t="s">
        <v>72</v>
      </c>
      <c r="I4036" s="2" t="s">
        <v>10020</v>
      </c>
      <c r="J4036" s="3" t="str">
        <f>HYPERLINK("https://www.boe.es/gazeta/dias/1815/03/07/pdfs/GMD-1815-28.pdf#page=5","Abrir facsímil")</f>
        <v>Abrir facsímil</v>
      </c>
      <c r="K4036" s="3" t="s">
        <v>74</v>
      </c>
    </row>
    <row r="4037" spans="1:11" ht="42" customHeight="1">
      <c r="A4037" s="2" t="s">
        <v>10021</v>
      </c>
      <c r="B4037" s="2" t="s">
        <v>10021</v>
      </c>
      <c r="C4037" s="2" t="s">
        <v>49</v>
      </c>
      <c r="D4037" s="2" t="s">
        <v>50</v>
      </c>
      <c r="E4037" s="5">
        <v>-30870</v>
      </c>
      <c r="F4037" s="3" t="s">
        <v>122</v>
      </c>
      <c r="G4037" s="3" t="s">
        <v>52</v>
      </c>
      <c r="H4037" s="2" t="s">
        <v>72</v>
      </c>
      <c r="I4037" s="2" t="s">
        <v>10022</v>
      </c>
      <c r="J4037" s="3" t="str">
        <f>HYPERLINK("https://www.boe.es/gazeta/dias/1815/06/24/pdfs/GMD-1815-76.pdf#page=11","Abrir facsímil")</f>
        <v>Abrir facsímil</v>
      </c>
      <c r="K4037" s="3" t="s">
        <v>74</v>
      </c>
    </row>
    <row r="4038" spans="1:11" ht="42" customHeight="1">
      <c r="A4038" s="2" t="s">
        <v>10021</v>
      </c>
      <c r="B4038" s="2" t="s">
        <v>10021</v>
      </c>
      <c r="C4038" s="2" t="s">
        <v>195</v>
      </c>
      <c r="D4038" s="2" t="s">
        <v>50</v>
      </c>
      <c r="E4038" s="5">
        <v>-30837</v>
      </c>
      <c r="F4038" s="3" t="s">
        <v>2256</v>
      </c>
      <c r="G4038" s="3" t="s">
        <v>38</v>
      </c>
      <c r="H4038" s="2" t="s">
        <v>72</v>
      </c>
      <c r="I4038" s="2" t="s">
        <v>10023</v>
      </c>
      <c r="J4038" s="3" t="str">
        <f>HYPERLINK("https://www.boe.es/gazeta/dias/1815/07/27/pdfs/GMD-1815-92.pdf#page=8","Abrir facsímil")</f>
        <v>Abrir facsímil</v>
      </c>
      <c r="K4038" s="3" t="s">
        <v>74</v>
      </c>
    </row>
    <row r="4039" spans="1:11" ht="42" customHeight="1">
      <c r="A4039" s="2" t="s">
        <v>10024</v>
      </c>
      <c r="B4039" s="2" t="s">
        <v>10024</v>
      </c>
      <c r="C4039" s="2" t="s">
        <v>31</v>
      </c>
      <c r="D4039" s="2" t="s">
        <v>32</v>
      </c>
      <c r="E4039" s="5">
        <v>-30933</v>
      </c>
      <c r="F4039" s="3" t="s">
        <v>725</v>
      </c>
      <c r="G4039" s="3" t="s">
        <v>57</v>
      </c>
      <c r="H4039" s="2" t="s">
        <v>72</v>
      </c>
      <c r="I4039" s="2" t="s">
        <v>10025</v>
      </c>
      <c r="J4039" s="3" t="str">
        <f>HYPERLINK("https://www.boe.es/gazeta/dias/1815/04/22/pdfs/GMD-1815-49.pdf#page=5","Abrir facsímil")</f>
        <v>Abrir facsímil</v>
      </c>
      <c r="K4039" s="3" t="s">
        <v>74</v>
      </c>
    </row>
    <row r="4040" spans="1:11" ht="42" customHeight="1">
      <c r="A4040" s="2" t="s">
        <v>10024</v>
      </c>
      <c r="B4040" s="2" t="s">
        <v>10024</v>
      </c>
      <c r="C4040" s="2" t="s">
        <v>17</v>
      </c>
      <c r="D4040" s="2" t="s">
        <v>18</v>
      </c>
      <c r="E4040" s="5">
        <v>-30933</v>
      </c>
      <c r="F4040" s="3" t="s">
        <v>725</v>
      </c>
      <c r="G4040" s="3" t="s">
        <v>27</v>
      </c>
      <c r="H4040" s="2" t="s">
        <v>72</v>
      </c>
      <c r="I4040" s="2" t="s">
        <v>10026</v>
      </c>
      <c r="J4040" s="3" t="str">
        <f>HYPERLINK("https://www.boe.es/gazeta/dias/1815/04/22/pdfs/GMD-1815-49.pdf#page=6","Abrir facsímil")</f>
        <v>Abrir facsímil</v>
      </c>
      <c r="K4040" s="3" t="s">
        <v>74</v>
      </c>
    </row>
    <row r="4041" spans="1:11" ht="42" customHeight="1">
      <c r="A4041" s="2" t="s">
        <v>10024</v>
      </c>
      <c r="B4041" s="2" t="s">
        <v>10024</v>
      </c>
      <c r="C4041" s="2" t="s">
        <v>17</v>
      </c>
      <c r="D4041" s="2" t="s">
        <v>18</v>
      </c>
      <c r="E4041" s="5">
        <v>-30895</v>
      </c>
      <c r="F4041" s="3" t="s">
        <v>176</v>
      </c>
      <c r="G4041" s="3" t="s">
        <v>377</v>
      </c>
      <c r="H4041" s="2" t="s">
        <v>72</v>
      </c>
      <c r="I4041" s="2" t="s">
        <v>10027</v>
      </c>
      <c r="J4041" s="3" t="str">
        <f>HYPERLINK("https://www.boe.es/gazeta/dias/1815/05/30/pdfs/GMD-1815-65.pdf#page=2","Abrir facsímil")</f>
        <v>Abrir facsímil</v>
      </c>
      <c r="K4041" s="3" t="s">
        <v>74</v>
      </c>
    </row>
    <row r="4042" spans="1:11" ht="42" customHeight="1">
      <c r="A4042" s="2" t="s">
        <v>10028</v>
      </c>
      <c r="B4042" s="2" t="s">
        <v>10029</v>
      </c>
      <c r="C4042" s="2" t="s">
        <v>49</v>
      </c>
      <c r="D4042" s="2" t="s">
        <v>50</v>
      </c>
      <c r="E4042" s="5">
        <v>-30886</v>
      </c>
      <c r="F4042" s="3" t="s">
        <v>140</v>
      </c>
      <c r="G4042" s="3" t="s">
        <v>52</v>
      </c>
      <c r="H4042" s="2" t="s">
        <v>21</v>
      </c>
      <c r="I4042" s="2" t="s">
        <v>10030</v>
      </c>
      <c r="J4042" s="3" t="str">
        <f>HYPERLINK("https://www.boe.es/gazeta/dias/1815/06/08/pdfs/GMD-1815-69.pdf#page=11","Abrir facsímil")</f>
        <v>Abrir facsímil</v>
      </c>
      <c r="K4042" s="3" t="s">
        <v>23</v>
      </c>
    </row>
    <row r="4043" spans="1:11" ht="42" customHeight="1">
      <c r="A4043" s="2" t="s">
        <v>10031</v>
      </c>
      <c r="B4043" s="2" t="s">
        <v>10032</v>
      </c>
      <c r="C4043" s="2" t="s">
        <v>17</v>
      </c>
      <c r="D4043" s="2" t="s">
        <v>18</v>
      </c>
      <c r="E4043" s="5">
        <v>-31028</v>
      </c>
      <c r="F4043" s="3" t="s">
        <v>517</v>
      </c>
      <c r="G4043" s="3" t="s">
        <v>27</v>
      </c>
      <c r="H4043" s="2" t="s">
        <v>72</v>
      </c>
      <c r="I4043" s="2" t="s">
        <v>10033</v>
      </c>
      <c r="J4043" s="3" t="str">
        <f>HYPERLINK("https://www.boe.es/gazeta/dias/1815/01/17/pdfs/GMD-1815-7.pdf#page=6","Abrir facsímil")</f>
        <v>Abrir facsímil</v>
      </c>
      <c r="K4043" s="3" t="s">
        <v>74</v>
      </c>
    </row>
    <row r="4044" spans="1:11" ht="42" customHeight="1">
      <c r="A4044" s="2" t="s">
        <v>10031</v>
      </c>
      <c r="B4044" s="2" t="s">
        <v>10032</v>
      </c>
      <c r="C4044" s="2" t="s">
        <v>49</v>
      </c>
      <c r="D4044" s="2" t="s">
        <v>50</v>
      </c>
      <c r="E4044" s="5">
        <v>-30968</v>
      </c>
      <c r="F4044" s="3" t="s">
        <v>2695</v>
      </c>
      <c r="G4044" s="3" t="s">
        <v>52</v>
      </c>
      <c r="H4044" s="2" t="s">
        <v>72</v>
      </c>
      <c r="I4044" s="2" t="s">
        <v>10034</v>
      </c>
      <c r="J4044" s="3" t="str">
        <f>HYPERLINK("https://www.boe.es/gazeta/dias/1815/03/18/pdfs/GMD-1815-33.pdf#page=11","Abrir facsímil")</f>
        <v>Abrir facsímil</v>
      </c>
      <c r="K4044" s="3" t="s">
        <v>74</v>
      </c>
    </row>
    <row r="4045" spans="1:11" ht="42" customHeight="1">
      <c r="A4045" s="2" t="s">
        <v>10035</v>
      </c>
      <c r="B4045" s="2" t="s">
        <v>10035</v>
      </c>
      <c r="C4045" s="2" t="s">
        <v>31</v>
      </c>
      <c r="D4045" s="2" t="s">
        <v>179</v>
      </c>
      <c r="E4045" s="5">
        <v>-30860</v>
      </c>
      <c r="F4045" s="3" t="s">
        <v>180</v>
      </c>
      <c r="G4045" s="3" t="s">
        <v>20</v>
      </c>
      <c r="H4045" s="2" t="s">
        <v>72</v>
      </c>
      <c r="I4045" s="2" t="s">
        <v>10036</v>
      </c>
      <c r="J4045" s="3" t="str">
        <f>HYPERLINK("https://www.boe.es/gazeta/dias/1815/07/04/pdfs/GMD-1815-82E.pdf#page=4","Abrir facsímil")</f>
        <v>Abrir facsímil</v>
      </c>
      <c r="K4045" s="3" t="s">
        <v>74</v>
      </c>
    </row>
    <row r="4046" spans="1:11" ht="42" customHeight="1">
      <c r="A4046" s="2" t="s">
        <v>10037</v>
      </c>
      <c r="B4046" s="2" t="s">
        <v>10038</v>
      </c>
      <c r="C4046" s="2" t="s">
        <v>31</v>
      </c>
      <c r="D4046" s="2" t="s">
        <v>179</v>
      </c>
      <c r="E4046" s="5">
        <v>-30860</v>
      </c>
      <c r="F4046" s="3" t="s">
        <v>180</v>
      </c>
      <c r="G4046" s="3" t="s">
        <v>377</v>
      </c>
      <c r="H4046" s="2" t="s">
        <v>21</v>
      </c>
      <c r="I4046" s="2" t="s">
        <v>10039</v>
      </c>
      <c r="J4046" s="3" t="str">
        <f>HYPERLINK("https://www.boe.es/gazeta/dias/1815/07/04/pdfs/GMD-1815-82E.pdf#page=2","Abrir facsímil")</f>
        <v>Abrir facsímil</v>
      </c>
      <c r="K4046" s="3" t="s">
        <v>23</v>
      </c>
    </row>
    <row r="4047" spans="1:11" ht="42" customHeight="1">
      <c r="A4047" s="2" t="s">
        <v>10040</v>
      </c>
      <c r="B4047" s="2" t="s">
        <v>10041</v>
      </c>
      <c r="C4047" s="2" t="s">
        <v>49</v>
      </c>
      <c r="D4047" s="2" t="s">
        <v>50</v>
      </c>
      <c r="E4047" s="5">
        <v>-30865</v>
      </c>
      <c r="F4047" s="3" t="s">
        <v>163</v>
      </c>
      <c r="G4047" s="3" t="s">
        <v>38</v>
      </c>
      <c r="H4047" s="2" t="s">
        <v>72</v>
      </c>
      <c r="I4047" s="2" t="s">
        <v>10042</v>
      </c>
      <c r="J4047" s="3" t="str">
        <f>HYPERLINK("https://www.boe.es/gazeta/dias/1815/06/29/pdfs/GMD-1815-78.pdf#page=8","Abrir facsímil")</f>
        <v>Abrir facsímil</v>
      </c>
      <c r="K4047" s="3" t="s">
        <v>74</v>
      </c>
    </row>
    <row r="4048" spans="1:11" ht="42" customHeight="1">
      <c r="A4048" s="2" t="s">
        <v>10040</v>
      </c>
      <c r="B4048" s="2" t="s">
        <v>10041</v>
      </c>
      <c r="C4048" s="2" t="s">
        <v>49</v>
      </c>
      <c r="D4048" s="2" t="s">
        <v>50</v>
      </c>
      <c r="E4048" s="5">
        <v>-30767</v>
      </c>
      <c r="F4048" s="3" t="s">
        <v>228</v>
      </c>
      <c r="G4048" s="3" t="s">
        <v>88</v>
      </c>
      <c r="H4048" s="2" t="s">
        <v>72</v>
      </c>
      <c r="I4048" s="2" t="s">
        <v>10043</v>
      </c>
      <c r="J4048" s="3" t="str">
        <f>HYPERLINK("https://www.boe.es/gazeta/dias/1815/10/05/pdfs/GMD-1815-125.pdf#page=10","Abrir facsímil")</f>
        <v>Abrir facsímil</v>
      </c>
      <c r="K4048" s="3" t="s">
        <v>74</v>
      </c>
    </row>
    <row r="4049" spans="1:11" ht="42" customHeight="1">
      <c r="A4049" s="2" t="s">
        <v>10044</v>
      </c>
      <c r="B4049" s="2" t="s">
        <v>10044</v>
      </c>
      <c r="C4049" s="2" t="s">
        <v>31</v>
      </c>
      <c r="D4049" s="2" t="s">
        <v>32</v>
      </c>
      <c r="E4049" s="5">
        <v>-30849</v>
      </c>
      <c r="F4049" s="3" t="s">
        <v>501</v>
      </c>
      <c r="G4049" s="3" t="s">
        <v>410</v>
      </c>
      <c r="H4049" s="2" t="s">
        <v>72</v>
      </c>
      <c r="I4049" s="2" t="s">
        <v>10045</v>
      </c>
      <c r="J4049" s="3" t="str">
        <f>HYPERLINK("https://www.boe.es/gazeta/dias/1815/07/15/pdfs/GMD-1815-87.pdf#page=1","Abrir facsímil")</f>
        <v>Abrir facsímil</v>
      </c>
      <c r="K4049" s="3" t="s">
        <v>74</v>
      </c>
    </row>
    <row r="4050" spans="1:11" ht="42" customHeight="1">
      <c r="A4050" s="2" t="s">
        <v>10046</v>
      </c>
      <c r="B4050" s="2" t="s">
        <v>10047</v>
      </c>
      <c r="C4050" s="2" t="s">
        <v>49</v>
      </c>
      <c r="D4050" s="2" t="s">
        <v>50</v>
      </c>
      <c r="E4050" s="5">
        <v>-30886</v>
      </c>
      <c r="F4050" s="3" t="s">
        <v>140</v>
      </c>
      <c r="G4050" s="3" t="s">
        <v>38</v>
      </c>
      <c r="H4050" s="2" t="s">
        <v>72</v>
      </c>
      <c r="I4050" s="2" t="s">
        <v>10048</v>
      </c>
      <c r="J4050" s="3" t="str">
        <f>HYPERLINK("https://www.boe.es/gazeta/dias/1815/06/08/pdfs/GMD-1815-69.pdf#page=8","Abrir facsímil")</f>
        <v>Abrir facsímil</v>
      </c>
      <c r="K4050" s="3" t="s">
        <v>74</v>
      </c>
    </row>
    <row r="4051" spans="1:11" ht="42" customHeight="1">
      <c r="A4051" s="2" t="s">
        <v>10049</v>
      </c>
      <c r="B4051" s="2" t="s">
        <v>10049</v>
      </c>
      <c r="C4051" s="2" t="s">
        <v>31</v>
      </c>
      <c r="D4051" s="2" t="s">
        <v>32</v>
      </c>
      <c r="E4051" s="5">
        <v>-30760</v>
      </c>
      <c r="F4051" s="3" t="s">
        <v>349</v>
      </c>
      <c r="G4051" s="3" t="s">
        <v>97</v>
      </c>
      <c r="H4051" s="2" t="s">
        <v>72</v>
      </c>
      <c r="I4051" s="2" t="s">
        <v>10050</v>
      </c>
      <c r="J4051" s="3" t="str">
        <f>HYPERLINK("https://www.boe.es/gazeta/dias/1815/10/12/pdfs/GMD-1815-128.pdf#page=3","Abrir facsímil")</f>
        <v>Abrir facsímil</v>
      </c>
      <c r="K4051" s="3" t="s">
        <v>74</v>
      </c>
    </row>
    <row r="4052" spans="1:11" ht="42" customHeight="1">
      <c r="A4052" s="2" t="s">
        <v>10051</v>
      </c>
      <c r="B4052" s="2" t="s">
        <v>10052</v>
      </c>
      <c r="C4052" s="2" t="s">
        <v>31</v>
      </c>
      <c r="D4052" s="2" t="s">
        <v>32</v>
      </c>
      <c r="E4052" s="5">
        <v>-30902</v>
      </c>
      <c r="F4052" s="3" t="s">
        <v>648</v>
      </c>
      <c r="G4052" s="3" t="s">
        <v>38</v>
      </c>
      <c r="H4052" s="2" t="s">
        <v>72</v>
      </c>
      <c r="I4052" s="2" t="s">
        <v>10053</v>
      </c>
      <c r="J4052" s="3" t="str">
        <f>HYPERLINK("https://www.boe.es/gazeta/dias/1815/05/23/pdfs/GMD-1815-62.pdf#page=8","Abrir facsímil")</f>
        <v>Abrir facsímil</v>
      </c>
      <c r="K4052" s="3" t="s">
        <v>74</v>
      </c>
    </row>
    <row r="4053" spans="1:11" ht="42" customHeight="1">
      <c r="A4053" s="2" t="s">
        <v>10054</v>
      </c>
      <c r="B4053" s="2" t="s">
        <v>10055</v>
      </c>
      <c r="C4053" s="2" t="s">
        <v>49</v>
      </c>
      <c r="D4053" s="2" t="s">
        <v>50</v>
      </c>
      <c r="E4053" s="5">
        <v>-30767</v>
      </c>
      <c r="F4053" s="3" t="s">
        <v>228</v>
      </c>
      <c r="G4053" s="3" t="s">
        <v>88</v>
      </c>
      <c r="H4053" s="2" t="s">
        <v>72</v>
      </c>
      <c r="I4053" s="2" t="s">
        <v>10056</v>
      </c>
      <c r="J4053" s="3" t="str">
        <f>HYPERLINK("https://www.boe.es/gazeta/dias/1815/10/05/pdfs/GMD-1815-125.pdf#page=10","Abrir facsímil")</f>
        <v>Abrir facsímil</v>
      </c>
      <c r="K4053" s="3" t="s">
        <v>74</v>
      </c>
    </row>
    <row r="4054" spans="1:11" ht="42" customHeight="1">
      <c r="A4054" s="2" t="s">
        <v>10057</v>
      </c>
      <c r="B4054" s="2" t="s">
        <v>10058</v>
      </c>
      <c r="C4054" s="2" t="s">
        <v>61</v>
      </c>
      <c r="D4054" s="2" t="s">
        <v>50</v>
      </c>
      <c r="E4054" s="5">
        <v>-31012</v>
      </c>
      <c r="F4054" s="3" t="s">
        <v>529</v>
      </c>
      <c r="G4054" s="3" t="s">
        <v>530</v>
      </c>
      <c r="H4054" s="2" t="s">
        <v>72</v>
      </c>
      <c r="I4054" s="2" t="s">
        <v>10059</v>
      </c>
      <c r="J4054" s="3" t="str">
        <f>HYPERLINK("https://www.boe.es/gazeta/dias/1815/02/02/pdfs/GMD-1815-14.pdf#page=6","Abrir facsímil")</f>
        <v>Abrir facsímil</v>
      </c>
      <c r="K4054" s="3" t="s">
        <v>74</v>
      </c>
    </row>
    <row r="4055" spans="1:11" ht="42" customHeight="1">
      <c r="A4055" s="2" t="s">
        <v>10060</v>
      </c>
      <c r="B4055" s="2" t="s">
        <v>10060</v>
      </c>
      <c r="C4055" s="2" t="s">
        <v>31</v>
      </c>
      <c r="D4055" s="2" t="s">
        <v>32</v>
      </c>
      <c r="E4055" s="5">
        <v>-30842</v>
      </c>
      <c r="F4055" s="3" t="s">
        <v>126</v>
      </c>
      <c r="G4055" s="3" t="s">
        <v>97</v>
      </c>
      <c r="H4055" s="2" t="s">
        <v>72</v>
      </c>
      <c r="I4055" s="2" t="s">
        <v>10061</v>
      </c>
      <c r="J4055" s="3" t="str">
        <f>HYPERLINK("https://www.boe.es/gazeta/dias/1815/07/22/pdfs/GMD-1815-90.pdf#page=3","Abrir facsímil")</f>
        <v>Abrir facsímil</v>
      </c>
      <c r="K4055" s="3" t="s">
        <v>74</v>
      </c>
    </row>
    <row r="4056" spans="1:11" ht="42" customHeight="1">
      <c r="A4056" s="2" t="s">
        <v>10062</v>
      </c>
      <c r="B4056" s="2" t="s">
        <v>10062</v>
      </c>
      <c r="C4056" s="2" t="s">
        <v>31</v>
      </c>
      <c r="D4056" s="2" t="s">
        <v>179</v>
      </c>
      <c r="E4056" s="5">
        <v>-30863</v>
      </c>
      <c r="F4056" s="3" t="s">
        <v>2024</v>
      </c>
      <c r="G4056" s="3" t="s">
        <v>377</v>
      </c>
      <c r="H4056" s="2" t="s">
        <v>72</v>
      </c>
      <c r="I4056" s="2" t="s">
        <v>10063</v>
      </c>
      <c r="J4056" s="3" t="str">
        <f>HYPERLINK("https://www.boe.es/gazeta/dias/1815/07/01/pdfs/GMD-1815-80E.pdf#page=2","Abrir facsímil")</f>
        <v>Abrir facsímil</v>
      </c>
      <c r="K4056" s="3" t="s">
        <v>74</v>
      </c>
    </row>
    <row r="4057" spans="1:11" ht="42" customHeight="1">
      <c r="A4057" s="2" t="s">
        <v>10064</v>
      </c>
      <c r="B4057" s="2" t="s">
        <v>10064</v>
      </c>
      <c r="C4057" s="2" t="s">
        <v>31</v>
      </c>
      <c r="D4057" s="2" t="s">
        <v>32</v>
      </c>
      <c r="E4057" s="5">
        <v>-30972</v>
      </c>
      <c r="F4057" s="3" t="s">
        <v>1382</v>
      </c>
      <c r="G4057" s="3" t="s">
        <v>97</v>
      </c>
      <c r="H4057" s="2" t="s">
        <v>72</v>
      </c>
      <c r="I4057" s="2" t="s">
        <v>10065</v>
      </c>
      <c r="J4057" s="3" t="str">
        <f>HYPERLINK("https://www.boe.es/gazeta/dias/1815/03/14/pdfs/GMD-1815-31.pdf#page=3","Abrir facsímil")</f>
        <v>Abrir facsímil</v>
      </c>
      <c r="K4057" s="3" t="s">
        <v>74</v>
      </c>
    </row>
    <row r="4058" spans="1:11" ht="42" customHeight="1">
      <c r="A4058" s="2" t="s">
        <v>10066</v>
      </c>
      <c r="B4058" s="2" t="s">
        <v>10067</v>
      </c>
      <c r="C4058" s="2" t="s">
        <v>17</v>
      </c>
      <c r="D4058" s="2" t="s">
        <v>18</v>
      </c>
      <c r="E4058" s="5">
        <v>-31007</v>
      </c>
      <c r="F4058" s="3" t="s">
        <v>200</v>
      </c>
      <c r="G4058" s="3" t="s">
        <v>20</v>
      </c>
      <c r="H4058" s="2" t="s">
        <v>72</v>
      </c>
      <c r="I4058" s="2" t="s">
        <v>10068</v>
      </c>
      <c r="J4058" s="3" t="str">
        <f>HYPERLINK("https://www.boe.es/gazeta/dias/1815/02/07/pdfs/GMD-1815-16.pdf#page=4","Abrir facsímil")</f>
        <v>Abrir facsímil</v>
      </c>
      <c r="K4058" s="3" t="s">
        <v>74</v>
      </c>
    </row>
    <row r="4059" spans="1:11" ht="42" customHeight="1">
      <c r="A4059" s="2" t="s">
        <v>10069</v>
      </c>
      <c r="B4059" s="2" t="s">
        <v>10070</v>
      </c>
      <c r="C4059" s="2" t="s">
        <v>17</v>
      </c>
      <c r="D4059" s="2" t="s">
        <v>18</v>
      </c>
      <c r="E4059" s="5">
        <v>-31040</v>
      </c>
      <c r="F4059" s="3" t="s">
        <v>326</v>
      </c>
      <c r="G4059" s="3" t="s">
        <v>27</v>
      </c>
      <c r="H4059" s="2" t="s">
        <v>72</v>
      </c>
      <c r="I4059" s="2" t="s">
        <v>10071</v>
      </c>
      <c r="J4059" s="3" t="str">
        <f>HYPERLINK("https://www.boe.es/gazeta/dias/1815/01/05/pdfs/GMD-1815-2.pdf#page=6","Abrir facsímil")</f>
        <v>Abrir facsímil</v>
      </c>
      <c r="K4059" s="3" t="s">
        <v>74</v>
      </c>
    </row>
    <row r="4060" spans="1:11" ht="42" customHeight="1">
      <c r="A4060" s="2" t="s">
        <v>10072</v>
      </c>
      <c r="B4060" s="2" t="s">
        <v>10073</v>
      </c>
      <c r="C4060" s="2" t="s">
        <v>61</v>
      </c>
      <c r="D4060" s="2" t="s">
        <v>50</v>
      </c>
      <c r="E4060" s="5">
        <v>-30711</v>
      </c>
      <c r="F4060" s="3" t="s">
        <v>438</v>
      </c>
      <c r="G4060" s="3" t="s">
        <v>38</v>
      </c>
      <c r="H4060" s="2" t="s">
        <v>72</v>
      </c>
      <c r="I4060" s="2" t="s">
        <v>10074</v>
      </c>
      <c r="J4060" s="3" t="str">
        <f>HYPERLINK("https://www.boe.es/gazeta/dias/1815/11/30/pdfs/GMD-1815-149.pdf#page=8","Abrir facsímil")</f>
        <v>Abrir facsímil</v>
      </c>
      <c r="K4060" s="3" t="s">
        <v>74</v>
      </c>
    </row>
    <row r="4061" spans="1:11" ht="42" customHeight="1">
      <c r="A4061" s="2" t="s">
        <v>10075</v>
      </c>
      <c r="B4061" s="2" t="s">
        <v>10076</v>
      </c>
      <c r="C4061" s="2" t="s">
        <v>195</v>
      </c>
      <c r="D4061" s="2" t="s">
        <v>50</v>
      </c>
      <c r="E4061" s="5">
        <v>-30888</v>
      </c>
      <c r="F4061" s="3" t="s">
        <v>368</v>
      </c>
      <c r="G4061" s="3" t="s">
        <v>369</v>
      </c>
      <c r="H4061" s="2" t="s">
        <v>72</v>
      </c>
      <c r="I4061" s="2" t="s">
        <v>10077</v>
      </c>
      <c r="J4061" s="3" t="str">
        <f>HYPERLINK("https://www.boe.es/gazeta/dias/1815/06/06/pdfs/GMD-1815-68.pdf#page=7","Abrir facsímil")</f>
        <v>Abrir facsímil</v>
      </c>
      <c r="K4061" s="3" t="s">
        <v>74</v>
      </c>
    </row>
    <row r="4062" spans="1:11" ht="42" customHeight="1">
      <c r="A4062" s="2" t="s">
        <v>10078</v>
      </c>
      <c r="B4062" s="2" t="s">
        <v>10079</v>
      </c>
      <c r="C4062" s="2" t="s">
        <v>81</v>
      </c>
      <c r="D4062" s="2" t="s">
        <v>50</v>
      </c>
      <c r="E4062" s="5">
        <v>-30942</v>
      </c>
      <c r="F4062" s="3" t="s">
        <v>730</v>
      </c>
      <c r="G4062" s="3" t="s">
        <v>71</v>
      </c>
      <c r="H4062" s="2" t="s">
        <v>72</v>
      </c>
      <c r="I4062" s="2" t="s">
        <v>10080</v>
      </c>
      <c r="J4062" s="3" t="str">
        <f>HYPERLINK("https://www.boe.es/gazeta/dias/1815/04/13/pdfs/GMD-1815-45.pdf#page=7","Abrir facsímil")</f>
        <v>Abrir facsímil</v>
      </c>
      <c r="K4062" s="3" t="s">
        <v>74</v>
      </c>
    </row>
    <row r="4063" spans="1:11" ht="42" customHeight="1">
      <c r="A4063" s="2" t="s">
        <v>10081</v>
      </c>
      <c r="B4063" s="2" t="s">
        <v>10082</v>
      </c>
      <c r="C4063" s="2" t="s">
        <v>17</v>
      </c>
      <c r="D4063" s="2" t="s">
        <v>18</v>
      </c>
      <c r="E4063" s="5">
        <v>-30713</v>
      </c>
      <c r="F4063" s="3" t="s">
        <v>895</v>
      </c>
      <c r="G4063" s="3" t="s">
        <v>57</v>
      </c>
      <c r="H4063" s="2" t="s">
        <v>72</v>
      </c>
      <c r="I4063" s="2" t="s">
        <v>10083</v>
      </c>
      <c r="J4063" s="3" t="str">
        <f>HYPERLINK("https://www.boe.es/gazeta/dias/1815/11/28/pdfs/GMD-1815-148.pdf#page=5","Abrir facsímil")</f>
        <v>Abrir facsímil</v>
      </c>
      <c r="K4063" s="3" t="s">
        <v>74</v>
      </c>
    </row>
    <row r="4064" spans="1:11" ht="42" customHeight="1">
      <c r="A4064" s="2" t="s">
        <v>10084</v>
      </c>
      <c r="B4064" s="2" t="s">
        <v>10085</v>
      </c>
      <c r="C4064" s="2" t="s">
        <v>195</v>
      </c>
      <c r="D4064" s="2" t="s">
        <v>50</v>
      </c>
      <c r="E4064" s="5">
        <v>-30739</v>
      </c>
      <c r="F4064" s="3" t="s">
        <v>254</v>
      </c>
      <c r="G4064" s="3" t="s">
        <v>52</v>
      </c>
      <c r="H4064" s="2" t="s">
        <v>72</v>
      </c>
      <c r="I4064" s="2" t="s">
        <v>10086</v>
      </c>
      <c r="J4064" s="3" t="str">
        <f>HYPERLINK("https://www.boe.es/gazeta/dias/1815/11/02/pdfs/GMD-1815-137.pdf#page=11","Abrir facsímil")</f>
        <v>Abrir facsímil</v>
      </c>
      <c r="K4064" s="3" t="s">
        <v>74</v>
      </c>
    </row>
    <row r="4065" spans="1:11" ht="42" customHeight="1">
      <c r="A4065" s="2" t="s">
        <v>10087</v>
      </c>
      <c r="B4065" s="2" t="s">
        <v>10088</v>
      </c>
      <c r="C4065" s="2" t="s">
        <v>195</v>
      </c>
      <c r="D4065" s="2" t="s">
        <v>50</v>
      </c>
      <c r="E4065" s="5">
        <v>-30874</v>
      </c>
      <c r="F4065" s="3" t="s">
        <v>208</v>
      </c>
      <c r="G4065" s="3" t="s">
        <v>71</v>
      </c>
      <c r="H4065" s="2" t="s">
        <v>72</v>
      </c>
      <c r="I4065" s="2" t="s">
        <v>10089</v>
      </c>
      <c r="J4065" s="3" t="str">
        <f>HYPERLINK("https://www.boe.es/gazeta/dias/1815/06/20/pdfs/GMD-1815-74.pdf#page=7","Abrir facsímil")</f>
        <v>Abrir facsímil</v>
      </c>
      <c r="K4065" s="3" t="s">
        <v>74</v>
      </c>
    </row>
    <row r="4066" spans="1:11" ht="42" customHeight="1">
      <c r="A4066" s="2" t="s">
        <v>10090</v>
      </c>
      <c r="B4066" s="2" t="s">
        <v>10091</v>
      </c>
      <c r="C4066" s="2" t="s">
        <v>31</v>
      </c>
      <c r="D4066" s="2" t="s">
        <v>32</v>
      </c>
      <c r="E4066" s="5">
        <v>-30870</v>
      </c>
      <c r="F4066" s="3" t="s">
        <v>122</v>
      </c>
      <c r="G4066" s="3" t="s">
        <v>38</v>
      </c>
      <c r="H4066" s="2" t="s">
        <v>72</v>
      </c>
      <c r="I4066" s="2" t="s">
        <v>10092</v>
      </c>
      <c r="J4066" s="3" t="str">
        <f>HYPERLINK("https://www.boe.es/gazeta/dias/1815/06/24/pdfs/GMD-1815-76.pdf#page=8","Abrir facsímil")</f>
        <v>Abrir facsímil</v>
      </c>
      <c r="K4066" s="3" t="s">
        <v>74</v>
      </c>
    </row>
    <row r="4067" spans="1:11" ht="42" customHeight="1">
      <c r="A4067" s="2" t="s">
        <v>10093</v>
      </c>
      <c r="B4067" s="2" t="s">
        <v>10094</v>
      </c>
      <c r="C4067" s="2" t="s">
        <v>31</v>
      </c>
      <c r="D4067" s="2" t="s">
        <v>32</v>
      </c>
      <c r="E4067" s="5">
        <v>-30865</v>
      </c>
      <c r="F4067" s="3" t="s">
        <v>163</v>
      </c>
      <c r="G4067" s="3" t="s">
        <v>38</v>
      </c>
      <c r="H4067" s="2" t="s">
        <v>72</v>
      </c>
      <c r="I4067" s="2" t="s">
        <v>10095</v>
      </c>
      <c r="J4067" s="3" t="str">
        <f>HYPERLINK("https://www.boe.es/gazeta/dias/1815/06/29/pdfs/GMD-1815-78.pdf#page=8","Abrir facsímil")</f>
        <v>Abrir facsímil</v>
      </c>
      <c r="K4067" s="3" t="s">
        <v>74</v>
      </c>
    </row>
    <row r="4068" spans="1:11" ht="42" customHeight="1">
      <c r="A4068" s="2" t="s">
        <v>10096</v>
      </c>
      <c r="B4068" s="2" t="s">
        <v>10097</v>
      </c>
      <c r="C4068" s="2" t="s">
        <v>49</v>
      </c>
      <c r="D4068" s="2" t="s">
        <v>50</v>
      </c>
      <c r="E4068" s="5">
        <v>-30720</v>
      </c>
      <c r="F4068" s="3" t="s">
        <v>373</v>
      </c>
      <c r="G4068" s="3" t="s">
        <v>224</v>
      </c>
      <c r="H4068" s="2" t="s">
        <v>21</v>
      </c>
      <c r="I4068" s="2" t="s">
        <v>10098</v>
      </c>
      <c r="J4068" s="3" t="str">
        <f>HYPERLINK("https://www.boe.es/gazeta/dias/1815/11/21/pdfs/GMD-1815-145.pdf#page=9","Abrir facsímil")</f>
        <v>Abrir facsímil</v>
      </c>
      <c r="K4068" s="3" t="s">
        <v>23</v>
      </c>
    </row>
    <row r="4069" spans="1:11" ht="42" customHeight="1">
      <c r="A4069" s="2" t="s">
        <v>10099</v>
      </c>
      <c r="B4069" s="2" t="s">
        <v>10099</v>
      </c>
      <c r="C4069" s="2" t="s">
        <v>31</v>
      </c>
      <c r="D4069" s="2" t="s">
        <v>32</v>
      </c>
      <c r="E4069" s="5">
        <v>-30998</v>
      </c>
      <c r="F4069" s="3" t="s">
        <v>539</v>
      </c>
      <c r="G4069" s="3" t="s">
        <v>97</v>
      </c>
      <c r="H4069" s="2" t="s">
        <v>72</v>
      </c>
      <c r="I4069" s="2" t="s">
        <v>10100</v>
      </c>
      <c r="J4069" s="3" t="str">
        <f>HYPERLINK("https://www.boe.es/gazeta/dias/1815/02/16/pdfs/GMD-1815-20.pdf#page=3","Abrir facsímil")</f>
        <v>Abrir facsímil</v>
      </c>
      <c r="K4069" s="3" t="s">
        <v>74</v>
      </c>
    </row>
    <row r="4070" spans="1:11" ht="42" customHeight="1">
      <c r="A4070" s="2" t="s">
        <v>10101</v>
      </c>
      <c r="B4070" s="2" t="s">
        <v>10102</v>
      </c>
      <c r="C4070" s="2" t="s">
        <v>49</v>
      </c>
      <c r="D4070" s="2" t="s">
        <v>50</v>
      </c>
      <c r="E4070" s="5">
        <v>-30849</v>
      </c>
      <c r="F4070" s="3" t="s">
        <v>501</v>
      </c>
      <c r="G4070" s="3" t="s">
        <v>52</v>
      </c>
      <c r="H4070" s="2" t="s">
        <v>72</v>
      </c>
      <c r="I4070" s="2" t="s">
        <v>10103</v>
      </c>
      <c r="J4070" s="3" t="str">
        <f>HYPERLINK("https://www.boe.es/gazeta/dias/1815/07/15/pdfs/GMD-1815-87.pdf#page=11","Abrir facsímil")</f>
        <v>Abrir facsímil</v>
      </c>
      <c r="K4070" s="3" t="s">
        <v>74</v>
      </c>
    </row>
    <row r="4071" spans="1:11" ht="42" customHeight="1">
      <c r="A4071" s="2" t="s">
        <v>10104</v>
      </c>
      <c r="B4071" s="2" t="s">
        <v>10105</v>
      </c>
      <c r="C4071" s="2" t="s">
        <v>49</v>
      </c>
      <c r="D4071" s="2" t="s">
        <v>50</v>
      </c>
      <c r="E4071" s="5">
        <v>-30830</v>
      </c>
      <c r="F4071" s="3" t="s">
        <v>33</v>
      </c>
      <c r="G4071" s="3" t="s">
        <v>52</v>
      </c>
      <c r="H4071" s="2" t="s">
        <v>72</v>
      </c>
      <c r="I4071" s="2" t="s">
        <v>10106</v>
      </c>
      <c r="J4071" s="3" t="str">
        <f>HYPERLINK("https://www.boe.es/gazeta/dias/1815/08/03/pdfs/GMD-1815-95.pdf#page=11","Abrir facsímil")</f>
        <v>Abrir facsímil</v>
      </c>
      <c r="K4071" s="3" t="s">
        <v>74</v>
      </c>
    </row>
    <row r="4072" spans="1:11" ht="42" customHeight="1">
      <c r="A4072" s="2" t="s">
        <v>10107</v>
      </c>
      <c r="B4072" s="2" t="s">
        <v>10108</v>
      </c>
      <c r="C4072" s="2" t="s">
        <v>49</v>
      </c>
      <c r="D4072" s="2" t="s">
        <v>50</v>
      </c>
      <c r="E4072" s="5">
        <v>-30853</v>
      </c>
      <c r="F4072" s="3" t="s">
        <v>1473</v>
      </c>
      <c r="G4072" s="3" t="s">
        <v>3505</v>
      </c>
      <c r="H4072" s="2" t="s">
        <v>72</v>
      </c>
      <c r="I4072" s="2" t="s">
        <v>10109</v>
      </c>
      <c r="J4072" s="3" t="str">
        <f>HYPERLINK("https://www.boe.es/gazeta/dias/1815/07/11/pdfs/GMD-1815-85.pdf#page=4","Abrir facsímil")</f>
        <v>Abrir facsímil</v>
      </c>
      <c r="K4072" s="3" t="s">
        <v>74</v>
      </c>
    </row>
    <row r="4073" spans="1:11" ht="42" customHeight="1">
      <c r="A4073" s="2" t="s">
        <v>10110</v>
      </c>
      <c r="B4073" s="2" t="s">
        <v>10111</v>
      </c>
      <c r="C4073" s="2" t="s">
        <v>49</v>
      </c>
      <c r="D4073" s="2" t="s">
        <v>50</v>
      </c>
      <c r="E4073" s="5">
        <v>-30863</v>
      </c>
      <c r="F4073" s="3" t="s">
        <v>110</v>
      </c>
      <c r="G4073" s="3" t="s">
        <v>224</v>
      </c>
      <c r="H4073" s="2" t="s">
        <v>72</v>
      </c>
      <c r="I4073" s="2" t="s">
        <v>10112</v>
      </c>
      <c r="J4073" s="3" t="str">
        <f>HYPERLINK("https://www.boe.es/gazeta/dias/1815/07/01/pdfs/GMD-1815-79.pdf#page=9","Abrir facsímil")</f>
        <v>Abrir facsímil</v>
      </c>
      <c r="K4073" s="3" t="s">
        <v>74</v>
      </c>
    </row>
    <row r="4074" spans="1:11" ht="42" customHeight="1">
      <c r="A4074" s="2" t="s">
        <v>10113</v>
      </c>
      <c r="B4074" s="2" t="s">
        <v>10114</v>
      </c>
      <c r="C4074" s="2" t="s">
        <v>17</v>
      </c>
      <c r="D4074" s="2" t="s">
        <v>18</v>
      </c>
      <c r="E4074" s="5">
        <v>-30711</v>
      </c>
      <c r="F4074" s="3" t="s">
        <v>438</v>
      </c>
      <c r="G4074" s="3" t="s">
        <v>71</v>
      </c>
      <c r="H4074" s="2" t="s">
        <v>72</v>
      </c>
      <c r="I4074" s="2" t="s">
        <v>10115</v>
      </c>
      <c r="J4074" s="3" t="str">
        <f>HYPERLINK("https://www.boe.es/gazeta/dias/1815/11/30/pdfs/GMD-1815-149.pdf#page=7","Abrir facsímil")</f>
        <v>Abrir facsímil</v>
      </c>
      <c r="K4074" s="3" t="s">
        <v>74</v>
      </c>
    </row>
    <row r="4075" spans="1:11" ht="42" customHeight="1">
      <c r="A4075" s="2" t="s">
        <v>10116</v>
      </c>
      <c r="B4075" s="2" t="s">
        <v>10117</v>
      </c>
      <c r="C4075" s="2" t="s">
        <v>17</v>
      </c>
      <c r="D4075" s="2" t="s">
        <v>18</v>
      </c>
      <c r="E4075" s="5">
        <v>-30982</v>
      </c>
      <c r="F4075" s="3" t="s">
        <v>220</v>
      </c>
      <c r="G4075" s="3" t="s">
        <v>57</v>
      </c>
      <c r="H4075" s="2" t="s">
        <v>72</v>
      </c>
      <c r="I4075" s="2" t="s">
        <v>10118</v>
      </c>
      <c r="J4075" s="3" t="str">
        <f>HYPERLINK("https://www.boe.es/gazeta/dias/1815/03/04/pdfs/GMD-1815-27.pdf#page=5","Abrir facsímil")</f>
        <v>Abrir facsímil</v>
      </c>
      <c r="K4075" s="3" t="s">
        <v>74</v>
      </c>
    </row>
    <row r="4076" spans="1:11" ht="42" customHeight="1">
      <c r="A4076" s="2" t="s">
        <v>10119</v>
      </c>
      <c r="B4076" s="2" t="s">
        <v>10120</v>
      </c>
      <c r="C4076" s="2" t="s">
        <v>17</v>
      </c>
      <c r="D4076" s="2" t="s">
        <v>18</v>
      </c>
      <c r="E4076" s="5">
        <v>-30898</v>
      </c>
      <c r="F4076" s="3" t="s">
        <v>212</v>
      </c>
      <c r="G4076" s="3" t="s">
        <v>27</v>
      </c>
      <c r="H4076" s="2" t="s">
        <v>21</v>
      </c>
      <c r="I4076" s="2" t="s">
        <v>10121</v>
      </c>
      <c r="J4076" s="3" t="str">
        <f>HYPERLINK("https://www.boe.es/gazeta/dias/1815/05/27/pdfs/GMD-1815-64.pdf#page=6","Abrir facsímil")</f>
        <v>Abrir facsímil</v>
      </c>
      <c r="K4076" s="3" t="s">
        <v>23</v>
      </c>
    </row>
    <row r="4077" spans="1:11" ht="42" customHeight="1">
      <c r="A4077" s="2" t="s">
        <v>10122</v>
      </c>
      <c r="B4077" s="2" t="s">
        <v>10123</v>
      </c>
      <c r="C4077" s="2" t="s">
        <v>17</v>
      </c>
      <c r="D4077" s="2" t="s">
        <v>18</v>
      </c>
      <c r="E4077" s="5">
        <v>-31031</v>
      </c>
      <c r="F4077" s="3" t="s">
        <v>105</v>
      </c>
      <c r="G4077" s="3" t="s">
        <v>27</v>
      </c>
      <c r="H4077" s="2" t="s">
        <v>21</v>
      </c>
      <c r="I4077" s="2" t="s">
        <v>10124</v>
      </c>
      <c r="J4077" s="3" t="str">
        <f>HYPERLINK("https://www.boe.es/gazeta/dias/1815/01/14/pdfs/GMD-1815-6.pdf#page=6","Abrir facsímil")</f>
        <v>Abrir facsímil</v>
      </c>
      <c r="K4077" s="3" t="s">
        <v>23</v>
      </c>
    </row>
    <row r="4078" spans="1:11" ht="42" customHeight="1">
      <c r="A4078" s="2" t="s">
        <v>10125</v>
      </c>
      <c r="B4078" s="2" t="s">
        <v>10126</v>
      </c>
      <c r="C4078" s="2" t="s">
        <v>17</v>
      </c>
      <c r="D4078" s="2" t="s">
        <v>18</v>
      </c>
      <c r="E4078" s="5">
        <v>-30821</v>
      </c>
      <c r="F4078" s="3" t="s">
        <v>915</v>
      </c>
      <c r="G4078" s="3" t="s">
        <v>38</v>
      </c>
      <c r="H4078" s="2" t="s">
        <v>72</v>
      </c>
      <c r="I4078" s="2" t="s">
        <v>10127</v>
      </c>
      <c r="J4078" s="3" t="str">
        <f>HYPERLINK("https://www.boe.es/gazeta/dias/1815/08/12/pdfs/GMD-1815-99.pdf#page=8","Abrir facsímil")</f>
        <v>Abrir facsímil</v>
      </c>
      <c r="K4078" s="3" t="s">
        <v>74</v>
      </c>
    </row>
    <row r="4079" spans="1:11" ht="42" customHeight="1">
      <c r="A4079" s="2" t="s">
        <v>10128</v>
      </c>
      <c r="B4079" s="2" t="s">
        <v>10129</v>
      </c>
      <c r="C4079" s="2" t="s">
        <v>17</v>
      </c>
      <c r="D4079" s="2" t="s">
        <v>18</v>
      </c>
      <c r="E4079" s="5">
        <v>-30993</v>
      </c>
      <c r="F4079" s="3" t="s">
        <v>66</v>
      </c>
      <c r="G4079" s="3" t="s">
        <v>38</v>
      </c>
      <c r="H4079" s="2" t="s">
        <v>72</v>
      </c>
      <c r="I4079" s="2" t="s">
        <v>10130</v>
      </c>
      <c r="J4079" s="3" t="str">
        <f>HYPERLINK("https://www.boe.es/gazeta/dias/1815/02/21/pdfs/GMD-1815-22.pdf#page=8","Abrir facsímil")</f>
        <v>Abrir facsímil</v>
      </c>
      <c r="K4079" s="3" t="s">
        <v>74</v>
      </c>
    </row>
    <row r="4080" spans="1:11" ht="42" customHeight="1">
      <c r="A4080" s="2" t="s">
        <v>10128</v>
      </c>
      <c r="B4080" s="2" t="s">
        <v>10129</v>
      </c>
      <c r="C4080" s="2" t="s">
        <v>17</v>
      </c>
      <c r="D4080" s="2" t="s">
        <v>18</v>
      </c>
      <c r="E4080" s="5">
        <v>-30853</v>
      </c>
      <c r="F4080" s="3" t="s">
        <v>1473</v>
      </c>
      <c r="G4080" s="3" t="s">
        <v>38</v>
      </c>
      <c r="H4080" s="2" t="s">
        <v>72</v>
      </c>
      <c r="I4080" s="2" t="s">
        <v>10131</v>
      </c>
      <c r="J4080" s="3" t="str">
        <f>HYPERLINK("https://www.boe.es/gazeta/dias/1815/07/11/pdfs/GMD-1815-85.pdf#page=8","Abrir facsímil")</f>
        <v>Abrir facsímil</v>
      </c>
      <c r="K4080" s="3" t="s">
        <v>74</v>
      </c>
    </row>
    <row r="4081" spans="1:11" ht="42" customHeight="1">
      <c r="A4081" s="2" t="s">
        <v>10128</v>
      </c>
      <c r="B4081" s="2" t="s">
        <v>10129</v>
      </c>
      <c r="C4081" s="2" t="s">
        <v>17</v>
      </c>
      <c r="D4081" s="2" t="s">
        <v>18</v>
      </c>
      <c r="E4081" s="5">
        <v>-30849</v>
      </c>
      <c r="F4081" s="3" t="s">
        <v>501</v>
      </c>
      <c r="G4081" s="3" t="s">
        <v>276</v>
      </c>
      <c r="H4081" s="2" t="s">
        <v>72</v>
      </c>
      <c r="I4081" s="2" t="s">
        <v>10132</v>
      </c>
      <c r="J4081" s="3" t="str">
        <f>HYPERLINK("https://www.boe.es/gazeta/dias/1815/07/15/pdfs/GMD-1815-87.pdf#page=12","Abrir facsímil")</f>
        <v>Abrir facsímil</v>
      </c>
      <c r="K4081" s="3" t="s">
        <v>74</v>
      </c>
    </row>
    <row r="4082" spans="1:11" ht="42" customHeight="1">
      <c r="A4082" s="2" t="s">
        <v>10133</v>
      </c>
      <c r="B4082" s="2" t="s">
        <v>10134</v>
      </c>
      <c r="C4082" s="2" t="s">
        <v>17</v>
      </c>
      <c r="D4082" s="2" t="s">
        <v>18</v>
      </c>
      <c r="E4082" s="5">
        <v>-30748</v>
      </c>
      <c r="F4082" s="3" t="s">
        <v>2077</v>
      </c>
      <c r="G4082" s="3" t="s">
        <v>71</v>
      </c>
      <c r="H4082" s="2" t="s">
        <v>72</v>
      </c>
      <c r="I4082" s="2" t="s">
        <v>10135</v>
      </c>
      <c r="J4082" s="3" t="str">
        <f>HYPERLINK("https://www.boe.es/gazeta/dias/1815/10/24/pdfs/GMD-1815-133.pdf#page=7","Abrir facsímil")</f>
        <v>Abrir facsímil</v>
      </c>
      <c r="K4082" s="3" t="s">
        <v>74</v>
      </c>
    </row>
    <row r="4083" spans="1:11" ht="42" customHeight="1">
      <c r="A4083" s="2" t="s">
        <v>10136</v>
      </c>
      <c r="B4083" s="2" t="s">
        <v>10137</v>
      </c>
      <c r="C4083" s="2" t="s">
        <v>61</v>
      </c>
      <c r="D4083" s="2" t="s">
        <v>50</v>
      </c>
      <c r="E4083" s="5">
        <v>-30744</v>
      </c>
      <c r="F4083" s="3" t="s">
        <v>391</v>
      </c>
      <c r="G4083" s="3" t="s">
        <v>71</v>
      </c>
      <c r="H4083" s="2" t="s">
        <v>72</v>
      </c>
      <c r="I4083" s="2" t="s">
        <v>10138</v>
      </c>
      <c r="J4083" s="3" t="str">
        <f>HYPERLINK("https://www.boe.es/gazeta/dias/1815/10/28/pdfs/GMD-1815-135.pdf#page=7","Abrir facsímil")</f>
        <v>Abrir facsímil</v>
      </c>
      <c r="K4083" s="3" t="s">
        <v>74</v>
      </c>
    </row>
    <row r="4084" spans="1:11" ht="42" customHeight="1">
      <c r="A4084" s="2" t="s">
        <v>10139</v>
      </c>
      <c r="B4084" s="2" t="s">
        <v>10140</v>
      </c>
      <c r="C4084" s="2" t="s">
        <v>49</v>
      </c>
      <c r="D4084" s="2" t="s">
        <v>50</v>
      </c>
      <c r="E4084" s="5">
        <v>-30781</v>
      </c>
      <c r="F4084" s="3" t="s">
        <v>685</v>
      </c>
      <c r="G4084" s="3" t="s">
        <v>27</v>
      </c>
      <c r="H4084" s="2" t="s">
        <v>72</v>
      </c>
      <c r="I4084" s="2" t="s">
        <v>10141</v>
      </c>
      <c r="J4084" s="3" t="str">
        <f>HYPERLINK("https://www.boe.es/gazeta/dias/1815/09/21/pdfs/GMD-1815-117.pdf#page=6","Abrir facsímil")</f>
        <v>Abrir facsímil</v>
      </c>
      <c r="K4084" s="3" t="s">
        <v>74</v>
      </c>
    </row>
    <row r="4085" spans="1:11" ht="42" customHeight="1">
      <c r="A4085" s="2" t="s">
        <v>10142</v>
      </c>
      <c r="B4085" s="2" t="s">
        <v>10143</v>
      </c>
      <c r="C4085" s="2" t="s">
        <v>49</v>
      </c>
      <c r="D4085" s="2" t="s">
        <v>50</v>
      </c>
      <c r="E4085" s="5">
        <v>-30886</v>
      </c>
      <c r="F4085" s="3" t="s">
        <v>140</v>
      </c>
      <c r="G4085" s="3" t="s">
        <v>88</v>
      </c>
      <c r="H4085" s="2" t="s">
        <v>72</v>
      </c>
      <c r="I4085" s="2" t="s">
        <v>10144</v>
      </c>
      <c r="J4085" s="3" t="str">
        <f>HYPERLINK("https://www.boe.es/gazeta/dias/1815/06/08/pdfs/GMD-1815-69.pdf#page=10","Abrir facsímil")</f>
        <v>Abrir facsímil</v>
      </c>
      <c r="K4085" s="3" t="s">
        <v>74</v>
      </c>
    </row>
    <row r="4086" spans="1:11" ht="42" customHeight="1">
      <c r="A4086" s="2" t="s">
        <v>10145</v>
      </c>
      <c r="B4086" s="2" t="s">
        <v>10146</v>
      </c>
      <c r="C4086" s="2" t="s">
        <v>195</v>
      </c>
      <c r="D4086" s="2" t="s">
        <v>50</v>
      </c>
      <c r="E4086" s="5">
        <v>-30872</v>
      </c>
      <c r="F4086" s="3" t="s">
        <v>167</v>
      </c>
      <c r="G4086" s="3" t="s">
        <v>224</v>
      </c>
      <c r="H4086" s="2" t="s">
        <v>72</v>
      </c>
      <c r="I4086" s="2" t="s">
        <v>10147</v>
      </c>
      <c r="J4086" s="3" t="str">
        <f>HYPERLINK("https://www.boe.es/gazeta/dias/1815/06/22/pdfs/GMD-1815-75.pdf#page=9","Abrir facsímil")</f>
        <v>Abrir facsímil</v>
      </c>
      <c r="K4086" s="3" t="s">
        <v>74</v>
      </c>
    </row>
    <row r="4087" spans="1:11" ht="42" customHeight="1">
      <c r="A4087" s="2" t="s">
        <v>10148</v>
      </c>
      <c r="B4087" s="2" t="s">
        <v>10149</v>
      </c>
      <c r="C4087" s="2" t="s">
        <v>49</v>
      </c>
      <c r="D4087" s="2" t="s">
        <v>50</v>
      </c>
      <c r="E4087" s="5">
        <v>-30886</v>
      </c>
      <c r="F4087" s="3" t="s">
        <v>140</v>
      </c>
      <c r="G4087" s="3" t="s">
        <v>88</v>
      </c>
      <c r="H4087" s="2" t="s">
        <v>72</v>
      </c>
      <c r="I4087" s="2" t="s">
        <v>10150</v>
      </c>
      <c r="J4087" s="3" t="str">
        <f>HYPERLINK("https://www.boe.es/gazeta/dias/1815/06/08/pdfs/GMD-1815-69.pdf#page=10","Abrir facsímil")</f>
        <v>Abrir facsímil</v>
      </c>
      <c r="K4087" s="3" t="s">
        <v>74</v>
      </c>
    </row>
    <row r="4088" spans="1:11" ht="42" customHeight="1">
      <c r="A4088" s="2" t="s">
        <v>10151</v>
      </c>
      <c r="B4088" s="2" t="s">
        <v>10152</v>
      </c>
      <c r="C4088" s="2" t="s">
        <v>17</v>
      </c>
      <c r="D4088" s="2" t="s">
        <v>18</v>
      </c>
      <c r="E4088" s="5">
        <v>-30940</v>
      </c>
      <c r="F4088" s="3" t="s">
        <v>610</v>
      </c>
      <c r="G4088" s="3" t="s">
        <v>38</v>
      </c>
      <c r="H4088" s="2" t="s">
        <v>72</v>
      </c>
      <c r="I4088" s="2" t="s">
        <v>10153</v>
      </c>
      <c r="J4088" s="3" t="str">
        <f>HYPERLINK("https://www.boe.es/gazeta/dias/1815/04/15/pdfs/GMD-1815-46.pdf#page=8","Abrir facsímil")</f>
        <v>Abrir facsímil</v>
      </c>
      <c r="K4088" s="3" t="s">
        <v>74</v>
      </c>
    </row>
    <row r="4089" spans="1:11" ht="42" customHeight="1">
      <c r="A4089" s="2" t="s">
        <v>10154</v>
      </c>
      <c r="B4089" s="2" t="s">
        <v>10155</v>
      </c>
      <c r="C4089" s="2" t="s">
        <v>17</v>
      </c>
      <c r="D4089" s="2" t="s">
        <v>18</v>
      </c>
      <c r="E4089" s="5">
        <v>-30737</v>
      </c>
      <c r="F4089" s="3" t="s">
        <v>1932</v>
      </c>
      <c r="G4089" s="3" t="s">
        <v>57</v>
      </c>
      <c r="H4089" s="2" t="s">
        <v>72</v>
      </c>
      <c r="I4089" s="2" t="s">
        <v>10156</v>
      </c>
      <c r="J4089" s="3" t="str">
        <f>HYPERLINK("https://www.boe.es/gazeta/dias/1815/11/04/pdfs/GMD-1815-138.pdf#page=5","Abrir facsímil")</f>
        <v>Abrir facsímil</v>
      </c>
      <c r="K4089" s="3" t="s">
        <v>74</v>
      </c>
    </row>
    <row r="4090" spans="1:11" ht="42" customHeight="1">
      <c r="A4090" s="2" t="s">
        <v>10157</v>
      </c>
      <c r="B4090" s="2" t="s">
        <v>10158</v>
      </c>
      <c r="C4090" s="2" t="s">
        <v>31</v>
      </c>
      <c r="D4090" s="2" t="s">
        <v>32</v>
      </c>
      <c r="E4090" s="5">
        <v>-30914</v>
      </c>
      <c r="F4090" s="3" t="s">
        <v>338</v>
      </c>
      <c r="G4090" s="3" t="s">
        <v>52</v>
      </c>
      <c r="H4090" s="2" t="s">
        <v>21</v>
      </c>
      <c r="I4090" s="2" t="s">
        <v>10159</v>
      </c>
      <c r="J4090" s="3" t="str">
        <f>HYPERLINK("https://www.boe.es/gazeta/dias/1815/05/11/pdfs/GMD-1815-57.pdf#page=11","Abrir facsímil")</f>
        <v>Abrir facsímil</v>
      </c>
      <c r="K4090" s="3" t="s">
        <v>23</v>
      </c>
    </row>
    <row r="4091" spans="1:11" ht="42" customHeight="1">
      <c r="A4091" s="2" t="s">
        <v>10160</v>
      </c>
      <c r="B4091" s="2" t="s">
        <v>10161</v>
      </c>
      <c r="C4091" s="2" t="s">
        <v>49</v>
      </c>
      <c r="D4091" s="2" t="s">
        <v>50</v>
      </c>
      <c r="E4091" s="5">
        <v>-30916</v>
      </c>
      <c r="F4091" s="3" t="s">
        <v>147</v>
      </c>
      <c r="G4091" s="3" t="s">
        <v>38</v>
      </c>
      <c r="H4091" s="2" t="s">
        <v>72</v>
      </c>
      <c r="I4091" s="2" t="s">
        <v>10162</v>
      </c>
      <c r="J4091" s="3" t="str">
        <f>HYPERLINK("https://www.boe.es/gazeta/dias/1815/05/09/pdfs/GMD-1815-56.pdf#page=8","Abrir facsímil")</f>
        <v>Abrir facsímil</v>
      </c>
      <c r="K4091" s="3" t="s">
        <v>74</v>
      </c>
    </row>
    <row r="4092" spans="1:11" ht="42" customHeight="1">
      <c r="A4092" s="2" t="s">
        <v>10163</v>
      </c>
      <c r="B4092" s="2" t="s">
        <v>10164</v>
      </c>
      <c r="C4092" s="2" t="s">
        <v>49</v>
      </c>
      <c r="D4092" s="2" t="s">
        <v>50</v>
      </c>
      <c r="E4092" s="5">
        <v>-30888</v>
      </c>
      <c r="F4092" s="3" t="s">
        <v>368</v>
      </c>
      <c r="G4092" s="3" t="s">
        <v>27</v>
      </c>
      <c r="H4092" s="2" t="s">
        <v>72</v>
      </c>
      <c r="I4092" s="2" t="s">
        <v>10165</v>
      </c>
      <c r="J4092" s="3" t="str">
        <f>HYPERLINK("https://www.boe.es/gazeta/dias/1815/06/06/pdfs/GMD-1815-68.pdf#page=6","Abrir facsímil")</f>
        <v>Abrir facsímil</v>
      </c>
      <c r="K4092" s="3" t="s">
        <v>74</v>
      </c>
    </row>
    <row r="4093" spans="1:11" ht="42" customHeight="1">
      <c r="A4093" s="2" t="s">
        <v>10166</v>
      </c>
      <c r="B4093" s="2" t="s">
        <v>10167</v>
      </c>
      <c r="C4093" s="2" t="s">
        <v>195</v>
      </c>
      <c r="D4093" s="2" t="s">
        <v>50</v>
      </c>
      <c r="E4093" s="5">
        <v>-30772</v>
      </c>
      <c r="F4093" s="3" t="s">
        <v>216</v>
      </c>
      <c r="G4093" s="3" t="s">
        <v>71</v>
      </c>
      <c r="H4093" s="2" t="s">
        <v>72</v>
      </c>
      <c r="I4093" s="2" t="s">
        <v>10168</v>
      </c>
      <c r="J4093" s="3" t="str">
        <f>HYPERLINK("https://www.boe.es/gazeta/dias/1815/09/30/pdfs/GMD-1815-123.pdf#page=7","Abrir facsímil")</f>
        <v>Abrir facsímil</v>
      </c>
      <c r="K4093" s="3" t="s">
        <v>74</v>
      </c>
    </row>
    <row r="4094" spans="1:11" ht="42" customHeight="1">
      <c r="A4094" s="2" t="s">
        <v>10169</v>
      </c>
      <c r="B4094" s="2" t="s">
        <v>10170</v>
      </c>
      <c r="C4094" s="2" t="s">
        <v>49</v>
      </c>
      <c r="D4094" s="2" t="s">
        <v>50</v>
      </c>
      <c r="E4094" s="5">
        <v>-30886</v>
      </c>
      <c r="F4094" s="3" t="s">
        <v>140</v>
      </c>
      <c r="G4094" s="3" t="s">
        <v>224</v>
      </c>
      <c r="H4094" s="2" t="s">
        <v>72</v>
      </c>
      <c r="I4094" s="2" t="s">
        <v>10171</v>
      </c>
      <c r="J4094" s="3" t="str">
        <f>HYPERLINK("https://www.boe.es/gazeta/dias/1815/06/08/pdfs/GMD-1815-69.pdf#page=9","Abrir facsímil")</f>
        <v>Abrir facsímil</v>
      </c>
      <c r="K4094" s="3" t="s">
        <v>74</v>
      </c>
    </row>
    <row r="4095" spans="1:11" ht="42" customHeight="1">
      <c r="A4095" s="2" t="s">
        <v>10172</v>
      </c>
      <c r="B4095" s="2" t="s">
        <v>10173</v>
      </c>
      <c r="C4095" s="2" t="s">
        <v>31</v>
      </c>
      <c r="D4095" s="2" t="s">
        <v>32</v>
      </c>
      <c r="E4095" s="5">
        <v>-30982</v>
      </c>
      <c r="F4095" s="3" t="s">
        <v>220</v>
      </c>
      <c r="G4095" s="3" t="s">
        <v>20</v>
      </c>
      <c r="H4095" s="2" t="s">
        <v>72</v>
      </c>
      <c r="I4095" s="2" t="s">
        <v>10174</v>
      </c>
      <c r="J4095" s="3" t="str">
        <f>HYPERLINK("https://www.boe.es/gazeta/dias/1815/03/04/pdfs/GMD-1815-27.pdf#page=4","Abrir facsímil")</f>
        <v>Abrir facsímil</v>
      </c>
      <c r="K4095" s="3" t="s">
        <v>74</v>
      </c>
    </row>
    <row r="4096" spans="1:11" ht="42" customHeight="1">
      <c r="A4096" s="2" t="s">
        <v>10175</v>
      </c>
      <c r="B4096" s="2" t="s">
        <v>10176</v>
      </c>
      <c r="C4096" s="2" t="s">
        <v>131</v>
      </c>
      <c r="D4096" s="2" t="s">
        <v>50</v>
      </c>
      <c r="E4096" s="5">
        <v>-30772</v>
      </c>
      <c r="F4096" s="3" t="s">
        <v>216</v>
      </c>
      <c r="G4096" s="3" t="s">
        <v>990</v>
      </c>
      <c r="H4096" s="2" t="s">
        <v>72</v>
      </c>
      <c r="I4096" s="2" t="s">
        <v>10177</v>
      </c>
      <c r="J4096" s="3" t="str">
        <f>HYPERLINK("https://www.boe.es/gazeta/dias/1815/09/30/pdfs/GMD-1815-123.pdf#page=8","Abrir facsímil")</f>
        <v>Abrir facsímil</v>
      </c>
      <c r="K4096" s="3" t="s">
        <v>74</v>
      </c>
    </row>
    <row r="4097" spans="1:11" ht="42" customHeight="1">
      <c r="A4097" s="2" t="s">
        <v>10178</v>
      </c>
      <c r="B4097" s="2" t="s">
        <v>10179</v>
      </c>
      <c r="C4097" s="2" t="s">
        <v>49</v>
      </c>
      <c r="D4097" s="2" t="s">
        <v>50</v>
      </c>
      <c r="E4097" s="5">
        <v>-31026</v>
      </c>
      <c r="F4097" s="3" t="s">
        <v>874</v>
      </c>
      <c r="G4097" s="3" t="s">
        <v>38</v>
      </c>
      <c r="H4097" s="2" t="s">
        <v>72</v>
      </c>
      <c r="I4097" s="2" t="s">
        <v>10180</v>
      </c>
      <c r="J4097" s="3" t="str">
        <f>HYPERLINK("https://www.boe.es/gazeta/dias/1815/01/19/pdfs/GMD-1815-8.pdf#page=8","Abrir facsímil")</f>
        <v>Abrir facsímil</v>
      </c>
      <c r="K4097" s="3" t="s">
        <v>74</v>
      </c>
    </row>
    <row r="4098" spans="1:11" ht="42" customHeight="1">
      <c r="A4098" s="2" t="s">
        <v>10181</v>
      </c>
      <c r="B4098" s="2" t="s">
        <v>10181</v>
      </c>
      <c r="C4098" s="2" t="s">
        <v>31</v>
      </c>
      <c r="D4098" s="2" t="s">
        <v>32</v>
      </c>
      <c r="E4098" s="5">
        <v>-30748</v>
      </c>
      <c r="F4098" s="3" t="s">
        <v>2077</v>
      </c>
      <c r="G4098" s="3" t="s">
        <v>410</v>
      </c>
      <c r="H4098" s="2" t="s">
        <v>72</v>
      </c>
      <c r="I4098" s="2" t="s">
        <v>10182</v>
      </c>
      <c r="J4098" s="3" t="str">
        <f>HYPERLINK("https://www.boe.es/gazeta/dias/1815/10/24/pdfs/GMD-1815-133.pdf#page=1","Abrir facsímil")</f>
        <v>Abrir facsímil</v>
      </c>
      <c r="K4098" s="3" t="s">
        <v>74</v>
      </c>
    </row>
    <row r="4099" spans="1:11" ht="42" customHeight="1">
      <c r="A4099" s="2" t="s">
        <v>10183</v>
      </c>
      <c r="B4099" s="2" t="s">
        <v>10184</v>
      </c>
      <c r="C4099" s="2" t="s">
        <v>195</v>
      </c>
      <c r="D4099" s="2" t="s">
        <v>50</v>
      </c>
      <c r="E4099" s="5">
        <v>-30872</v>
      </c>
      <c r="F4099" s="3" t="s">
        <v>167</v>
      </c>
      <c r="G4099" s="3" t="s">
        <v>224</v>
      </c>
      <c r="H4099" s="2" t="s">
        <v>72</v>
      </c>
      <c r="I4099" s="2" t="s">
        <v>10185</v>
      </c>
      <c r="J4099" s="3" t="str">
        <f>HYPERLINK("https://www.boe.es/gazeta/dias/1815/06/22/pdfs/GMD-1815-75.pdf#page=9","Abrir facsímil")</f>
        <v>Abrir facsímil</v>
      </c>
      <c r="K4099" s="3" t="s">
        <v>74</v>
      </c>
    </row>
    <row r="4100" spans="1:11" ht="42" customHeight="1">
      <c r="A4100" s="2" t="s">
        <v>10186</v>
      </c>
      <c r="B4100" s="2" t="s">
        <v>10187</v>
      </c>
      <c r="C4100" s="2" t="s">
        <v>195</v>
      </c>
      <c r="D4100" s="2" t="s">
        <v>50</v>
      </c>
      <c r="E4100" s="5">
        <v>-30888</v>
      </c>
      <c r="F4100" s="3" t="s">
        <v>368</v>
      </c>
      <c r="G4100" s="3" t="s">
        <v>38</v>
      </c>
      <c r="H4100" s="2" t="s">
        <v>72</v>
      </c>
      <c r="I4100" s="2" t="s">
        <v>10188</v>
      </c>
      <c r="J4100" s="3" t="str">
        <f>HYPERLINK("https://www.boe.es/gazeta/dias/1815/06/06/pdfs/GMD-1815-68.pdf#page=8","Abrir facsímil")</f>
        <v>Abrir facsímil</v>
      </c>
      <c r="K4100" s="3" t="s">
        <v>74</v>
      </c>
    </row>
    <row r="4101" spans="1:11" ht="42" customHeight="1">
      <c r="A4101" s="2" t="s">
        <v>10189</v>
      </c>
      <c r="B4101" s="2" t="s">
        <v>10190</v>
      </c>
      <c r="C4101" s="2" t="s">
        <v>49</v>
      </c>
      <c r="D4101" s="2" t="s">
        <v>50</v>
      </c>
      <c r="E4101" s="5">
        <v>-30818</v>
      </c>
      <c r="F4101" s="3" t="s">
        <v>334</v>
      </c>
      <c r="G4101" s="3" t="s">
        <v>224</v>
      </c>
      <c r="H4101" s="2" t="s">
        <v>72</v>
      </c>
      <c r="I4101" s="2" t="s">
        <v>10191</v>
      </c>
      <c r="J4101" s="3" t="str">
        <f>HYPERLINK("https://www.boe.es/gazeta/dias/1815/08/15/pdfs/GMD-1815-100.pdf#page=9","Abrir facsímil")</f>
        <v>Abrir facsímil</v>
      </c>
      <c r="K4101" s="3" t="s">
        <v>74</v>
      </c>
    </row>
    <row r="4102" spans="1:11" ht="42" customHeight="1">
      <c r="A4102" s="2" t="s">
        <v>10192</v>
      </c>
      <c r="B4102" s="2" t="s">
        <v>10193</v>
      </c>
      <c r="C4102" s="2" t="s">
        <v>31</v>
      </c>
      <c r="D4102" s="2" t="s">
        <v>32</v>
      </c>
      <c r="E4102" s="5">
        <v>-30765</v>
      </c>
      <c r="F4102" s="3" t="s">
        <v>2150</v>
      </c>
      <c r="G4102" s="3" t="s">
        <v>20</v>
      </c>
      <c r="H4102" s="2" t="s">
        <v>72</v>
      </c>
      <c r="I4102" s="2" t="s">
        <v>10194</v>
      </c>
      <c r="J4102" s="3" t="str">
        <f>HYPERLINK("https://www.boe.es/gazeta/dias/1815/10/07/pdfs/GMD-1815-126.pdf#page=4","Abrir facsímil")</f>
        <v>Abrir facsímil</v>
      </c>
      <c r="K4102" s="3" t="s">
        <v>74</v>
      </c>
    </row>
    <row r="4103" spans="1:11" ht="42" customHeight="1">
      <c r="A4103" s="2" t="s">
        <v>10195</v>
      </c>
      <c r="B4103" s="2" t="s">
        <v>10196</v>
      </c>
      <c r="C4103" s="2" t="s">
        <v>61</v>
      </c>
      <c r="D4103" s="2" t="s">
        <v>50</v>
      </c>
      <c r="E4103" s="5">
        <v>-30919</v>
      </c>
      <c r="F4103" s="3" t="s">
        <v>792</v>
      </c>
      <c r="G4103" s="3" t="s">
        <v>1109</v>
      </c>
      <c r="H4103" s="2" t="s">
        <v>72</v>
      </c>
      <c r="I4103" s="2" t="s">
        <v>10197</v>
      </c>
      <c r="J4103" s="3" t="str">
        <f>HYPERLINK("https://www.boe.es/gazeta/dias/1815/05/06/pdfs/GMD-1815-55.pdf#page=8","Abrir facsímil")</f>
        <v>Abrir facsímil</v>
      </c>
      <c r="K4103" s="3" t="s">
        <v>74</v>
      </c>
    </row>
    <row r="4104" spans="1:11" ht="42" customHeight="1">
      <c r="A4104" s="2" t="s">
        <v>10198</v>
      </c>
      <c r="B4104" s="2" t="s">
        <v>10198</v>
      </c>
      <c r="C4104" s="2" t="s">
        <v>31</v>
      </c>
      <c r="D4104" s="2" t="s">
        <v>32</v>
      </c>
      <c r="E4104" s="5">
        <v>-30727</v>
      </c>
      <c r="F4104" s="3" t="s">
        <v>262</v>
      </c>
      <c r="G4104" s="3" t="s">
        <v>7319</v>
      </c>
      <c r="H4104" s="2" t="s">
        <v>72</v>
      </c>
      <c r="I4104" s="2" t="s">
        <v>10199</v>
      </c>
      <c r="J4104" s="3" t="str">
        <f>HYPERLINK("https://www.boe.es/gazeta/dias/1815/11/14/pdfs/GMD-1815-142.pdf#page=3","Abrir facsímil")</f>
        <v>Abrir facsímil</v>
      </c>
      <c r="K4104" s="3" t="s">
        <v>74</v>
      </c>
    </row>
    <row r="4105" spans="1:11" ht="42" customHeight="1">
      <c r="A4105" s="2" t="s">
        <v>10200</v>
      </c>
      <c r="B4105" s="2" t="s">
        <v>10200</v>
      </c>
      <c r="C4105" s="2" t="s">
        <v>31</v>
      </c>
      <c r="D4105" s="2" t="s">
        <v>32</v>
      </c>
      <c r="E4105" s="5">
        <v>-31038</v>
      </c>
      <c r="F4105" s="3" t="s">
        <v>395</v>
      </c>
      <c r="G4105" s="3" t="s">
        <v>396</v>
      </c>
      <c r="H4105" s="2" t="s">
        <v>72</v>
      </c>
      <c r="I4105" s="2" t="s">
        <v>10201</v>
      </c>
      <c r="J4105" s="3" t="str">
        <f>HYPERLINK("https://www.boe.es/gazeta/dias/1815/01/07/pdfs/GMD-1815-3.pdf#page=5","Abrir facsímil")</f>
        <v>Abrir facsímil</v>
      </c>
      <c r="K4105" s="3" t="s">
        <v>74</v>
      </c>
    </row>
    <row r="4106" spans="1:11" ht="42" customHeight="1">
      <c r="A4106" s="2" t="s">
        <v>10200</v>
      </c>
      <c r="B4106" s="2" t="s">
        <v>10200</v>
      </c>
      <c r="C4106" s="2" t="s">
        <v>61</v>
      </c>
      <c r="D4106" s="2" t="s">
        <v>50</v>
      </c>
      <c r="E4106" s="5">
        <v>-30872</v>
      </c>
      <c r="F4106" s="3" t="s">
        <v>167</v>
      </c>
      <c r="G4106" s="3" t="s">
        <v>276</v>
      </c>
      <c r="H4106" s="2" t="s">
        <v>72</v>
      </c>
      <c r="I4106" s="2" t="s">
        <v>10202</v>
      </c>
      <c r="J4106" s="3" t="str">
        <f>HYPERLINK("https://www.boe.es/gazeta/dias/1815/06/22/pdfs/GMD-1815-75.pdf#page=12","Abrir facsímil")</f>
        <v>Abrir facsímil</v>
      </c>
      <c r="K4106" s="3" t="s">
        <v>74</v>
      </c>
    </row>
    <row r="4107" spans="1:11" ht="42" customHeight="1">
      <c r="A4107" s="2" t="s">
        <v>10200</v>
      </c>
      <c r="B4107" s="2" t="s">
        <v>10200</v>
      </c>
      <c r="C4107" s="2" t="s">
        <v>49</v>
      </c>
      <c r="D4107" s="2" t="s">
        <v>50</v>
      </c>
      <c r="E4107" s="5">
        <v>-30842</v>
      </c>
      <c r="F4107" s="3" t="s">
        <v>126</v>
      </c>
      <c r="G4107" s="3" t="s">
        <v>38</v>
      </c>
      <c r="H4107" s="2" t="s">
        <v>72</v>
      </c>
      <c r="I4107" s="2" t="s">
        <v>10203</v>
      </c>
      <c r="J4107" s="3" t="str">
        <f>HYPERLINK("https://www.boe.es/gazeta/dias/1815/07/22/pdfs/GMD-1815-90.pdf#page=8","Abrir facsímil")</f>
        <v>Abrir facsímil</v>
      </c>
      <c r="K4107" s="3" t="s">
        <v>74</v>
      </c>
    </row>
    <row r="4108" spans="1:11" ht="42" customHeight="1">
      <c r="A4108" s="2" t="s">
        <v>10204</v>
      </c>
      <c r="B4108" s="2" t="s">
        <v>10204</v>
      </c>
      <c r="C4108" s="2" t="s">
        <v>31</v>
      </c>
      <c r="D4108" s="2" t="s">
        <v>32</v>
      </c>
      <c r="E4108" s="5">
        <v>-30835</v>
      </c>
      <c r="F4108" s="3" t="s">
        <v>544</v>
      </c>
      <c r="G4108" s="3" t="s">
        <v>97</v>
      </c>
      <c r="H4108" s="2" t="s">
        <v>72</v>
      </c>
      <c r="I4108" s="2" t="s">
        <v>10205</v>
      </c>
      <c r="J4108" s="3" t="str">
        <f>HYPERLINK("https://www.boe.es/gazeta/dias/1815/07/29/pdfs/GMD-1815-93.pdf#page=3","Abrir facsímil")</f>
        <v>Abrir facsímil</v>
      </c>
      <c r="K4108" s="3" t="s">
        <v>74</v>
      </c>
    </row>
    <row r="4109" spans="1:11" ht="42" customHeight="1">
      <c r="A4109" s="2" t="s">
        <v>10206</v>
      </c>
      <c r="B4109" s="2" t="s">
        <v>10206</v>
      </c>
      <c r="C4109" s="2" t="s">
        <v>49</v>
      </c>
      <c r="D4109" s="2" t="s">
        <v>50</v>
      </c>
      <c r="E4109" s="5">
        <v>-30865</v>
      </c>
      <c r="F4109" s="3" t="s">
        <v>163</v>
      </c>
      <c r="G4109" s="3" t="s">
        <v>27</v>
      </c>
      <c r="H4109" s="2" t="s">
        <v>72</v>
      </c>
      <c r="I4109" s="2" t="s">
        <v>10207</v>
      </c>
      <c r="J4109" s="3" t="str">
        <f>HYPERLINK("https://www.boe.es/gazeta/dias/1815/06/29/pdfs/GMD-1815-78.pdf#page=6","Abrir facsímil")</f>
        <v>Abrir facsímil</v>
      </c>
      <c r="K4109" s="3" t="s">
        <v>74</v>
      </c>
    </row>
    <row r="4110" spans="1:11" ht="42" customHeight="1">
      <c r="A4110" s="2" t="s">
        <v>10206</v>
      </c>
      <c r="B4110" s="2" t="s">
        <v>10206</v>
      </c>
      <c r="C4110" s="2" t="s">
        <v>49</v>
      </c>
      <c r="D4110" s="2" t="s">
        <v>50</v>
      </c>
      <c r="E4110" s="5">
        <v>-30865</v>
      </c>
      <c r="F4110" s="3" t="s">
        <v>163</v>
      </c>
      <c r="G4110" s="3" t="s">
        <v>71</v>
      </c>
      <c r="H4110" s="2" t="s">
        <v>72</v>
      </c>
      <c r="I4110" s="2" t="s">
        <v>10208</v>
      </c>
      <c r="J4110" s="3" t="str">
        <f>HYPERLINK("https://www.boe.es/gazeta/dias/1815/06/29/pdfs/GMD-1815-78.pdf#page=7","Abrir facsímil")</f>
        <v>Abrir facsímil</v>
      </c>
      <c r="K4110" s="3" t="s">
        <v>74</v>
      </c>
    </row>
    <row r="4111" spans="1:11" ht="42" customHeight="1">
      <c r="A4111" s="2" t="s">
        <v>10206</v>
      </c>
      <c r="B4111" s="2" t="s">
        <v>10206</v>
      </c>
      <c r="C4111" s="2" t="s">
        <v>31</v>
      </c>
      <c r="D4111" s="2" t="s">
        <v>32</v>
      </c>
      <c r="E4111" s="5">
        <v>-30842</v>
      </c>
      <c r="F4111" s="3" t="s">
        <v>126</v>
      </c>
      <c r="G4111" s="3" t="s">
        <v>27</v>
      </c>
      <c r="H4111" s="2" t="s">
        <v>72</v>
      </c>
      <c r="I4111" s="2" t="s">
        <v>10209</v>
      </c>
      <c r="J4111" s="3" t="str">
        <f>HYPERLINK("https://www.boe.es/gazeta/dias/1815/07/22/pdfs/GMD-1815-90.pdf#page=6","Abrir facsímil")</f>
        <v>Abrir facsímil</v>
      </c>
      <c r="K4111" s="3" t="s">
        <v>74</v>
      </c>
    </row>
    <row r="4112" spans="1:11" ht="42" customHeight="1">
      <c r="A4112" s="2" t="s">
        <v>10206</v>
      </c>
      <c r="B4112" s="2" t="s">
        <v>10206</v>
      </c>
      <c r="C4112" s="2" t="s">
        <v>31</v>
      </c>
      <c r="D4112" s="2" t="s">
        <v>32</v>
      </c>
      <c r="E4112" s="5">
        <v>-30769</v>
      </c>
      <c r="F4112" s="3" t="s">
        <v>1641</v>
      </c>
      <c r="G4112" s="3" t="s">
        <v>10210</v>
      </c>
      <c r="H4112" s="2" t="s">
        <v>72</v>
      </c>
      <c r="I4112" s="2" t="s">
        <v>10211</v>
      </c>
      <c r="J4112" s="3" t="str">
        <f>HYPERLINK("https://www.boe.es/gazeta/dias/1815/10/03/pdfs/GMD-1815-124.pdf#page=7","Abrir facsímil")</f>
        <v>Abrir facsímil</v>
      </c>
      <c r="K4112" s="3" t="s">
        <v>74</v>
      </c>
    </row>
    <row r="4113" spans="1:11" ht="42" customHeight="1">
      <c r="A4113" s="2" t="s">
        <v>10212</v>
      </c>
      <c r="B4113" s="2" t="s">
        <v>10213</v>
      </c>
      <c r="C4113" s="2" t="s">
        <v>31</v>
      </c>
      <c r="D4113" s="2" t="s">
        <v>32</v>
      </c>
      <c r="E4113" s="5">
        <v>-30730</v>
      </c>
      <c r="F4113" s="3" t="s">
        <v>953</v>
      </c>
      <c r="G4113" s="3" t="s">
        <v>38</v>
      </c>
      <c r="H4113" s="2" t="s">
        <v>72</v>
      </c>
      <c r="I4113" s="2" t="s">
        <v>10214</v>
      </c>
      <c r="J4113" s="3" t="str">
        <f>HYPERLINK("https://www.boe.es/gazeta/dias/1815/11/11/pdfs/GMD-1815-141.pdf#page=8","Abrir facsímil")</f>
        <v>Abrir facsímil</v>
      </c>
      <c r="K4113" s="3" t="s">
        <v>74</v>
      </c>
    </row>
    <row r="4114" spans="1:11" ht="42" customHeight="1">
      <c r="A4114" s="2" t="s">
        <v>10215</v>
      </c>
      <c r="B4114" s="2" t="s">
        <v>10216</v>
      </c>
      <c r="C4114" s="2" t="s">
        <v>31</v>
      </c>
      <c r="D4114" s="2" t="s">
        <v>32</v>
      </c>
      <c r="E4114" s="5">
        <v>-30891</v>
      </c>
      <c r="F4114" s="3" t="s">
        <v>498</v>
      </c>
      <c r="G4114" s="3" t="s">
        <v>27</v>
      </c>
      <c r="H4114" s="2" t="s">
        <v>21</v>
      </c>
      <c r="I4114" s="2" t="s">
        <v>10217</v>
      </c>
      <c r="J4114" s="3" t="str">
        <f>HYPERLINK("https://www.boe.es/gazeta/dias/1815/06/03/pdfs/GMD-1815-67.pdf#page=6","Abrir facsímil")</f>
        <v>Abrir facsímil</v>
      </c>
      <c r="K4114" s="3" t="s">
        <v>23</v>
      </c>
    </row>
    <row r="4115" spans="1:11" ht="42" customHeight="1">
      <c r="A4115" s="2" t="s">
        <v>10218</v>
      </c>
      <c r="B4115" s="2" t="s">
        <v>10218</v>
      </c>
      <c r="C4115" s="2" t="s">
        <v>17</v>
      </c>
      <c r="D4115" s="2" t="s">
        <v>18</v>
      </c>
      <c r="E4115" s="5">
        <v>-30751</v>
      </c>
      <c r="F4115" s="3" t="s">
        <v>819</v>
      </c>
      <c r="G4115" s="3" t="s">
        <v>820</v>
      </c>
      <c r="H4115" s="2" t="s">
        <v>72</v>
      </c>
      <c r="I4115" s="2" t="s">
        <v>10219</v>
      </c>
      <c r="J4115" s="3" t="str">
        <f>HYPERLINK("https://www.boe.es/gazeta/dias/1815/10/21/pdfs/GMD-1815-132.pdf#page=4","Abrir facsímil")</f>
        <v>Abrir facsímil</v>
      </c>
      <c r="K4115" s="3" t="s">
        <v>74</v>
      </c>
    </row>
    <row r="4116" spans="1:11" ht="42" customHeight="1">
      <c r="A4116" s="2" t="s">
        <v>10220</v>
      </c>
      <c r="B4116" s="2" t="s">
        <v>10221</v>
      </c>
      <c r="C4116" s="2" t="s">
        <v>31</v>
      </c>
      <c r="D4116" s="2" t="s">
        <v>32</v>
      </c>
      <c r="E4116" s="5">
        <v>-30802</v>
      </c>
      <c r="F4116" s="3" t="s">
        <v>1393</v>
      </c>
      <c r="G4116" s="3" t="s">
        <v>38</v>
      </c>
      <c r="H4116" s="2" t="s">
        <v>72</v>
      </c>
      <c r="I4116" s="2" t="s">
        <v>10222</v>
      </c>
      <c r="J4116" s="3" t="str">
        <f>HYPERLINK("https://www.boe.es/gazeta/dias/1815/08/31/pdfs/GMD-1815-107.pdf#page=8","Abrir facsímil")</f>
        <v>Abrir facsímil</v>
      </c>
      <c r="K4116" s="3" t="s">
        <v>74</v>
      </c>
    </row>
    <row r="4117" spans="1:11" ht="42" customHeight="1">
      <c r="A4117" s="2" t="s">
        <v>10220</v>
      </c>
      <c r="B4117" s="2" t="s">
        <v>10221</v>
      </c>
      <c r="C4117" s="2" t="s">
        <v>195</v>
      </c>
      <c r="D4117" s="2" t="s">
        <v>50</v>
      </c>
      <c r="E4117" s="5">
        <v>-30744</v>
      </c>
      <c r="F4117" s="3" t="s">
        <v>391</v>
      </c>
      <c r="G4117" s="3" t="s">
        <v>38</v>
      </c>
      <c r="H4117" s="2" t="s">
        <v>72</v>
      </c>
      <c r="I4117" s="2" t="s">
        <v>10223</v>
      </c>
      <c r="J4117" s="3" t="str">
        <f>HYPERLINK("https://www.boe.es/gazeta/dias/1815/10/28/pdfs/GMD-1815-135.pdf#page=8","Abrir facsímil")</f>
        <v>Abrir facsímil</v>
      </c>
      <c r="K4117" s="3" t="s">
        <v>74</v>
      </c>
    </row>
    <row r="4118" spans="1:11" ht="42" customHeight="1">
      <c r="A4118" s="2" t="s">
        <v>10224</v>
      </c>
      <c r="B4118" s="2" t="s">
        <v>10225</v>
      </c>
      <c r="C4118" s="2" t="s">
        <v>31</v>
      </c>
      <c r="D4118" s="2" t="s">
        <v>32</v>
      </c>
      <c r="E4118" s="5">
        <v>-31040</v>
      </c>
      <c r="F4118" s="3" t="s">
        <v>326</v>
      </c>
      <c r="G4118" s="3" t="s">
        <v>27</v>
      </c>
      <c r="H4118" s="2" t="s">
        <v>21</v>
      </c>
      <c r="I4118" s="2" t="s">
        <v>10226</v>
      </c>
      <c r="J4118" s="3" t="str">
        <f>HYPERLINK("https://www.boe.es/gazeta/dias/1815/01/05/pdfs/GMD-1815-2.pdf#page=6","Abrir facsímil")</f>
        <v>Abrir facsímil</v>
      </c>
      <c r="K4118" s="3" t="s">
        <v>23</v>
      </c>
    </row>
    <row r="4119" spans="1:11" ht="42" customHeight="1">
      <c r="A4119" s="2" t="s">
        <v>10224</v>
      </c>
      <c r="B4119" s="2" t="s">
        <v>10225</v>
      </c>
      <c r="C4119" s="2" t="s">
        <v>894</v>
      </c>
      <c r="D4119" s="2" t="s">
        <v>18</v>
      </c>
      <c r="E4119" s="5">
        <v>-30739</v>
      </c>
      <c r="F4119" s="3" t="s">
        <v>254</v>
      </c>
      <c r="G4119" s="3" t="s">
        <v>88</v>
      </c>
      <c r="H4119" s="2" t="s">
        <v>21</v>
      </c>
      <c r="I4119" s="2" t="s">
        <v>10227</v>
      </c>
      <c r="J4119" s="3" t="str">
        <f>HYPERLINK("https://www.boe.es/gazeta/dias/1815/11/02/pdfs/GMD-1815-137.pdf#page=10","Abrir facsímil")</f>
        <v>Abrir facsímil</v>
      </c>
      <c r="K4119" s="3" t="s">
        <v>23</v>
      </c>
    </row>
    <row r="4120" spans="1:11" ht="42" customHeight="1">
      <c r="A4120" s="2" t="s">
        <v>10228</v>
      </c>
      <c r="B4120" s="2" t="s">
        <v>10228</v>
      </c>
      <c r="C4120" s="2" t="s">
        <v>49</v>
      </c>
      <c r="D4120" s="2" t="s">
        <v>50</v>
      </c>
      <c r="E4120" s="5">
        <v>-30944</v>
      </c>
      <c r="F4120" s="3" t="s">
        <v>412</v>
      </c>
      <c r="G4120" s="3" t="s">
        <v>97</v>
      </c>
      <c r="H4120" s="2" t="s">
        <v>72</v>
      </c>
      <c r="I4120" s="2" t="s">
        <v>10229</v>
      </c>
      <c r="J4120" s="3" t="str">
        <f>HYPERLINK("https://www.boe.es/gazeta/dias/1815/04/11/pdfs/GMD-1815-44.pdf#page=3","Abrir facsímil")</f>
        <v>Abrir facsímil</v>
      </c>
      <c r="K4120" s="3" t="s">
        <v>74</v>
      </c>
    </row>
    <row r="4121" spans="1:11" ht="42" customHeight="1">
      <c r="A4121" s="2" t="s">
        <v>10230</v>
      </c>
      <c r="B4121" s="2" t="s">
        <v>10230</v>
      </c>
      <c r="C4121" s="2" t="s">
        <v>49</v>
      </c>
      <c r="D4121" s="2" t="s">
        <v>50</v>
      </c>
      <c r="E4121" s="5">
        <v>-30958</v>
      </c>
      <c r="F4121" s="3" t="s">
        <v>297</v>
      </c>
      <c r="G4121" s="3" t="s">
        <v>20</v>
      </c>
      <c r="H4121" s="2" t="s">
        <v>72</v>
      </c>
      <c r="I4121" s="2" t="s">
        <v>10231</v>
      </c>
      <c r="J4121" s="3" t="str">
        <f>HYPERLINK("https://www.boe.es/gazeta/dias/1815/03/28/pdfs/GMD-1815-37.pdf#page=4","Abrir facsímil")</f>
        <v>Abrir facsímil</v>
      </c>
      <c r="K4121" s="3" t="s">
        <v>74</v>
      </c>
    </row>
    <row r="4122" spans="1:11" ht="42" customHeight="1">
      <c r="A4122" s="2" t="s">
        <v>10230</v>
      </c>
      <c r="B4122" s="2" t="s">
        <v>10230</v>
      </c>
      <c r="C4122" s="2" t="s">
        <v>897</v>
      </c>
      <c r="D4122" s="2" t="s">
        <v>50</v>
      </c>
      <c r="E4122" s="5">
        <v>-30944</v>
      </c>
      <c r="F4122" s="3" t="s">
        <v>412</v>
      </c>
      <c r="G4122" s="3" t="s">
        <v>97</v>
      </c>
      <c r="H4122" s="2" t="s">
        <v>72</v>
      </c>
      <c r="I4122" s="2" t="s">
        <v>10232</v>
      </c>
      <c r="J4122" s="3" t="str">
        <f>HYPERLINK("https://www.boe.es/gazeta/dias/1815/04/11/pdfs/GMD-1815-44.pdf#page=3","Abrir facsímil")</f>
        <v>Abrir facsímil</v>
      </c>
      <c r="K4122" s="3" t="s">
        <v>74</v>
      </c>
    </row>
    <row r="4123" spans="1:11" ht="42" customHeight="1">
      <c r="A4123" s="2" t="s">
        <v>10230</v>
      </c>
      <c r="B4123" s="2" t="s">
        <v>10230</v>
      </c>
      <c r="C4123" s="2" t="s">
        <v>61</v>
      </c>
      <c r="D4123" s="2" t="s">
        <v>50</v>
      </c>
      <c r="E4123" s="5">
        <v>-30760</v>
      </c>
      <c r="F4123" s="3" t="s">
        <v>349</v>
      </c>
      <c r="G4123" s="3" t="s">
        <v>38</v>
      </c>
      <c r="H4123" s="2" t="s">
        <v>72</v>
      </c>
      <c r="I4123" s="2" t="s">
        <v>10233</v>
      </c>
      <c r="J4123" s="3" t="str">
        <f>HYPERLINK("https://www.boe.es/gazeta/dias/1815/10/12/pdfs/GMD-1815-128.pdf#page=8","Abrir facsímil")</f>
        <v>Abrir facsímil</v>
      </c>
      <c r="K4123" s="3" t="s">
        <v>74</v>
      </c>
    </row>
    <row r="4124" spans="1:11" ht="42" customHeight="1">
      <c r="A4124" s="2" t="s">
        <v>10234</v>
      </c>
      <c r="B4124" s="2" t="s">
        <v>10234</v>
      </c>
      <c r="C4124" s="2" t="s">
        <v>31</v>
      </c>
      <c r="D4124" s="2" t="s">
        <v>32</v>
      </c>
      <c r="E4124" s="5">
        <v>-30989</v>
      </c>
      <c r="F4124" s="3" t="s">
        <v>2441</v>
      </c>
      <c r="G4124" s="3" t="s">
        <v>5364</v>
      </c>
      <c r="H4124" s="2" t="s">
        <v>72</v>
      </c>
      <c r="I4124" s="2" t="s">
        <v>10235</v>
      </c>
      <c r="J4124" s="3" t="str">
        <f>HYPERLINK("https://www.boe.es/gazeta/dias/1815/02/25/pdfs/GMD-1815-24.pdf#page=8","Abrir facsímil")</f>
        <v>Abrir facsímil</v>
      </c>
      <c r="K4124" s="3" t="s">
        <v>74</v>
      </c>
    </row>
    <row r="4125" spans="1:11" ht="42" customHeight="1">
      <c r="A4125" s="2" t="s">
        <v>10236</v>
      </c>
      <c r="B4125" s="2" t="s">
        <v>10236</v>
      </c>
      <c r="C4125" s="2" t="s">
        <v>897</v>
      </c>
      <c r="D4125" s="2" t="s">
        <v>50</v>
      </c>
      <c r="E4125" s="5">
        <v>-30720</v>
      </c>
      <c r="F4125" s="3" t="s">
        <v>373</v>
      </c>
      <c r="G4125" s="3" t="s">
        <v>88</v>
      </c>
      <c r="H4125" s="2" t="s">
        <v>72</v>
      </c>
      <c r="I4125" s="2" t="s">
        <v>10237</v>
      </c>
      <c r="J4125" s="3" t="str">
        <f>HYPERLINK("https://www.boe.es/gazeta/dias/1815/11/21/pdfs/GMD-1815-145.pdf#page=10","Abrir facsímil")</f>
        <v>Abrir facsímil</v>
      </c>
      <c r="K4125" s="3" t="s">
        <v>74</v>
      </c>
    </row>
    <row r="4126" spans="1:11" ht="42" customHeight="1">
      <c r="A4126" s="2" t="s">
        <v>10238</v>
      </c>
      <c r="B4126" s="2" t="s">
        <v>10239</v>
      </c>
      <c r="C4126" s="2" t="s">
        <v>49</v>
      </c>
      <c r="D4126" s="2" t="s">
        <v>50</v>
      </c>
      <c r="E4126" s="5">
        <v>-30863</v>
      </c>
      <c r="F4126" s="3" t="s">
        <v>110</v>
      </c>
      <c r="G4126" s="3" t="s">
        <v>224</v>
      </c>
      <c r="H4126" s="2" t="s">
        <v>72</v>
      </c>
      <c r="I4126" s="2" t="s">
        <v>10240</v>
      </c>
      <c r="J4126" s="3" t="str">
        <f>HYPERLINK("https://www.boe.es/gazeta/dias/1815/07/01/pdfs/GMD-1815-79.pdf#page=9","Abrir facsímil")</f>
        <v>Abrir facsímil</v>
      </c>
      <c r="K4126" s="3" t="s">
        <v>74</v>
      </c>
    </row>
    <row r="4127" spans="1:11" ht="42" customHeight="1">
      <c r="A4127" s="2" t="s">
        <v>10241</v>
      </c>
      <c r="B4127" s="2" t="s">
        <v>10242</v>
      </c>
      <c r="C4127" s="2" t="s">
        <v>131</v>
      </c>
      <c r="D4127" s="2" t="s">
        <v>50</v>
      </c>
      <c r="E4127" s="5">
        <v>-31000</v>
      </c>
      <c r="F4127" s="3" t="s">
        <v>70</v>
      </c>
      <c r="G4127" s="3" t="s">
        <v>38</v>
      </c>
      <c r="H4127" s="2" t="s">
        <v>21</v>
      </c>
      <c r="I4127" s="2" t="s">
        <v>10243</v>
      </c>
      <c r="J4127" s="3" t="str">
        <f>HYPERLINK("https://www.boe.es/gazeta/dias/1815/02/14/pdfs/GMD-1815-19.pdf#page=8","Abrir facsímil")</f>
        <v>Abrir facsímil</v>
      </c>
      <c r="K4127" s="3" t="s">
        <v>23</v>
      </c>
    </row>
    <row r="4128" spans="1:11" ht="42" customHeight="1">
      <c r="A4128" s="2" t="s">
        <v>10241</v>
      </c>
      <c r="B4128" s="2" t="s">
        <v>10242</v>
      </c>
      <c r="C4128" s="2" t="s">
        <v>131</v>
      </c>
      <c r="D4128" s="2" t="s">
        <v>50</v>
      </c>
      <c r="E4128" s="5">
        <v>-30956</v>
      </c>
      <c r="F4128" s="3" t="s">
        <v>495</v>
      </c>
      <c r="G4128" s="3" t="s">
        <v>38</v>
      </c>
      <c r="H4128" s="2" t="s">
        <v>21</v>
      </c>
      <c r="I4128" s="2" t="s">
        <v>10244</v>
      </c>
      <c r="J4128" s="3" t="str">
        <f>HYPERLINK("https://www.boe.es/gazeta/dias/1815/03/30/pdfs/GMD-1815-38.pdf#page=8","Abrir facsímil")</f>
        <v>Abrir facsímil</v>
      </c>
      <c r="K4128" s="3" t="s">
        <v>23</v>
      </c>
    </row>
    <row r="4129" spans="1:11" ht="42" customHeight="1">
      <c r="A4129" s="2" t="s">
        <v>10241</v>
      </c>
      <c r="B4129" s="2" t="s">
        <v>10242</v>
      </c>
      <c r="C4129" s="2" t="s">
        <v>31</v>
      </c>
      <c r="D4129" s="2" t="s">
        <v>32</v>
      </c>
      <c r="E4129" s="5">
        <v>-30870</v>
      </c>
      <c r="F4129" s="3" t="s">
        <v>122</v>
      </c>
      <c r="G4129" s="3" t="s">
        <v>276</v>
      </c>
      <c r="H4129" s="2" t="s">
        <v>21</v>
      </c>
      <c r="I4129" s="2" t="s">
        <v>10245</v>
      </c>
      <c r="J4129" s="3" t="str">
        <f>HYPERLINK("https://www.boe.es/gazeta/dias/1815/06/24/pdfs/GMD-1815-76.pdf#page=12","Abrir facsímil")</f>
        <v>Abrir facsímil</v>
      </c>
      <c r="K4129" s="3" t="s">
        <v>23</v>
      </c>
    </row>
    <row r="4130" spans="1:11" ht="42" customHeight="1">
      <c r="A4130" s="2" t="s">
        <v>10241</v>
      </c>
      <c r="B4130" s="2" t="s">
        <v>10242</v>
      </c>
      <c r="C4130" s="2" t="s">
        <v>131</v>
      </c>
      <c r="D4130" s="2" t="s">
        <v>50</v>
      </c>
      <c r="E4130" s="5">
        <v>-30779</v>
      </c>
      <c r="F4130" s="3" t="s">
        <v>1426</v>
      </c>
      <c r="G4130" s="3" t="s">
        <v>71</v>
      </c>
      <c r="H4130" s="2" t="s">
        <v>21</v>
      </c>
      <c r="I4130" s="2" t="s">
        <v>10246</v>
      </c>
      <c r="J4130" s="3" t="str">
        <f>HYPERLINK("https://www.boe.es/gazeta/dias/1815/09/23/pdfs/GMD-1815-118.pdf#page=7","Abrir facsímil")</f>
        <v>Abrir facsímil</v>
      </c>
      <c r="K4130" s="3" t="s">
        <v>23</v>
      </c>
    </row>
    <row r="4131" spans="1:11" ht="42" customHeight="1">
      <c r="A4131" s="2" t="s">
        <v>10247</v>
      </c>
      <c r="B4131" s="2" t="s">
        <v>10248</v>
      </c>
      <c r="C4131" s="2" t="s">
        <v>17</v>
      </c>
      <c r="D4131" s="2" t="s">
        <v>18</v>
      </c>
      <c r="E4131" s="5">
        <v>-30832</v>
      </c>
      <c r="F4131" s="3" t="s">
        <v>266</v>
      </c>
      <c r="G4131" s="3" t="s">
        <v>276</v>
      </c>
      <c r="H4131" s="2" t="s">
        <v>72</v>
      </c>
      <c r="I4131" s="2" t="s">
        <v>10249</v>
      </c>
      <c r="J4131" s="3" t="str">
        <f>HYPERLINK("https://www.boe.es/gazeta/dias/1815/08/01/pdfs/GMD-1815-94.pdf#page=12","Abrir facsímil")</f>
        <v>Abrir facsímil</v>
      </c>
      <c r="K4131" s="3" t="s">
        <v>74</v>
      </c>
    </row>
    <row r="4132" spans="1:11" ht="42" customHeight="1">
      <c r="A4132" s="2" t="s">
        <v>10250</v>
      </c>
      <c r="B4132" s="2" t="s">
        <v>10251</v>
      </c>
      <c r="C4132" s="2" t="s">
        <v>49</v>
      </c>
      <c r="D4132" s="2" t="s">
        <v>50</v>
      </c>
      <c r="E4132" s="5">
        <v>-30844</v>
      </c>
      <c r="F4132" s="3" t="s">
        <v>114</v>
      </c>
      <c r="G4132" s="3" t="s">
        <v>38</v>
      </c>
      <c r="H4132" s="2" t="s">
        <v>72</v>
      </c>
      <c r="I4132" s="2" t="s">
        <v>10252</v>
      </c>
      <c r="J4132" s="3" t="str">
        <f>HYPERLINK("https://www.boe.es/gazeta/dias/1815/07/20/pdfs/GMD-1815-89.pdf#page=8","Abrir facsímil")</f>
        <v>Abrir facsímil</v>
      </c>
      <c r="K4132" s="3" t="s">
        <v>74</v>
      </c>
    </row>
    <row r="4133" spans="1:11" ht="42" customHeight="1">
      <c r="A4133" s="2" t="s">
        <v>10253</v>
      </c>
      <c r="B4133" s="2" t="s">
        <v>10254</v>
      </c>
      <c r="C4133" s="2" t="s">
        <v>31</v>
      </c>
      <c r="D4133" s="2" t="s">
        <v>32</v>
      </c>
      <c r="E4133" s="5">
        <v>-30844</v>
      </c>
      <c r="F4133" s="3" t="s">
        <v>114</v>
      </c>
      <c r="G4133" s="3" t="s">
        <v>38</v>
      </c>
      <c r="H4133" s="2" t="s">
        <v>72</v>
      </c>
      <c r="I4133" s="2" t="s">
        <v>10255</v>
      </c>
      <c r="J4133" s="3" t="str">
        <f>HYPERLINK("https://www.boe.es/gazeta/dias/1815/07/20/pdfs/GMD-1815-89.pdf#page=8","Abrir facsímil")</f>
        <v>Abrir facsímil</v>
      </c>
      <c r="K4133" s="3" t="s">
        <v>74</v>
      </c>
    </row>
    <row r="4134" spans="1:11" ht="42" customHeight="1">
      <c r="A4134" s="2" t="s">
        <v>10256</v>
      </c>
      <c r="B4134" s="2" t="s">
        <v>10257</v>
      </c>
      <c r="C4134" s="2" t="s">
        <v>49</v>
      </c>
      <c r="D4134" s="2" t="s">
        <v>50</v>
      </c>
      <c r="E4134" s="5">
        <v>-30825</v>
      </c>
      <c r="F4134" s="3" t="s">
        <v>669</v>
      </c>
      <c r="G4134" s="3" t="s">
        <v>88</v>
      </c>
      <c r="H4134" s="2" t="s">
        <v>72</v>
      </c>
      <c r="I4134" s="2" t="s">
        <v>10258</v>
      </c>
      <c r="J4134" s="3" t="str">
        <f>HYPERLINK("https://www.boe.es/gazeta/dias/1815/08/08/pdfs/GMD-1815-97.pdf#page=10","Abrir facsímil")</f>
        <v>Abrir facsímil</v>
      </c>
      <c r="K4134" s="3" t="s">
        <v>74</v>
      </c>
    </row>
    <row r="4135" spans="1:11" ht="42" customHeight="1">
      <c r="A4135" s="2" t="s">
        <v>10259</v>
      </c>
      <c r="B4135" s="2" t="s">
        <v>10259</v>
      </c>
      <c r="C4135" s="2" t="s">
        <v>17</v>
      </c>
      <c r="D4135" s="2" t="s">
        <v>18</v>
      </c>
      <c r="E4135" s="5">
        <v>-31033</v>
      </c>
      <c r="F4135" s="3" t="s">
        <v>493</v>
      </c>
      <c r="G4135" s="3" t="s">
        <v>71</v>
      </c>
      <c r="H4135" s="2" t="s">
        <v>72</v>
      </c>
      <c r="I4135" s="2" t="s">
        <v>10260</v>
      </c>
      <c r="J4135" s="3" t="str">
        <f>HYPERLINK("https://www.boe.es/gazeta/dias/1815/01/12/pdfs/GMD-1815-5.pdf#page=7","Abrir facsímil")</f>
        <v>Abrir facsímil</v>
      </c>
      <c r="K4135" s="3" t="s">
        <v>74</v>
      </c>
    </row>
    <row r="4136" spans="1:11" ht="42" customHeight="1">
      <c r="A4136" s="2" t="s">
        <v>10259</v>
      </c>
      <c r="B4136" s="2" t="s">
        <v>10259</v>
      </c>
      <c r="C4136" s="2" t="s">
        <v>31</v>
      </c>
      <c r="D4136" s="2" t="s">
        <v>32</v>
      </c>
      <c r="E4136" s="5">
        <v>-30935</v>
      </c>
      <c r="F4136" s="3" t="s">
        <v>519</v>
      </c>
      <c r="G4136" s="3" t="s">
        <v>38</v>
      </c>
      <c r="H4136" s="2" t="s">
        <v>72</v>
      </c>
      <c r="I4136" s="2" t="s">
        <v>10261</v>
      </c>
      <c r="J4136" s="3" t="str">
        <f>HYPERLINK("https://www.boe.es/gazeta/dias/1815/04/20/pdfs/GMD-1815-48.pdf#page=8","Abrir facsímil")</f>
        <v>Abrir facsímil</v>
      </c>
      <c r="K4136" s="3" t="s">
        <v>74</v>
      </c>
    </row>
    <row r="4137" spans="1:11" ht="42" customHeight="1">
      <c r="A4137" s="2" t="s">
        <v>10259</v>
      </c>
      <c r="B4137" s="2" t="s">
        <v>10259</v>
      </c>
      <c r="C4137" s="2" t="s">
        <v>61</v>
      </c>
      <c r="D4137" s="2" t="s">
        <v>50</v>
      </c>
      <c r="E4137" s="5">
        <v>-30888</v>
      </c>
      <c r="F4137" s="3" t="s">
        <v>368</v>
      </c>
      <c r="G4137" s="3" t="s">
        <v>369</v>
      </c>
      <c r="H4137" s="2" t="s">
        <v>72</v>
      </c>
      <c r="I4137" s="2" t="s">
        <v>10262</v>
      </c>
      <c r="J4137" s="3" t="str">
        <f>HYPERLINK("https://www.boe.es/gazeta/dias/1815/06/06/pdfs/GMD-1815-68.pdf#page=7","Abrir facsímil")</f>
        <v>Abrir facsímil</v>
      </c>
      <c r="K4137" s="3" t="s">
        <v>74</v>
      </c>
    </row>
    <row r="4138" spans="1:11" ht="42" customHeight="1">
      <c r="A4138" s="2" t="s">
        <v>10259</v>
      </c>
      <c r="B4138" s="2" t="s">
        <v>10259</v>
      </c>
      <c r="C4138" s="2" t="s">
        <v>49</v>
      </c>
      <c r="D4138" s="2" t="s">
        <v>50</v>
      </c>
      <c r="E4138" s="5">
        <v>-30865</v>
      </c>
      <c r="F4138" s="3" t="s">
        <v>163</v>
      </c>
      <c r="G4138" s="3" t="s">
        <v>27</v>
      </c>
      <c r="H4138" s="2" t="s">
        <v>72</v>
      </c>
      <c r="I4138" s="2" t="s">
        <v>10263</v>
      </c>
      <c r="J4138" s="3" t="str">
        <f>HYPERLINK("https://www.boe.es/gazeta/dias/1815/06/29/pdfs/GMD-1815-78.pdf#page=6","Abrir facsímil")</f>
        <v>Abrir facsímil</v>
      </c>
      <c r="K4138" s="3" t="s">
        <v>74</v>
      </c>
    </row>
    <row r="4139" spans="1:11" ht="42" customHeight="1">
      <c r="A4139" s="2" t="s">
        <v>10259</v>
      </c>
      <c r="B4139" s="2" t="s">
        <v>10259</v>
      </c>
      <c r="C4139" s="2" t="s">
        <v>49</v>
      </c>
      <c r="D4139" s="2" t="s">
        <v>50</v>
      </c>
      <c r="E4139" s="5">
        <v>-30865</v>
      </c>
      <c r="F4139" s="3" t="s">
        <v>163</v>
      </c>
      <c r="G4139" s="3" t="s">
        <v>71</v>
      </c>
      <c r="H4139" s="2" t="s">
        <v>72</v>
      </c>
      <c r="I4139" s="2" t="s">
        <v>10264</v>
      </c>
      <c r="J4139" s="3" t="str">
        <f>HYPERLINK("https://www.boe.es/gazeta/dias/1815/06/29/pdfs/GMD-1815-78.pdf#page=7","Abrir facsímil")</f>
        <v>Abrir facsímil</v>
      </c>
      <c r="K4139" s="3" t="s">
        <v>74</v>
      </c>
    </row>
    <row r="4140" spans="1:11" ht="42" customHeight="1">
      <c r="A4140" s="2" t="s">
        <v>10259</v>
      </c>
      <c r="B4140" s="2" t="s">
        <v>10259</v>
      </c>
      <c r="C4140" s="2" t="s">
        <v>61</v>
      </c>
      <c r="D4140" s="2" t="s">
        <v>50</v>
      </c>
      <c r="E4140" s="5">
        <v>-30695</v>
      </c>
      <c r="F4140" s="3" t="s">
        <v>824</v>
      </c>
      <c r="G4140" s="3" t="s">
        <v>38</v>
      </c>
      <c r="H4140" s="2" t="s">
        <v>72</v>
      </c>
      <c r="I4140" s="2" t="s">
        <v>10265</v>
      </c>
      <c r="J4140" s="3" t="str">
        <f>HYPERLINK("https://www.boe.es/gazeta/dias/1815/12/16/pdfs/GMD-1815-156.pdf#page=8","Abrir facsímil")</f>
        <v>Abrir facsímil</v>
      </c>
      <c r="K4140" s="3" t="s">
        <v>74</v>
      </c>
    </row>
    <row r="4141" spans="1:11" ht="42" customHeight="1">
      <c r="A4141" s="2" t="s">
        <v>10266</v>
      </c>
      <c r="B4141" s="2" t="s">
        <v>10267</v>
      </c>
      <c r="C4141" s="2" t="s">
        <v>49</v>
      </c>
      <c r="D4141" s="2" t="s">
        <v>50</v>
      </c>
      <c r="E4141" s="5">
        <v>-30916</v>
      </c>
      <c r="F4141" s="3" t="s">
        <v>147</v>
      </c>
      <c r="G4141" s="3" t="s">
        <v>38</v>
      </c>
      <c r="H4141" s="2" t="s">
        <v>72</v>
      </c>
      <c r="I4141" s="2" t="s">
        <v>10268</v>
      </c>
      <c r="J4141" s="3" t="str">
        <f>HYPERLINK("https://www.boe.es/gazeta/dias/1815/05/09/pdfs/GMD-1815-56.pdf#page=8","Abrir facsímil")</f>
        <v>Abrir facsímil</v>
      </c>
      <c r="K4141" s="3" t="s">
        <v>74</v>
      </c>
    </row>
    <row r="4142" spans="1:11" ht="42" customHeight="1">
      <c r="A4142" s="2" t="s">
        <v>10269</v>
      </c>
      <c r="B4142" s="2" t="s">
        <v>10269</v>
      </c>
      <c r="C4142" s="2" t="s">
        <v>31</v>
      </c>
      <c r="D4142" s="2" t="s">
        <v>32</v>
      </c>
      <c r="E4142" s="5">
        <v>-30893</v>
      </c>
      <c r="F4142" s="3" t="s">
        <v>132</v>
      </c>
      <c r="G4142" s="3" t="s">
        <v>97</v>
      </c>
      <c r="H4142" s="2" t="s">
        <v>72</v>
      </c>
      <c r="I4142" s="2" t="s">
        <v>10270</v>
      </c>
      <c r="J4142" s="3" t="str">
        <f>HYPERLINK("https://www.boe.es/gazeta/dias/1815/06/01/pdfs/GMD-1815-66.pdf#page=3","Abrir facsímil")</f>
        <v>Abrir facsímil</v>
      </c>
      <c r="K4142" s="3" t="s">
        <v>74</v>
      </c>
    </row>
    <row r="4143" spans="1:11" ht="42" customHeight="1">
      <c r="A4143" s="2" t="s">
        <v>10271</v>
      </c>
      <c r="B4143" s="2" t="s">
        <v>10272</v>
      </c>
      <c r="C4143" s="2" t="s">
        <v>31</v>
      </c>
      <c r="D4143" s="2" t="s">
        <v>32</v>
      </c>
      <c r="E4143" s="5">
        <v>-31028</v>
      </c>
      <c r="F4143" s="3" t="s">
        <v>517</v>
      </c>
      <c r="G4143" s="3" t="s">
        <v>88</v>
      </c>
      <c r="H4143" s="2" t="s">
        <v>72</v>
      </c>
      <c r="I4143" s="2" t="s">
        <v>10273</v>
      </c>
      <c r="J4143" s="3" t="str">
        <f>HYPERLINK("https://www.boe.es/gazeta/dias/1815/01/17/pdfs/GMD-1815-7.pdf#page=10","Abrir facsímil")</f>
        <v>Abrir facsímil</v>
      </c>
      <c r="K4143" s="3" t="s">
        <v>74</v>
      </c>
    </row>
    <row r="4144" spans="1:11" ht="42" customHeight="1">
      <c r="A4144" s="2" t="s">
        <v>10274</v>
      </c>
      <c r="B4144" s="2" t="s">
        <v>10274</v>
      </c>
      <c r="C4144" s="2" t="s">
        <v>49</v>
      </c>
      <c r="D4144" s="2" t="s">
        <v>50</v>
      </c>
      <c r="E4144" s="5">
        <v>-31026</v>
      </c>
      <c r="F4144" s="3" t="s">
        <v>874</v>
      </c>
      <c r="G4144" s="3" t="s">
        <v>71</v>
      </c>
      <c r="H4144" s="2" t="s">
        <v>72</v>
      </c>
      <c r="I4144" s="2" t="s">
        <v>10275</v>
      </c>
      <c r="J4144" s="3" t="str">
        <f>HYPERLINK("https://www.boe.es/gazeta/dias/1815/01/19/pdfs/GMD-1815-8.pdf#page=7","Abrir facsímil")</f>
        <v>Abrir facsímil</v>
      </c>
      <c r="K4144" s="3" t="s">
        <v>74</v>
      </c>
    </row>
    <row r="4145" spans="1:11" ht="42" customHeight="1">
      <c r="A4145" s="2" t="s">
        <v>10276</v>
      </c>
      <c r="B4145" s="2" t="s">
        <v>10277</v>
      </c>
      <c r="C4145" s="2" t="s">
        <v>195</v>
      </c>
      <c r="D4145" s="2" t="s">
        <v>50</v>
      </c>
      <c r="E4145" s="5">
        <v>-30874</v>
      </c>
      <c r="F4145" s="3" t="s">
        <v>208</v>
      </c>
      <c r="G4145" s="3" t="s">
        <v>71</v>
      </c>
      <c r="H4145" s="2" t="s">
        <v>21</v>
      </c>
      <c r="I4145" s="2" t="s">
        <v>10278</v>
      </c>
      <c r="J4145" s="3" t="str">
        <f>HYPERLINK("https://www.boe.es/gazeta/dias/1815/06/20/pdfs/GMD-1815-74.pdf#page=7","Abrir facsímil")</f>
        <v>Abrir facsímil</v>
      </c>
      <c r="K4145" s="3" t="s">
        <v>23</v>
      </c>
    </row>
    <row r="4146" spans="1:11" ht="42" customHeight="1">
      <c r="A4146" s="2" t="s">
        <v>10279</v>
      </c>
      <c r="B4146" s="2" t="s">
        <v>10279</v>
      </c>
      <c r="C4146" s="2" t="s">
        <v>31</v>
      </c>
      <c r="D4146" s="2" t="s">
        <v>32</v>
      </c>
      <c r="E4146" s="5">
        <v>-31026</v>
      </c>
      <c r="F4146" s="3" t="s">
        <v>874</v>
      </c>
      <c r="G4146" s="3" t="s">
        <v>20</v>
      </c>
      <c r="H4146" s="2" t="s">
        <v>72</v>
      </c>
      <c r="I4146" s="2" t="s">
        <v>10280</v>
      </c>
      <c r="J4146" s="3" t="str">
        <f>HYPERLINK("https://www.boe.es/gazeta/dias/1815/01/19/pdfs/GMD-1815-8.pdf#page=4","Abrir facsímil")</f>
        <v>Abrir facsímil</v>
      </c>
      <c r="K4146" s="3" t="s">
        <v>74</v>
      </c>
    </row>
    <row r="4147" spans="1:11" ht="42" customHeight="1">
      <c r="A4147" s="2" t="s">
        <v>10279</v>
      </c>
      <c r="B4147" s="2" t="s">
        <v>10279</v>
      </c>
      <c r="C4147" s="2" t="s">
        <v>17</v>
      </c>
      <c r="D4147" s="2" t="s">
        <v>18</v>
      </c>
      <c r="E4147" s="5">
        <v>-31014</v>
      </c>
      <c r="F4147" s="3" t="s">
        <v>3193</v>
      </c>
      <c r="G4147" s="3" t="s">
        <v>57</v>
      </c>
      <c r="H4147" s="2" t="s">
        <v>72</v>
      </c>
      <c r="I4147" s="2" t="s">
        <v>10281</v>
      </c>
      <c r="J4147" s="3" t="str">
        <f>HYPERLINK("https://www.boe.es/gazeta/dias/1815/01/31/pdfs/GMD-1815-13.pdf#page=5","Abrir facsímil")</f>
        <v>Abrir facsímil</v>
      </c>
      <c r="K4147" s="3" t="s">
        <v>74</v>
      </c>
    </row>
    <row r="4148" spans="1:11" ht="42" customHeight="1">
      <c r="A4148" s="2" t="s">
        <v>10279</v>
      </c>
      <c r="B4148" s="2" t="s">
        <v>10279</v>
      </c>
      <c r="C4148" s="2" t="s">
        <v>31</v>
      </c>
      <c r="D4148" s="2" t="s">
        <v>32</v>
      </c>
      <c r="E4148" s="5">
        <v>-30902</v>
      </c>
      <c r="F4148" s="3" t="s">
        <v>648</v>
      </c>
      <c r="G4148" s="3" t="s">
        <v>27</v>
      </c>
      <c r="H4148" s="2" t="s">
        <v>72</v>
      </c>
      <c r="I4148" s="2" t="s">
        <v>10282</v>
      </c>
      <c r="J4148" s="3" t="str">
        <f>HYPERLINK("https://www.boe.es/gazeta/dias/1815/05/23/pdfs/GMD-1815-62.pdf#page=6","Abrir facsímil")</f>
        <v>Abrir facsímil</v>
      </c>
      <c r="K4148" s="3" t="s">
        <v>74</v>
      </c>
    </row>
    <row r="4149" spans="1:11" ht="42" customHeight="1">
      <c r="A4149" s="2" t="s">
        <v>10279</v>
      </c>
      <c r="B4149" s="2" t="s">
        <v>10279</v>
      </c>
      <c r="C4149" s="2" t="s">
        <v>49</v>
      </c>
      <c r="D4149" s="2" t="s">
        <v>50</v>
      </c>
      <c r="E4149" s="5">
        <v>-30900</v>
      </c>
      <c r="F4149" s="3" t="s">
        <v>921</v>
      </c>
      <c r="G4149" s="3" t="s">
        <v>38</v>
      </c>
      <c r="H4149" s="2" t="s">
        <v>72</v>
      </c>
      <c r="I4149" s="2" t="s">
        <v>10283</v>
      </c>
      <c r="J4149" s="3" t="str">
        <f>HYPERLINK("https://www.boe.es/gazeta/dias/1815/05/25/pdfs/GMD-1815-63.pdf#page=8","Abrir facsímil")</f>
        <v>Abrir facsímil</v>
      </c>
      <c r="K4149" s="3" t="s">
        <v>74</v>
      </c>
    </row>
    <row r="4150" spans="1:11" ht="42" customHeight="1">
      <c r="A4150" s="2" t="s">
        <v>10279</v>
      </c>
      <c r="B4150" s="2" t="s">
        <v>10279</v>
      </c>
      <c r="C4150" s="2" t="s">
        <v>49</v>
      </c>
      <c r="D4150" s="2" t="s">
        <v>50</v>
      </c>
      <c r="E4150" s="5">
        <v>-30893</v>
      </c>
      <c r="F4150" s="3" t="s">
        <v>132</v>
      </c>
      <c r="G4150" s="3" t="s">
        <v>155</v>
      </c>
      <c r="H4150" s="2" t="s">
        <v>72</v>
      </c>
      <c r="I4150" s="2" t="s">
        <v>10284</v>
      </c>
      <c r="J4150" s="3" t="str">
        <f>HYPERLINK("https://www.boe.es/gazeta/dias/1815/06/01/pdfs/GMD-1815-66.pdf#page=6","Abrir facsímil")</f>
        <v>Abrir facsímil</v>
      </c>
      <c r="K4150" s="3" t="s">
        <v>74</v>
      </c>
    </row>
    <row r="4151" spans="1:11" ht="42" customHeight="1">
      <c r="A4151" s="2" t="s">
        <v>10279</v>
      </c>
      <c r="B4151" s="2" t="s">
        <v>10279</v>
      </c>
      <c r="C4151" s="2" t="s">
        <v>195</v>
      </c>
      <c r="D4151" s="2" t="s">
        <v>50</v>
      </c>
      <c r="E4151" s="5">
        <v>-30888</v>
      </c>
      <c r="F4151" s="3" t="s">
        <v>368</v>
      </c>
      <c r="G4151" s="3" t="s">
        <v>38</v>
      </c>
      <c r="H4151" s="2" t="s">
        <v>72</v>
      </c>
      <c r="I4151" s="2" t="s">
        <v>10285</v>
      </c>
      <c r="J4151" s="3" t="str">
        <f>HYPERLINK("https://www.boe.es/gazeta/dias/1815/06/06/pdfs/GMD-1815-68.pdf#page=8","Abrir facsímil")</f>
        <v>Abrir facsímil</v>
      </c>
      <c r="K4151" s="3" t="s">
        <v>74</v>
      </c>
    </row>
    <row r="4152" spans="1:11" ht="42" customHeight="1">
      <c r="A4152" s="2" t="s">
        <v>10279</v>
      </c>
      <c r="B4152" s="2" t="s">
        <v>10279</v>
      </c>
      <c r="C4152" s="2" t="s">
        <v>31</v>
      </c>
      <c r="D4152" s="2" t="s">
        <v>32</v>
      </c>
      <c r="E4152" s="5">
        <v>-30879</v>
      </c>
      <c r="F4152" s="3" t="s">
        <v>754</v>
      </c>
      <c r="G4152" s="3" t="s">
        <v>52</v>
      </c>
      <c r="H4152" s="2" t="s">
        <v>72</v>
      </c>
      <c r="I4152" s="2" t="s">
        <v>10286</v>
      </c>
      <c r="J4152" s="3" t="str">
        <f>HYPERLINK("https://www.boe.es/gazeta/dias/1815/06/15/pdfs/GMD-1815-72.pdf#page=11","Abrir facsímil")</f>
        <v>Abrir facsímil</v>
      </c>
      <c r="K4152" s="3" t="s">
        <v>74</v>
      </c>
    </row>
    <row r="4153" spans="1:11" ht="42" customHeight="1">
      <c r="A4153" s="2" t="s">
        <v>10279</v>
      </c>
      <c r="B4153" s="2" t="s">
        <v>10279</v>
      </c>
      <c r="C4153" s="2" t="s">
        <v>195</v>
      </c>
      <c r="D4153" s="2" t="s">
        <v>50</v>
      </c>
      <c r="E4153" s="5">
        <v>-30874</v>
      </c>
      <c r="F4153" s="3" t="s">
        <v>208</v>
      </c>
      <c r="G4153" s="3" t="s">
        <v>224</v>
      </c>
      <c r="H4153" s="2" t="s">
        <v>72</v>
      </c>
      <c r="I4153" s="2" t="s">
        <v>10287</v>
      </c>
      <c r="J4153" s="3" t="str">
        <f>HYPERLINK("https://www.boe.es/gazeta/dias/1815/06/20/pdfs/GMD-1815-74.pdf#page=9","Abrir facsímil")</f>
        <v>Abrir facsímil</v>
      </c>
      <c r="K4153" s="3" t="s">
        <v>74</v>
      </c>
    </row>
    <row r="4154" spans="1:11" ht="42" customHeight="1">
      <c r="A4154" s="2" t="s">
        <v>10279</v>
      </c>
      <c r="B4154" s="2" t="s">
        <v>10279</v>
      </c>
      <c r="C4154" s="2" t="s">
        <v>49</v>
      </c>
      <c r="D4154" s="2" t="s">
        <v>50</v>
      </c>
      <c r="E4154" s="5">
        <v>-30870</v>
      </c>
      <c r="F4154" s="3" t="s">
        <v>122</v>
      </c>
      <c r="G4154" s="3" t="s">
        <v>88</v>
      </c>
      <c r="H4154" s="2" t="s">
        <v>72</v>
      </c>
      <c r="I4154" s="2" t="s">
        <v>10288</v>
      </c>
      <c r="J4154" s="3" t="str">
        <f>HYPERLINK("https://www.boe.es/gazeta/dias/1815/06/24/pdfs/GMD-1815-76.pdf#page=10","Abrir facsímil")</f>
        <v>Abrir facsímil</v>
      </c>
      <c r="K4154" s="3" t="s">
        <v>74</v>
      </c>
    </row>
    <row r="4155" spans="1:11" ht="42" customHeight="1">
      <c r="A4155" s="2" t="s">
        <v>10279</v>
      </c>
      <c r="B4155" s="2" t="s">
        <v>10279</v>
      </c>
      <c r="C4155" s="2" t="s">
        <v>49</v>
      </c>
      <c r="D4155" s="2" t="s">
        <v>50</v>
      </c>
      <c r="E4155" s="5">
        <v>-30870</v>
      </c>
      <c r="F4155" s="3" t="s">
        <v>122</v>
      </c>
      <c r="G4155" s="3" t="s">
        <v>52</v>
      </c>
      <c r="H4155" s="2" t="s">
        <v>72</v>
      </c>
      <c r="I4155" s="2" t="s">
        <v>10289</v>
      </c>
      <c r="J4155" s="3" t="str">
        <f>HYPERLINK("https://www.boe.es/gazeta/dias/1815/06/24/pdfs/GMD-1815-76.pdf#page=11","Abrir facsímil")</f>
        <v>Abrir facsímil</v>
      </c>
      <c r="K4155" s="3" t="s">
        <v>74</v>
      </c>
    </row>
    <row r="4156" spans="1:11" ht="42" customHeight="1">
      <c r="A4156" s="2" t="s">
        <v>10279</v>
      </c>
      <c r="B4156" s="2" t="s">
        <v>10279</v>
      </c>
      <c r="C4156" s="2" t="s">
        <v>31</v>
      </c>
      <c r="D4156" s="2" t="s">
        <v>32</v>
      </c>
      <c r="E4156" s="5">
        <v>-30870</v>
      </c>
      <c r="F4156" s="3" t="s">
        <v>122</v>
      </c>
      <c r="G4156" s="3" t="s">
        <v>276</v>
      </c>
      <c r="H4156" s="2" t="s">
        <v>72</v>
      </c>
      <c r="I4156" s="2" t="s">
        <v>10290</v>
      </c>
      <c r="J4156" s="3" t="str">
        <f>HYPERLINK("https://www.boe.es/gazeta/dias/1815/06/24/pdfs/GMD-1815-76.pdf#page=12","Abrir facsímil")</f>
        <v>Abrir facsímil</v>
      </c>
      <c r="K4156" s="3" t="s">
        <v>74</v>
      </c>
    </row>
    <row r="4157" spans="1:11" ht="42" customHeight="1">
      <c r="A4157" s="2" t="s">
        <v>10279</v>
      </c>
      <c r="B4157" s="2" t="s">
        <v>10279</v>
      </c>
      <c r="C4157" s="2" t="s">
        <v>49</v>
      </c>
      <c r="D4157" s="2" t="s">
        <v>50</v>
      </c>
      <c r="E4157" s="5">
        <v>-30865</v>
      </c>
      <c r="F4157" s="3" t="s">
        <v>163</v>
      </c>
      <c r="G4157" s="3" t="s">
        <v>71</v>
      </c>
      <c r="H4157" s="2" t="s">
        <v>72</v>
      </c>
      <c r="I4157" s="2" t="s">
        <v>10291</v>
      </c>
      <c r="J4157" s="3" t="str">
        <f>HYPERLINK("https://www.boe.es/gazeta/dias/1815/06/29/pdfs/GMD-1815-78.pdf#page=7","Abrir facsímil")</f>
        <v>Abrir facsímil</v>
      </c>
      <c r="K4157" s="3" t="s">
        <v>74</v>
      </c>
    </row>
    <row r="4158" spans="1:11" ht="42" customHeight="1">
      <c r="A4158" s="2" t="s">
        <v>10279</v>
      </c>
      <c r="B4158" s="2" t="s">
        <v>10279</v>
      </c>
      <c r="C4158" s="2" t="s">
        <v>17</v>
      </c>
      <c r="D4158" s="2" t="s">
        <v>18</v>
      </c>
      <c r="E4158" s="5">
        <v>-30849</v>
      </c>
      <c r="F4158" s="3" t="s">
        <v>501</v>
      </c>
      <c r="G4158" s="3" t="s">
        <v>52</v>
      </c>
      <c r="H4158" s="2" t="s">
        <v>72</v>
      </c>
      <c r="I4158" s="2" t="s">
        <v>10292</v>
      </c>
      <c r="J4158" s="3" t="str">
        <f>HYPERLINK("https://www.boe.es/gazeta/dias/1815/07/15/pdfs/GMD-1815-87.pdf#page=11","Abrir facsímil")</f>
        <v>Abrir facsímil</v>
      </c>
      <c r="K4158" s="3" t="s">
        <v>74</v>
      </c>
    </row>
    <row r="4159" spans="1:11" ht="42" customHeight="1">
      <c r="A4159" s="2" t="s">
        <v>10279</v>
      </c>
      <c r="B4159" s="2" t="s">
        <v>10279</v>
      </c>
      <c r="C4159" s="2" t="s">
        <v>17</v>
      </c>
      <c r="D4159" s="2" t="s">
        <v>18</v>
      </c>
      <c r="E4159" s="5">
        <v>-30818</v>
      </c>
      <c r="F4159" s="3" t="s">
        <v>334</v>
      </c>
      <c r="G4159" s="3" t="s">
        <v>52</v>
      </c>
      <c r="H4159" s="2" t="s">
        <v>72</v>
      </c>
      <c r="I4159" s="2" t="s">
        <v>10293</v>
      </c>
      <c r="J4159" s="3" t="str">
        <f>HYPERLINK("https://www.boe.es/gazeta/dias/1815/08/15/pdfs/GMD-1815-100.pdf#page=11","Abrir facsímil")</f>
        <v>Abrir facsímil</v>
      </c>
      <c r="K4159" s="3" t="s">
        <v>74</v>
      </c>
    </row>
    <row r="4160" spans="1:11" ht="42" customHeight="1">
      <c r="A4160" s="2" t="s">
        <v>10279</v>
      </c>
      <c r="B4160" s="2" t="s">
        <v>10279</v>
      </c>
      <c r="C4160" s="2" t="s">
        <v>49</v>
      </c>
      <c r="D4160" s="2" t="s">
        <v>50</v>
      </c>
      <c r="E4160" s="5">
        <v>-30818</v>
      </c>
      <c r="F4160" s="3" t="s">
        <v>334</v>
      </c>
      <c r="G4160" s="3" t="s">
        <v>224</v>
      </c>
      <c r="H4160" s="2" t="s">
        <v>72</v>
      </c>
      <c r="I4160" s="2" t="s">
        <v>10294</v>
      </c>
      <c r="J4160" s="3" t="str">
        <f>HYPERLINK("https://www.boe.es/gazeta/dias/1815/08/15/pdfs/GMD-1815-100.pdf#page=9","Abrir facsímil")</f>
        <v>Abrir facsímil</v>
      </c>
      <c r="K4160" s="3" t="s">
        <v>74</v>
      </c>
    </row>
    <row r="4161" spans="1:11" ht="42" customHeight="1">
      <c r="A4161" s="2" t="s">
        <v>10279</v>
      </c>
      <c r="B4161" s="2" t="s">
        <v>10279</v>
      </c>
      <c r="C4161" s="2" t="s">
        <v>17</v>
      </c>
      <c r="D4161" s="2" t="s">
        <v>18</v>
      </c>
      <c r="E4161" s="5">
        <v>-30816</v>
      </c>
      <c r="F4161" s="3" t="s">
        <v>1253</v>
      </c>
      <c r="G4161" s="3" t="s">
        <v>52</v>
      </c>
      <c r="H4161" s="2" t="s">
        <v>72</v>
      </c>
      <c r="I4161" s="2" t="s">
        <v>10295</v>
      </c>
      <c r="J4161" s="3" t="str">
        <f>HYPERLINK("https://www.boe.es/gazeta/dias/1815/08/17/pdfs/GMD-1815-101.pdf#page=11","Abrir facsímil")</f>
        <v>Abrir facsímil</v>
      </c>
      <c r="K4161" s="3" t="s">
        <v>74</v>
      </c>
    </row>
    <row r="4162" spans="1:11" ht="42" customHeight="1">
      <c r="A4162" s="2" t="s">
        <v>10296</v>
      </c>
      <c r="B4162" s="2" t="s">
        <v>10296</v>
      </c>
      <c r="C4162" s="2" t="s">
        <v>49</v>
      </c>
      <c r="D4162" s="2" t="s">
        <v>50</v>
      </c>
      <c r="E4162" s="5">
        <v>-30863</v>
      </c>
      <c r="F4162" s="3" t="s">
        <v>110</v>
      </c>
      <c r="G4162" s="3" t="s">
        <v>88</v>
      </c>
      <c r="H4162" s="2" t="s">
        <v>72</v>
      </c>
      <c r="I4162" s="2" t="s">
        <v>10297</v>
      </c>
      <c r="J4162" s="3" t="str">
        <f>HYPERLINK("https://www.boe.es/gazeta/dias/1815/07/01/pdfs/GMD-1815-79.pdf#page=10","Abrir facsímil")</f>
        <v>Abrir facsímil</v>
      </c>
      <c r="K4162" s="3" t="s">
        <v>74</v>
      </c>
    </row>
    <row r="4163" spans="1:11" ht="42" customHeight="1">
      <c r="A4163" s="2" t="s">
        <v>10298</v>
      </c>
      <c r="B4163" s="2" t="s">
        <v>10299</v>
      </c>
      <c r="C4163" s="2" t="s">
        <v>49</v>
      </c>
      <c r="D4163" s="2" t="s">
        <v>50</v>
      </c>
      <c r="E4163" s="5">
        <v>-31040</v>
      </c>
      <c r="F4163" s="3" t="s">
        <v>326</v>
      </c>
      <c r="G4163" s="3" t="s">
        <v>27</v>
      </c>
      <c r="H4163" s="2" t="s">
        <v>21</v>
      </c>
      <c r="I4163" s="2" t="s">
        <v>10300</v>
      </c>
      <c r="J4163" s="3" t="str">
        <f>HYPERLINK("https://www.boe.es/gazeta/dias/1815/01/05/pdfs/GMD-1815-2.pdf#page=6","Abrir facsímil")</f>
        <v>Abrir facsímil</v>
      </c>
      <c r="K4163" s="3" t="s">
        <v>23</v>
      </c>
    </row>
    <row r="4164" spans="1:11" ht="42" customHeight="1">
      <c r="A4164" s="2" t="s">
        <v>10301</v>
      </c>
      <c r="B4164" s="2" t="s">
        <v>10302</v>
      </c>
      <c r="C4164" s="2" t="s">
        <v>31</v>
      </c>
      <c r="D4164" s="2" t="s">
        <v>32</v>
      </c>
      <c r="E4164" s="5">
        <v>-30860</v>
      </c>
      <c r="F4164" s="3" t="s">
        <v>184</v>
      </c>
      <c r="G4164" s="3" t="s">
        <v>20</v>
      </c>
      <c r="H4164" s="2" t="s">
        <v>72</v>
      </c>
      <c r="I4164" s="2" t="s">
        <v>10303</v>
      </c>
      <c r="J4164" s="3" t="str">
        <f>HYPERLINK("https://www.boe.es/gazeta/dias/1815/07/04/pdfs/GMD-1815-81.pdf#page=4","Abrir facsímil")</f>
        <v>Abrir facsímil</v>
      </c>
      <c r="K4164" s="3" t="s">
        <v>74</v>
      </c>
    </row>
    <row r="4165" spans="1:11" ht="42" customHeight="1">
      <c r="A4165" s="2" t="s">
        <v>10304</v>
      </c>
      <c r="B4165" s="2" t="s">
        <v>10305</v>
      </c>
      <c r="C4165" s="2" t="s">
        <v>17</v>
      </c>
      <c r="D4165" s="2" t="s">
        <v>18</v>
      </c>
      <c r="E4165" s="5">
        <v>-30772</v>
      </c>
      <c r="F4165" s="3" t="s">
        <v>216</v>
      </c>
      <c r="G4165" s="3" t="s">
        <v>27</v>
      </c>
      <c r="H4165" s="2" t="s">
        <v>21</v>
      </c>
      <c r="I4165" s="2" t="s">
        <v>10306</v>
      </c>
      <c r="J4165" s="3" t="str">
        <f>HYPERLINK("https://www.boe.es/gazeta/dias/1815/09/30/pdfs/GMD-1815-123.pdf#page=6","Abrir facsímil")</f>
        <v>Abrir facsímil</v>
      </c>
      <c r="K4165" s="3" t="s">
        <v>23</v>
      </c>
    </row>
    <row r="4166" spans="1:11" ht="42" customHeight="1">
      <c r="A4166" s="2" t="s">
        <v>10307</v>
      </c>
      <c r="B4166" s="2" t="s">
        <v>10308</v>
      </c>
      <c r="C4166" s="2" t="s">
        <v>195</v>
      </c>
      <c r="D4166" s="2" t="s">
        <v>50</v>
      </c>
      <c r="E4166" s="5">
        <v>-30874</v>
      </c>
      <c r="F4166" s="3" t="s">
        <v>208</v>
      </c>
      <c r="G4166" s="3" t="s">
        <v>38</v>
      </c>
      <c r="H4166" s="2" t="s">
        <v>72</v>
      </c>
      <c r="I4166" s="2" t="s">
        <v>10309</v>
      </c>
      <c r="J4166" s="3" t="str">
        <f>HYPERLINK("https://www.boe.es/gazeta/dias/1815/06/20/pdfs/GMD-1815-74.pdf#page=8","Abrir facsímil")</f>
        <v>Abrir facsímil</v>
      </c>
      <c r="K4166" s="3" t="s">
        <v>74</v>
      </c>
    </row>
    <row r="4167" spans="1:11" ht="42" customHeight="1">
      <c r="A4167" s="2" t="s">
        <v>10310</v>
      </c>
      <c r="B4167" s="2" t="s">
        <v>10310</v>
      </c>
      <c r="C4167" s="2" t="s">
        <v>31</v>
      </c>
      <c r="D4167" s="2" t="s">
        <v>32</v>
      </c>
      <c r="E4167" s="5">
        <v>-30816</v>
      </c>
      <c r="F4167" s="3" t="s">
        <v>1253</v>
      </c>
      <c r="G4167" s="3" t="s">
        <v>38</v>
      </c>
      <c r="H4167" s="2" t="s">
        <v>72</v>
      </c>
      <c r="I4167" s="2" t="s">
        <v>10311</v>
      </c>
      <c r="J4167" s="3" t="str">
        <f>HYPERLINK("https://www.boe.es/gazeta/dias/1815/08/17/pdfs/GMD-1815-101.pdf#page=8","Abrir facsímil")</f>
        <v>Abrir facsímil</v>
      </c>
      <c r="K4167" s="3" t="s">
        <v>74</v>
      </c>
    </row>
    <row r="4168" spans="1:11" ht="42" customHeight="1">
      <c r="A4168" s="2" t="s">
        <v>10312</v>
      </c>
      <c r="B4168" s="2" t="s">
        <v>10313</v>
      </c>
      <c r="C4168" s="2" t="s">
        <v>49</v>
      </c>
      <c r="D4168" s="2" t="s">
        <v>50</v>
      </c>
      <c r="E4168" s="5">
        <v>-30870</v>
      </c>
      <c r="F4168" s="3" t="s">
        <v>122</v>
      </c>
      <c r="G4168" s="3" t="s">
        <v>88</v>
      </c>
      <c r="H4168" s="2" t="s">
        <v>72</v>
      </c>
      <c r="I4168" s="2" t="s">
        <v>10314</v>
      </c>
      <c r="J4168" s="3" t="str">
        <f>HYPERLINK("https://www.boe.es/gazeta/dias/1815/06/24/pdfs/GMD-1815-76.pdf#page=10","Abrir facsímil")</f>
        <v>Abrir facsímil</v>
      </c>
      <c r="K4168" s="3" t="s">
        <v>74</v>
      </c>
    </row>
    <row r="4169" spans="1:11" ht="42" customHeight="1">
      <c r="A4169" s="2" t="s">
        <v>10315</v>
      </c>
      <c r="B4169" s="2" t="s">
        <v>10315</v>
      </c>
      <c r="C4169" s="2" t="s">
        <v>49</v>
      </c>
      <c r="D4169" s="2" t="s">
        <v>50</v>
      </c>
      <c r="E4169" s="5">
        <v>-30781</v>
      </c>
      <c r="F4169" s="3" t="s">
        <v>685</v>
      </c>
      <c r="G4169" s="3" t="s">
        <v>27</v>
      </c>
      <c r="H4169" s="2" t="s">
        <v>72</v>
      </c>
      <c r="I4169" s="2" t="s">
        <v>10316</v>
      </c>
      <c r="J4169" s="3" t="str">
        <f>HYPERLINK("https://www.boe.es/gazeta/dias/1815/09/21/pdfs/GMD-1815-117.pdf#page=6","Abrir facsímil")</f>
        <v>Abrir facsímil</v>
      </c>
      <c r="K4169" s="3" t="s">
        <v>74</v>
      </c>
    </row>
    <row r="4170" spans="1:11" ht="42" customHeight="1">
      <c r="A4170" s="2" t="s">
        <v>10317</v>
      </c>
      <c r="B4170" s="2" t="s">
        <v>10318</v>
      </c>
      <c r="C4170" s="2" t="s">
        <v>31</v>
      </c>
      <c r="D4170" s="2" t="s">
        <v>32</v>
      </c>
      <c r="E4170" s="5">
        <v>-30958</v>
      </c>
      <c r="F4170" s="3" t="s">
        <v>297</v>
      </c>
      <c r="G4170" s="3" t="s">
        <v>27</v>
      </c>
      <c r="H4170" s="2" t="s">
        <v>72</v>
      </c>
      <c r="I4170" s="2" t="s">
        <v>10319</v>
      </c>
      <c r="J4170" s="3" t="str">
        <f>HYPERLINK("https://www.boe.es/gazeta/dias/1815/03/28/pdfs/GMD-1815-37.pdf#page=6","Abrir facsímil")</f>
        <v>Abrir facsímil</v>
      </c>
      <c r="K4170" s="3" t="s">
        <v>74</v>
      </c>
    </row>
    <row r="4171" spans="1:11" ht="42" customHeight="1">
      <c r="A4171" s="2" t="s">
        <v>10320</v>
      </c>
      <c r="B4171" s="2" t="s">
        <v>10320</v>
      </c>
      <c r="C4171" s="2" t="s">
        <v>31</v>
      </c>
      <c r="D4171" s="2" t="s">
        <v>32</v>
      </c>
      <c r="E4171" s="5">
        <v>-30849</v>
      </c>
      <c r="F4171" s="3" t="s">
        <v>501</v>
      </c>
      <c r="G4171" s="3" t="s">
        <v>224</v>
      </c>
      <c r="H4171" s="2" t="s">
        <v>72</v>
      </c>
      <c r="I4171" s="2" t="s">
        <v>10321</v>
      </c>
      <c r="J4171" s="3" t="str">
        <f>HYPERLINK("https://www.boe.es/gazeta/dias/1815/07/15/pdfs/GMD-1815-87.pdf#page=9","Abrir facsímil")</f>
        <v>Abrir facsímil</v>
      </c>
      <c r="K4171" s="3" t="s">
        <v>74</v>
      </c>
    </row>
    <row r="4172" spans="1:11" ht="42" customHeight="1">
      <c r="A4172" s="2" t="s">
        <v>10322</v>
      </c>
      <c r="B4172" s="2" t="s">
        <v>10323</v>
      </c>
      <c r="C4172" s="2" t="s">
        <v>17</v>
      </c>
      <c r="D4172" s="2" t="s">
        <v>18</v>
      </c>
      <c r="E4172" s="5">
        <v>-30842</v>
      </c>
      <c r="F4172" s="3" t="s">
        <v>126</v>
      </c>
      <c r="G4172" s="3" t="s">
        <v>88</v>
      </c>
      <c r="H4172" s="2" t="s">
        <v>72</v>
      </c>
      <c r="I4172" s="2" t="s">
        <v>10324</v>
      </c>
      <c r="J4172" s="3" t="str">
        <f>HYPERLINK("https://www.boe.es/gazeta/dias/1815/07/22/pdfs/GMD-1815-90.pdf#page=10","Abrir facsímil")</f>
        <v>Abrir facsímil</v>
      </c>
      <c r="K4172" s="3" t="s">
        <v>74</v>
      </c>
    </row>
    <row r="4173" spans="1:11" ht="42" customHeight="1">
      <c r="A4173" s="2" t="s">
        <v>10325</v>
      </c>
      <c r="B4173" s="2" t="s">
        <v>10326</v>
      </c>
      <c r="C4173" s="2" t="s">
        <v>17</v>
      </c>
      <c r="D4173" s="2" t="s">
        <v>18</v>
      </c>
      <c r="E4173" s="5">
        <v>-30823</v>
      </c>
      <c r="F4173" s="3" t="s">
        <v>305</v>
      </c>
      <c r="G4173" s="3" t="s">
        <v>276</v>
      </c>
      <c r="H4173" s="2" t="s">
        <v>72</v>
      </c>
      <c r="I4173" s="2" t="s">
        <v>10327</v>
      </c>
      <c r="J4173" s="3" t="str">
        <f>HYPERLINK("https://www.boe.es/gazeta/dias/1815/08/10/pdfs/GMD-1815-98.pdf#page=12","Abrir facsímil")</f>
        <v>Abrir facsímil</v>
      </c>
      <c r="K4173" s="3" t="s">
        <v>74</v>
      </c>
    </row>
    <row r="4174" spans="1:11" ht="42" customHeight="1">
      <c r="A4174" s="2" t="s">
        <v>10328</v>
      </c>
      <c r="B4174" s="2" t="s">
        <v>10329</v>
      </c>
      <c r="C4174" s="2" t="s">
        <v>31</v>
      </c>
      <c r="D4174" s="2" t="s">
        <v>32</v>
      </c>
      <c r="E4174" s="5">
        <v>-30737</v>
      </c>
      <c r="F4174" s="3" t="s">
        <v>1932</v>
      </c>
      <c r="G4174" s="3" t="s">
        <v>71</v>
      </c>
      <c r="H4174" s="2" t="s">
        <v>21</v>
      </c>
      <c r="I4174" s="2" t="s">
        <v>10330</v>
      </c>
      <c r="J4174" s="3" t="str">
        <f>HYPERLINK("https://www.boe.es/gazeta/dias/1815/11/04/pdfs/GMD-1815-138.pdf#page=7","Abrir facsímil")</f>
        <v>Abrir facsímil</v>
      </c>
      <c r="K4174" s="3" t="s">
        <v>23</v>
      </c>
    </row>
    <row r="4175" spans="1:11" ht="42" customHeight="1">
      <c r="A4175" s="2" t="s">
        <v>10331</v>
      </c>
      <c r="B4175" s="2" t="s">
        <v>10331</v>
      </c>
      <c r="C4175" s="2" t="s">
        <v>17</v>
      </c>
      <c r="D4175" s="2" t="s">
        <v>18</v>
      </c>
      <c r="E4175" s="5">
        <v>-30860</v>
      </c>
      <c r="F4175" s="3" t="s">
        <v>184</v>
      </c>
      <c r="G4175" s="3" t="s">
        <v>410</v>
      </c>
      <c r="H4175" s="2" t="s">
        <v>72</v>
      </c>
      <c r="I4175" s="2" t="s">
        <v>10332</v>
      </c>
      <c r="J4175" s="3" t="str">
        <f>HYPERLINK("https://www.boe.es/gazeta/dias/1815/07/04/pdfs/GMD-1815-81.pdf#page=1","Abrir facsímil")</f>
        <v>Abrir facsímil</v>
      </c>
      <c r="K4175" s="3" t="s">
        <v>74</v>
      </c>
    </row>
    <row r="4176" spans="1:11" ht="42" customHeight="1">
      <c r="A4176" s="2" t="s">
        <v>10333</v>
      </c>
      <c r="B4176" s="2" t="s">
        <v>10334</v>
      </c>
      <c r="C4176" s="2" t="s">
        <v>49</v>
      </c>
      <c r="D4176" s="2" t="s">
        <v>50</v>
      </c>
      <c r="E4176" s="5">
        <v>-30818</v>
      </c>
      <c r="F4176" s="3" t="s">
        <v>334</v>
      </c>
      <c r="G4176" s="3" t="s">
        <v>88</v>
      </c>
      <c r="H4176" s="2" t="s">
        <v>72</v>
      </c>
      <c r="I4176" s="2" t="s">
        <v>10335</v>
      </c>
      <c r="J4176" s="3" t="str">
        <f>HYPERLINK("https://www.boe.es/gazeta/dias/1815/08/15/pdfs/GMD-1815-100.pdf#page=10","Abrir facsímil")</f>
        <v>Abrir facsímil</v>
      </c>
      <c r="K4176" s="3" t="s">
        <v>74</v>
      </c>
    </row>
    <row r="4177" spans="1:11" ht="42" customHeight="1">
      <c r="A4177" s="2" t="s">
        <v>10333</v>
      </c>
      <c r="B4177" s="2" t="s">
        <v>10334</v>
      </c>
      <c r="C4177" s="2" t="s">
        <v>49</v>
      </c>
      <c r="D4177" s="2" t="s">
        <v>50</v>
      </c>
      <c r="E4177" s="5">
        <v>-30781</v>
      </c>
      <c r="F4177" s="3" t="s">
        <v>685</v>
      </c>
      <c r="G4177" s="3" t="s">
        <v>27</v>
      </c>
      <c r="H4177" s="2" t="s">
        <v>72</v>
      </c>
      <c r="I4177" s="2" t="s">
        <v>10336</v>
      </c>
      <c r="J4177" s="3" t="str">
        <f>HYPERLINK("https://www.boe.es/gazeta/dias/1815/09/21/pdfs/GMD-1815-117.pdf#page=6","Abrir facsímil")</f>
        <v>Abrir facsímil</v>
      </c>
      <c r="K4177" s="3" t="s">
        <v>74</v>
      </c>
    </row>
    <row r="4178" spans="1:11" ht="42" customHeight="1">
      <c r="A4178" s="2" t="s">
        <v>10337</v>
      </c>
      <c r="B4178" s="2" t="s">
        <v>10338</v>
      </c>
      <c r="C4178" s="2" t="s">
        <v>49</v>
      </c>
      <c r="D4178" s="2" t="s">
        <v>50</v>
      </c>
      <c r="E4178" s="5">
        <v>-30916</v>
      </c>
      <c r="F4178" s="3" t="s">
        <v>147</v>
      </c>
      <c r="G4178" s="3" t="s">
        <v>148</v>
      </c>
      <c r="H4178" s="2" t="s">
        <v>72</v>
      </c>
      <c r="I4178" s="2" t="s">
        <v>10339</v>
      </c>
      <c r="J4178" s="3" t="str">
        <f>HYPERLINK("https://www.boe.es/gazeta/dias/1815/05/09/pdfs/GMD-1815-56.pdf#page=7","Abrir facsímil")</f>
        <v>Abrir facsímil</v>
      </c>
      <c r="K4178" s="3" t="s">
        <v>74</v>
      </c>
    </row>
    <row r="4179" spans="1:11" ht="42" customHeight="1">
      <c r="A4179" s="2" t="s">
        <v>10340</v>
      </c>
      <c r="B4179" s="2" t="s">
        <v>10341</v>
      </c>
      <c r="C4179" s="2" t="s">
        <v>17</v>
      </c>
      <c r="D4179" s="2" t="s">
        <v>18</v>
      </c>
      <c r="E4179" s="5">
        <v>-30849</v>
      </c>
      <c r="F4179" s="3" t="s">
        <v>501</v>
      </c>
      <c r="G4179" s="3" t="s">
        <v>276</v>
      </c>
      <c r="H4179" s="2" t="s">
        <v>72</v>
      </c>
      <c r="I4179" s="2" t="s">
        <v>10342</v>
      </c>
      <c r="J4179" s="3" t="str">
        <f>HYPERLINK("https://www.boe.es/gazeta/dias/1815/07/15/pdfs/GMD-1815-87.pdf#page=12","Abrir facsímil")</f>
        <v>Abrir facsímil</v>
      </c>
      <c r="K4179" s="3" t="s">
        <v>74</v>
      </c>
    </row>
    <row r="4180" spans="1:11" ht="42" customHeight="1">
      <c r="A4180" s="2" t="s">
        <v>10343</v>
      </c>
      <c r="B4180" s="2" t="s">
        <v>10344</v>
      </c>
      <c r="C4180" s="2" t="s">
        <v>31</v>
      </c>
      <c r="D4180" s="2" t="s">
        <v>32</v>
      </c>
      <c r="E4180" s="5">
        <v>-30968</v>
      </c>
      <c r="F4180" s="3" t="s">
        <v>2695</v>
      </c>
      <c r="G4180" s="3" t="s">
        <v>2814</v>
      </c>
      <c r="H4180" s="2" t="s">
        <v>21</v>
      </c>
      <c r="I4180" s="2" t="s">
        <v>10345</v>
      </c>
      <c r="J4180" s="3" t="str">
        <f>HYPERLINK("https://www.boe.es/gazeta/dias/1815/03/18/pdfs/GMD-1815-33.pdf#page=10","Abrir facsímil")</f>
        <v>Abrir facsímil</v>
      </c>
      <c r="K4180" s="3" t="s">
        <v>23</v>
      </c>
    </row>
    <row r="4181" spans="1:11" ht="42" customHeight="1">
      <c r="A4181" s="2" t="s">
        <v>10346</v>
      </c>
      <c r="B4181" s="2" t="s">
        <v>10347</v>
      </c>
      <c r="C4181" s="2" t="s">
        <v>31</v>
      </c>
      <c r="D4181" s="2" t="s">
        <v>32</v>
      </c>
      <c r="E4181" s="5">
        <v>-30774</v>
      </c>
      <c r="F4181" s="3" t="s">
        <v>1143</v>
      </c>
      <c r="G4181" s="3" t="s">
        <v>1144</v>
      </c>
      <c r="H4181" s="2" t="s">
        <v>72</v>
      </c>
      <c r="I4181" s="2" t="s">
        <v>10348</v>
      </c>
      <c r="J4181" s="3" t="str">
        <f>HYPERLINK("https://www.boe.es/gazeta/dias/1815/09/28/pdfs/GMD-1815-121.pdf#page=8","Abrir facsímil")</f>
        <v>Abrir facsímil</v>
      </c>
      <c r="K4181" s="3" t="s">
        <v>74</v>
      </c>
    </row>
    <row r="4182" spans="1:11" ht="42" customHeight="1">
      <c r="A4182" s="2" t="s">
        <v>10349</v>
      </c>
      <c r="B4182" s="2" t="s">
        <v>10350</v>
      </c>
      <c r="C4182" s="2" t="s">
        <v>17</v>
      </c>
      <c r="D4182" s="2" t="s">
        <v>18</v>
      </c>
      <c r="E4182" s="5">
        <v>-30961</v>
      </c>
      <c r="F4182" s="3" t="s">
        <v>1176</v>
      </c>
      <c r="G4182" s="3" t="s">
        <v>38</v>
      </c>
      <c r="H4182" s="2" t="s">
        <v>72</v>
      </c>
      <c r="I4182" s="2" t="s">
        <v>10351</v>
      </c>
      <c r="J4182" s="3" t="str">
        <f>HYPERLINK("https://www.boe.es/gazeta/dias/1815/03/25/pdfs/GMD-1815-36.pdf#page=8","Abrir facsímil")</f>
        <v>Abrir facsímil</v>
      </c>
      <c r="K4182" s="3" t="s">
        <v>74</v>
      </c>
    </row>
    <row r="4183" spans="1:11" ht="42" customHeight="1">
      <c r="A4183" s="2" t="s">
        <v>10352</v>
      </c>
      <c r="B4183" s="2" t="s">
        <v>10353</v>
      </c>
      <c r="C4183" s="2" t="s">
        <v>195</v>
      </c>
      <c r="D4183" s="2" t="s">
        <v>50</v>
      </c>
      <c r="E4183" s="5">
        <v>-30774</v>
      </c>
      <c r="F4183" s="3" t="s">
        <v>1143</v>
      </c>
      <c r="G4183" s="3" t="s">
        <v>1144</v>
      </c>
      <c r="H4183" s="2" t="s">
        <v>72</v>
      </c>
      <c r="I4183" s="2" t="s">
        <v>10354</v>
      </c>
      <c r="J4183" s="3" t="str">
        <f>HYPERLINK("https://www.boe.es/gazeta/dias/1815/09/28/pdfs/GMD-1815-121.pdf#page=8","Abrir facsímil")</f>
        <v>Abrir facsímil</v>
      </c>
      <c r="K4183" s="3" t="s">
        <v>74</v>
      </c>
    </row>
    <row r="4184" spans="1:11" ht="42" customHeight="1">
      <c r="A4184" s="2" t="s">
        <v>10355</v>
      </c>
      <c r="B4184" s="2" t="s">
        <v>10356</v>
      </c>
      <c r="C4184" s="2" t="s">
        <v>31</v>
      </c>
      <c r="D4184" s="2" t="s">
        <v>32</v>
      </c>
      <c r="E4184" s="5">
        <v>-30975</v>
      </c>
      <c r="F4184" s="3" t="s">
        <v>1194</v>
      </c>
      <c r="G4184" s="3" t="s">
        <v>38</v>
      </c>
      <c r="H4184" s="2" t="s">
        <v>21</v>
      </c>
      <c r="I4184" s="2" t="s">
        <v>10357</v>
      </c>
      <c r="J4184" s="3" t="str">
        <f>HYPERLINK("https://www.boe.es/gazeta/dias/1815/03/11/pdfs/GMD-1815-30.pdf#page=8","Abrir facsímil")</f>
        <v>Abrir facsímil</v>
      </c>
      <c r="K4184" s="3" t="s">
        <v>23</v>
      </c>
    </row>
    <row r="4185" spans="1:11" ht="42" customHeight="1">
      <c r="A4185" s="2" t="s">
        <v>10358</v>
      </c>
      <c r="B4185" s="2" t="s">
        <v>10359</v>
      </c>
      <c r="C4185" s="2" t="s">
        <v>49</v>
      </c>
      <c r="D4185" s="2" t="s">
        <v>50</v>
      </c>
      <c r="E4185" s="5">
        <v>-30800</v>
      </c>
      <c r="F4185" s="3" t="s">
        <v>26</v>
      </c>
      <c r="G4185" s="3" t="s">
        <v>27</v>
      </c>
      <c r="H4185" s="2" t="s">
        <v>72</v>
      </c>
      <c r="I4185" s="2" t="s">
        <v>10360</v>
      </c>
      <c r="J4185" s="3" t="str">
        <f>HYPERLINK("https://www.boe.es/gazeta/dias/1815/09/02/pdfs/GMD-1815-109.pdf#page=6","Abrir facsímil")</f>
        <v>Abrir facsímil</v>
      </c>
      <c r="K4185" s="3" t="s">
        <v>74</v>
      </c>
    </row>
    <row r="4186" spans="1:11" ht="42" customHeight="1">
      <c r="A4186" s="2" t="s">
        <v>10361</v>
      </c>
      <c r="B4186" s="2" t="s">
        <v>10362</v>
      </c>
      <c r="C4186" s="2" t="s">
        <v>17</v>
      </c>
      <c r="D4186" s="2" t="s">
        <v>18</v>
      </c>
      <c r="E4186" s="5">
        <v>-31038</v>
      </c>
      <c r="F4186" s="3" t="s">
        <v>395</v>
      </c>
      <c r="G4186" s="3" t="s">
        <v>20</v>
      </c>
      <c r="H4186" s="2" t="s">
        <v>72</v>
      </c>
      <c r="I4186" s="2" t="s">
        <v>10363</v>
      </c>
      <c r="J4186" s="3" t="str">
        <f>HYPERLINK("https://www.boe.es/gazeta/dias/1815/01/07/pdfs/GMD-1815-3.pdf#page=4","Abrir facsímil")</f>
        <v>Abrir facsímil</v>
      </c>
      <c r="K4186" s="3" t="s">
        <v>74</v>
      </c>
    </row>
    <row r="4187" spans="1:11" ht="42" customHeight="1">
      <c r="A4187" s="2" t="s">
        <v>10364</v>
      </c>
      <c r="B4187" s="2" t="s">
        <v>10365</v>
      </c>
      <c r="C4187" s="2" t="s">
        <v>61</v>
      </c>
      <c r="D4187" s="2" t="s">
        <v>50</v>
      </c>
      <c r="E4187" s="5">
        <v>-30765</v>
      </c>
      <c r="F4187" s="3" t="s">
        <v>2150</v>
      </c>
      <c r="G4187" s="3" t="s">
        <v>38</v>
      </c>
      <c r="H4187" s="2" t="s">
        <v>72</v>
      </c>
      <c r="I4187" s="2" t="s">
        <v>10366</v>
      </c>
      <c r="J4187" s="3" t="str">
        <f>HYPERLINK("https://www.boe.es/gazeta/dias/1815/10/07/pdfs/GMD-1815-126.pdf#page=8","Abrir facsímil")</f>
        <v>Abrir facsímil</v>
      </c>
      <c r="K4187" s="3" t="s">
        <v>74</v>
      </c>
    </row>
    <row r="4188" spans="1:11" ht="42" customHeight="1">
      <c r="A4188" s="2" t="s">
        <v>10367</v>
      </c>
      <c r="B4188" s="2" t="s">
        <v>10368</v>
      </c>
      <c r="C4188" s="2" t="s">
        <v>17</v>
      </c>
      <c r="D4188" s="2" t="s">
        <v>18</v>
      </c>
      <c r="E4188" s="5">
        <v>-31040</v>
      </c>
      <c r="F4188" s="3" t="s">
        <v>326</v>
      </c>
      <c r="G4188" s="3" t="s">
        <v>27</v>
      </c>
      <c r="H4188" s="2" t="s">
        <v>72</v>
      </c>
      <c r="I4188" s="2" t="s">
        <v>10369</v>
      </c>
      <c r="J4188" s="3" t="str">
        <f>HYPERLINK("https://www.boe.es/gazeta/dias/1815/01/05/pdfs/GMD-1815-2.pdf#page=6","Abrir facsímil")</f>
        <v>Abrir facsímil</v>
      </c>
      <c r="K4188" s="3" t="s">
        <v>74</v>
      </c>
    </row>
    <row r="4189" spans="1:11" ht="42" customHeight="1">
      <c r="A4189" s="2" t="s">
        <v>10370</v>
      </c>
      <c r="B4189" s="2" t="s">
        <v>10371</v>
      </c>
      <c r="C4189" s="2" t="s">
        <v>897</v>
      </c>
      <c r="D4189" s="2" t="s">
        <v>50</v>
      </c>
      <c r="E4189" s="5">
        <v>-30758</v>
      </c>
      <c r="F4189" s="3" t="s">
        <v>1964</v>
      </c>
      <c r="G4189" s="3" t="s">
        <v>38</v>
      </c>
      <c r="H4189" s="2" t="s">
        <v>21</v>
      </c>
      <c r="I4189" s="2" t="s">
        <v>10372</v>
      </c>
      <c r="J4189" s="3" t="str">
        <f>HYPERLINK("https://www.boe.es/gazeta/dias/1815/10/14/pdfs/GMD-1815-129.pdf#page=8","Abrir facsímil")</f>
        <v>Abrir facsímil</v>
      </c>
      <c r="K4189" s="3" t="s">
        <v>23</v>
      </c>
    </row>
    <row r="4190" spans="1:11" ht="42" customHeight="1">
      <c r="A4190" s="2" t="s">
        <v>10373</v>
      </c>
      <c r="B4190" s="2" t="s">
        <v>10374</v>
      </c>
      <c r="C4190" s="2" t="s">
        <v>17</v>
      </c>
      <c r="D4190" s="2" t="s">
        <v>18</v>
      </c>
      <c r="E4190" s="5">
        <v>-30937</v>
      </c>
      <c r="F4190" s="3" t="s">
        <v>322</v>
      </c>
      <c r="G4190" s="3" t="s">
        <v>27</v>
      </c>
      <c r="H4190" s="2" t="s">
        <v>72</v>
      </c>
      <c r="I4190" s="2" t="s">
        <v>10375</v>
      </c>
      <c r="J4190" s="3" t="str">
        <f>HYPERLINK("https://www.boe.es/gazeta/dias/1815/04/18/pdfs/GMD-1815-47.pdf#page=6","Abrir facsímil")</f>
        <v>Abrir facsímil</v>
      </c>
      <c r="K4190" s="3" t="s">
        <v>74</v>
      </c>
    </row>
    <row r="4191" spans="1:11" ht="42" customHeight="1">
      <c r="A4191" s="2" t="s">
        <v>10376</v>
      </c>
      <c r="B4191" s="2" t="s">
        <v>10377</v>
      </c>
      <c r="C4191" s="2" t="s">
        <v>49</v>
      </c>
      <c r="D4191" s="2" t="s">
        <v>50</v>
      </c>
      <c r="E4191" s="5">
        <v>-30767</v>
      </c>
      <c r="F4191" s="3" t="s">
        <v>228</v>
      </c>
      <c r="G4191" s="3" t="s">
        <v>88</v>
      </c>
      <c r="H4191" s="2" t="s">
        <v>72</v>
      </c>
      <c r="I4191" s="2" t="s">
        <v>10378</v>
      </c>
      <c r="J4191" s="3" t="str">
        <f>HYPERLINK("https://www.boe.es/gazeta/dias/1815/10/05/pdfs/GMD-1815-125.pdf#page=10","Abrir facsímil")</f>
        <v>Abrir facsímil</v>
      </c>
      <c r="K4191" s="3" t="s">
        <v>74</v>
      </c>
    </row>
    <row r="4192" spans="1:11" ht="42" customHeight="1">
      <c r="A4192" s="2" t="s">
        <v>10379</v>
      </c>
      <c r="B4192" s="2" t="s">
        <v>10380</v>
      </c>
      <c r="C4192" s="2" t="s">
        <v>31</v>
      </c>
      <c r="D4192" s="2" t="s">
        <v>32</v>
      </c>
      <c r="E4192" s="5">
        <v>-31028</v>
      </c>
      <c r="F4192" s="3" t="s">
        <v>517</v>
      </c>
      <c r="G4192" s="3" t="s">
        <v>27</v>
      </c>
      <c r="H4192" s="2" t="s">
        <v>72</v>
      </c>
      <c r="I4192" s="2" t="s">
        <v>10381</v>
      </c>
      <c r="J4192" s="3" t="str">
        <f>HYPERLINK("https://www.boe.es/gazeta/dias/1815/01/17/pdfs/GMD-1815-7.pdf#page=6","Abrir facsímil")</f>
        <v>Abrir facsímil</v>
      </c>
      <c r="K4192" s="3" t="s">
        <v>74</v>
      </c>
    </row>
    <row r="4193" spans="1:11" ht="42" customHeight="1">
      <c r="A4193" s="2" t="s">
        <v>10382</v>
      </c>
      <c r="B4193" s="2" t="s">
        <v>10383</v>
      </c>
      <c r="C4193" s="2" t="s">
        <v>31</v>
      </c>
      <c r="D4193" s="2" t="s">
        <v>32</v>
      </c>
      <c r="E4193" s="5">
        <v>-31028</v>
      </c>
      <c r="F4193" s="3" t="s">
        <v>517</v>
      </c>
      <c r="G4193" s="3" t="s">
        <v>52</v>
      </c>
      <c r="H4193" s="2" t="s">
        <v>72</v>
      </c>
      <c r="I4193" s="2" t="s">
        <v>10384</v>
      </c>
      <c r="J4193" s="3" t="str">
        <f>HYPERLINK("https://www.boe.es/gazeta/dias/1815/01/17/pdfs/GMD-1815-7.pdf#page=11","Abrir facsímil")</f>
        <v>Abrir facsímil</v>
      </c>
      <c r="K4193" s="3" t="s">
        <v>74</v>
      </c>
    </row>
    <row r="4194" spans="1:11" ht="42" customHeight="1">
      <c r="A4194" s="2" t="s">
        <v>10385</v>
      </c>
      <c r="B4194" s="2" t="s">
        <v>10386</v>
      </c>
      <c r="C4194" s="2" t="s">
        <v>31</v>
      </c>
      <c r="D4194" s="2" t="s">
        <v>32</v>
      </c>
      <c r="E4194" s="5">
        <v>-30942</v>
      </c>
      <c r="F4194" s="3" t="s">
        <v>730</v>
      </c>
      <c r="G4194" s="3" t="s">
        <v>71</v>
      </c>
      <c r="H4194" s="2" t="s">
        <v>72</v>
      </c>
      <c r="I4194" s="2" t="s">
        <v>10387</v>
      </c>
      <c r="J4194" s="3" t="str">
        <f>HYPERLINK("https://www.boe.es/gazeta/dias/1815/04/13/pdfs/GMD-1815-45.pdf#page=7","Abrir facsímil")</f>
        <v>Abrir facsímil</v>
      </c>
      <c r="K4194" s="3" t="s">
        <v>74</v>
      </c>
    </row>
    <row r="4195" spans="1:11" ht="42" customHeight="1">
      <c r="A4195" s="2" t="s">
        <v>10388</v>
      </c>
      <c r="B4195" s="2" t="s">
        <v>10389</v>
      </c>
      <c r="C4195" s="2" t="s">
        <v>31</v>
      </c>
      <c r="D4195" s="2" t="s">
        <v>32</v>
      </c>
      <c r="E4195" s="5">
        <v>-30888</v>
      </c>
      <c r="F4195" s="3" t="s">
        <v>368</v>
      </c>
      <c r="G4195" s="3" t="s">
        <v>38</v>
      </c>
      <c r="H4195" s="2" t="s">
        <v>72</v>
      </c>
      <c r="I4195" s="2" t="s">
        <v>10390</v>
      </c>
      <c r="J4195" s="3" t="str">
        <f>HYPERLINK("https://www.boe.es/gazeta/dias/1815/06/06/pdfs/GMD-1815-68.pdf#page=8","Abrir facsímil")</f>
        <v>Abrir facsímil</v>
      </c>
      <c r="K4195" s="3" t="s">
        <v>74</v>
      </c>
    </row>
    <row r="4196" spans="1:11" ht="42" customHeight="1">
      <c r="A4196" s="2" t="s">
        <v>10391</v>
      </c>
      <c r="B4196" s="2" t="s">
        <v>10392</v>
      </c>
      <c r="C4196" s="2" t="s">
        <v>49</v>
      </c>
      <c r="D4196" s="2" t="s">
        <v>50</v>
      </c>
      <c r="E4196" s="5">
        <v>-30951</v>
      </c>
      <c r="F4196" s="3" t="s">
        <v>87</v>
      </c>
      <c r="G4196" s="3" t="s">
        <v>88</v>
      </c>
      <c r="H4196" s="2" t="s">
        <v>72</v>
      </c>
      <c r="I4196" s="2" t="s">
        <v>10393</v>
      </c>
      <c r="J4196" s="3" t="str">
        <f>HYPERLINK("https://www.boe.es/gazeta/dias/1815/04/04/pdfs/GMD-1815-41.pdf#page=10","Abrir facsímil")</f>
        <v>Abrir facsímil</v>
      </c>
      <c r="K4196" s="3" t="s">
        <v>74</v>
      </c>
    </row>
    <row r="4197" spans="1:11" ht="42" customHeight="1">
      <c r="A4197" s="2" t="s">
        <v>10394</v>
      </c>
      <c r="B4197" s="2" t="s">
        <v>10395</v>
      </c>
      <c r="C4197" s="2" t="s">
        <v>31</v>
      </c>
      <c r="D4197" s="2" t="s">
        <v>32</v>
      </c>
      <c r="E4197" s="5">
        <v>-30891</v>
      </c>
      <c r="F4197" s="3" t="s">
        <v>498</v>
      </c>
      <c r="G4197" s="3" t="s">
        <v>57</v>
      </c>
      <c r="H4197" s="2" t="s">
        <v>72</v>
      </c>
      <c r="I4197" s="2" t="s">
        <v>10396</v>
      </c>
      <c r="J4197" s="3" t="str">
        <f>HYPERLINK("https://www.boe.es/gazeta/dias/1815/06/03/pdfs/GMD-1815-67.pdf#page=5","Abrir facsímil")</f>
        <v>Abrir facsímil</v>
      </c>
      <c r="K4197" s="3" t="s">
        <v>74</v>
      </c>
    </row>
    <row r="4198" spans="1:11" ht="42" customHeight="1">
      <c r="A4198" s="2" t="s">
        <v>10397</v>
      </c>
      <c r="B4198" s="2" t="s">
        <v>10398</v>
      </c>
      <c r="C4198" s="2" t="s">
        <v>17</v>
      </c>
      <c r="D4198" s="2" t="s">
        <v>18</v>
      </c>
      <c r="E4198" s="5">
        <v>-30874</v>
      </c>
      <c r="F4198" s="3" t="s">
        <v>208</v>
      </c>
      <c r="G4198" s="3" t="s">
        <v>71</v>
      </c>
      <c r="H4198" s="2" t="s">
        <v>72</v>
      </c>
      <c r="I4198" s="2" t="s">
        <v>10399</v>
      </c>
      <c r="J4198" s="3" t="str">
        <f>HYPERLINK("https://www.boe.es/gazeta/dias/1815/06/20/pdfs/GMD-1815-74.pdf#page=7","Abrir facsímil")</f>
        <v>Abrir facsímil</v>
      </c>
      <c r="K4198" s="3" t="s">
        <v>74</v>
      </c>
    </row>
    <row r="4199" spans="1:11" ht="42" customHeight="1">
      <c r="A4199" s="2" t="s">
        <v>10400</v>
      </c>
      <c r="B4199" s="2" t="s">
        <v>10401</v>
      </c>
      <c r="C4199" s="2" t="s">
        <v>31</v>
      </c>
      <c r="D4199" s="2" t="s">
        <v>32</v>
      </c>
      <c r="E4199" s="5">
        <v>-30928</v>
      </c>
      <c r="F4199" s="3" t="s">
        <v>330</v>
      </c>
      <c r="G4199" s="3" t="s">
        <v>38</v>
      </c>
      <c r="H4199" s="2" t="s">
        <v>72</v>
      </c>
      <c r="I4199" s="2" t="s">
        <v>10402</v>
      </c>
      <c r="J4199" s="3" t="str">
        <f>HYPERLINK("https://www.boe.es/gazeta/dias/1815/04/27/pdfs/GMD-1815-51.pdf#page=8","Abrir facsímil")</f>
        <v>Abrir facsímil</v>
      </c>
      <c r="K4199" s="3" t="s">
        <v>74</v>
      </c>
    </row>
    <row r="4200" spans="1:11" ht="42" customHeight="1">
      <c r="A4200" s="2" t="s">
        <v>10403</v>
      </c>
      <c r="B4200" s="2" t="s">
        <v>10404</v>
      </c>
      <c r="C4200" s="2" t="s">
        <v>49</v>
      </c>
      <c r="D4200" s="2" t="s">
        <v>50</v>
      </c>
      <c r="E4200" s="5">
        <v>-30860</v>
      </c>
      <c r="F4200" s="3" t="s">
        <v>184</v>
      </c>
      <c r="G4200" s="3" t="s">
        <v>472</v>
      </c>
      <c r="H4200" s="2" t="s">
        <v>72</v>
      </c>
      <c r="I4200" s="2" t="s">
        <v>10405</v>
      </c>
      <c r="J4200" s="3" t="str">
        <f>HYPERLINK("https://www.boe.es/gazeta/dias/1815/07/04/pdfs/GMD-1815-81.pdf#page=8","Abrir facsímil")</f>
        <v>Abrir facsímil</v>
      </c>
      <c r="K4200" s="3" t="s">
        <v>74</v>
      </c>
    </row>
    <row r="4201" spans="1:11" ht="42" customHeight="1">
      <c r="A4201" s="2" t="s">
        <v>10406</v>
      </c>
      <c r="B4201" s="2" t="s">
        <v>10407</v>
      </c>
      <c r="C4201" s="2" t="s">
        <v>49</v>
      </c>
      <c r="D4201" s="2" t="s">
        <v>50</v>
      </c>
      <c r="E4201" s="5">
        <v>-30774</v>
      </c>
      <c r="F4201" s="3" t="s">
        <v>1143</v>
      </c>
      <c r="G4201" s="3" t="s">
        <v>20</v>
      </c>
      <c r="H4201" s="2" t="s">
        <v>72</v>
      </c>
      <c r="I4201" s="2" t="s">
        <v>10408</v>
      </c>
      <c r="J4201" s="3" t="str">
        <f>HYPERLINK("https://www.boe.es/gazeta/dias/1815/09/28/pdfs/GMD-1815-121.pdf#page=4","Abrir facsímil")</f>
        <v>Abrir facsímil</v>
      </c>
      <c r="K4201" s="3" t="s">
        <v>74</v>
      </c>
    </row>
    <row r="4202" spans="1:11" ht="42" customHeight="1">
      <c r="A4202" s="2" t="s">
        <v>10409</v>
      </c>
      <c r="B4202" s="2" t="s">
        <v>10410</v>
      </c>
      <c r="C4202" s="2" t="s">
        <v>195</v>
      </c>
      <c r="D4202" s="2" t="s">
        <v>50</v>
      </c>
      <c r="E4202" s="5">
        <v>-31000</v>
      </c>
      <c r="F4202" s="3" t="s">
        <v>70</v>
      </c>
      <c r="G4202" s="3" t="s">
        <v>71</v>
      </c>
      <c r="H4202" s="2" t="s">
        <v>72</v>
      </c>
      <c r="I4202" s="2" t="s">
        <v>10411</v>
      </c>
      <c r="J4202" s="3" t="str">
        <f>HYPERLINK("https://www.boe.es/gazeta/dias/1815/02/14/pdfs/GMD-1815-19.pdf#page=7","Abrir facsímil")</f>
        <v>Abrir facsímil</v>
      </c>
      <c r="K4202" s="3" t="s">
        <v>74</v>
      </c>
    </row>
    <row r="4203" spans="1:11" ht="42" customHeight="1">
      <c r="A4203" s="2" t="s">
        <v>10412</v>
      </c>
      <c r="B4203" s="2" t="s">
        <v>10413</v>
      </c>
      <c r="C4203" s="2" t="s">
        <v>31</v>
      </c>
      <c r="D4203" s="2" t="s">
        <v>32</v>
      </c>
      <c r="E4203" s="5">
        <v>-30916</v>
      </c>
      <c r="F4203" s="3" t="s">
        <v>147</v>
      </c>
      <c r="G4203" s="3" t="s">
        <v>224</v>
      </c>
      <c r="H4203" s="2" t="s">
        <v>72</v>
      </c>
      <c r="I4203" s="2" t="s">
        <v>10414</v>
      </c>
      <c r="J4203" s="3" t="str">
        <f>HYPERLINK("https://www.boe.es/gazeta/dias/1815/05/09/pdfs/GMD-1815-56.pdf#page=9","Abrir facsímil")</f>
        <v>Abrir facsímil</v>
      </c>
      <c r="K4203" s="3" t="s">
        <v>74</v>
      </c>
    </row>
    <row r="4204" spans="1:11" ht="42" customHeight="1">
      <c r="A4204" s="2" t="s">
        <v>10415</v>
      </c>
      <c r="B4204" s="2" t="s">
        <v>10416</v>
      </c>
      <c r="C4204" s="2" t="s">
        <v>49</v>
      </c>
      <c r="D4204" s="2" t="s">
        <v>50</v>
      </c>
      <c r="E4204" s="5">
        <v>-30832</v>
      </c>
      <c r="F4204" s="3" t="s">
        <v>266</v>
      </c>
      <c r="G4204" s="3" t="s">
        <v>224</v>
      </c>
      <c r="H4204" s="2" t="s">
        <v>72</v>
      </c>
      <c r="I4204" s="2" t="s">
        <v>10417</v>
      </c>
      <c r="J4204" s="3" t="str">
        <f>HYPERLINK("https://www.boe.es/gazeta/dias/1815/08/01/pdfs/GMD-1815-94.pdf#page=9","Abrir facsímil")</f>
        <v>Abrir facsímil</v>
      </c>
      <c r="K4204" s="3" t="s">
        <v>74</v>
      </c>
    </row>
    <row r="4205" spans="1:11" ht="42" customHeight="1">
      <c r="A4205" s="2" t="s">
        <v>10418</v>
      </c>
      <c r="B4205" s="2" t="s">
        <v>10419</v>
      </c>
      <c r="C4205" s="2" t="s">
        <v>49</v>
      </c>
      <c r="D4205" s="2" t="s">
        <v>50</v>
      </c>
      <c r="E4205" s="5">
        <v>-30830</v>
      </c>
      <c r="F4205" s="3" t="s">
        <v>33</v>
      </c>
      <c r="G4205" s="3" t="s">
        <v>52</v>
      </c>
      <c r="H4205" s="2" t="s">
        <v>72</v>
      </c>
      <c r="I4205" s="2" t="s">
        <v>10420</v>
      </c>
      <c r="J4205" s="3" t="str">
        <f>HYPERLINK("https://www.boe.es/gazeta/dias/1815/08/03/pdfs/GMD-1815-95.pdf#page=11","Abrir facsímil")</f>
        <v>Abrir facsímil</v>
      </c>
      <c r="K4205" s="3" t="s">
        <v>74</v>
      </c>
    </row>
    <row r="4206" spans="1:11" ht="42" customHeight="1">
      <c r="A4206" s="2" t="s">
        <v>10421</v>
      </c>
      <c r="B4206" s="2" t="s">
        <v>10422</v>
      </c>
      <c r="C4206" s="2" t="s">
        <v>31</v>
      </c>
      <c r="D4206" s="2" t="s">
        <v>32</v>
      </c>
      <c r="E4206" s="5">
        <v>-30800</v>
      </c>
      <c r="F4206" s="3" t="s">
        <v>26</v>
      </c>
      <c r="G4206" s="3" t="s">
        <v>27</v>
      </c>
      <c r="H4206" s="2" t="s">
        <v>72</v>
      </c>
      <c r="I4206" s="2" t="s">
        <v>10423</v>
      </c>
      <c r="J4206" s="3" t="str">
        <f>HYPERLINK("https://www.boe.es/gazeta/dias/1815/09/02/pdfs/GMD-1815-109.pdf#page=6","Abrir facsímil")</f>
        <v>Abrir facsímil</v>
      </c>
      <c r="K4206" s="3" t="s">
        <v>74</v>
      </c>
    </row>
    <row r="4207" spans="1:11" ht="42" customHeight="1">
      <c r="A4207" s="2" t="s">
        <v>10424</v>
      </c>
      <c r="B4207" s="2" t="s">
        <v>10425</v>
      </c>
      <c r="C4207" s="2" t="s">
        <v>31</v>
      </c>
      <c r="D4207" s="2" t="s">
        <v>32</v>
      </c>
      <c r="E4207" s="5">
        <v>-30823</v>
      </c>
      <c r="F4207" s="3" t="s">
        <v>305</v>
      </c>
      <c r="G4207" s="3" t="s">
        <v>306</v>
      </c>
      <c r="H4207" s="2" t="s">
        <v>72</v>
      </c>
      <c r="I4207" s="2" t="s">
        <v>10426</v>
      </c>
      <c r="J4207" s="3" t="str">
        <f>HYPERLINK("https://www.boe.es/gazeta/dias/1815/08/10/pdfs/GMD-1815-98.pdf#page=7","Abrir facsímil")</f>
        <v>Abrir facsímil</v>
      </c>
      <c r="K4207" s="3" t="s">
        <v>74</v>
      </c>
    </row>
    <row r="4208" spans="1:11" ht="42" customHeight="1">
      <c r="A4208" s="2" t="s">
        <v>10427</v>
      </c>
      <c r="B4208" s="2" t="s">
        <v>10428</v>
      </c>
      <c r="C4208" s="2" t="s">
        <v>31</v>
      </c>
      <c r="D4208" s="2" t="s">
        <v>32</v>
      </c>
      <c r="E4208" s="5">
        <v>-30818</v>
      </c>
      <c r="F4208" s="3" t="s">
        <v>334</v>
      </c>
      <c r="G4208" s="3" t="s">
        <v>276</v>
      </c>
      <c r="H4208" s="2" t="s">
        <v>21</v>
      </c>
      <c r="I4208" s="2" t="s">
        <v>10429</v>
      </c>
      <c r="J4208" s="3" t="str">
        <f>HYPERLINK("https://www.boe.es/gazeta/dias/1815/08/15/pdfs/GMD-1815-100.pdf#page=12","Abrir facsímil")</f>
        <v>Abrir facsímil</v>
      </c>
      <c r="K4208" s="3" t="s">
        <v>23</v>
      </c>
    </row>
    <row r="4209" spans="1:11" ht="42" customHeight="1">
      <c r="A4209" s="2" t="s">
        <v>10430</v>
      </c>
      <c r="B4209" s="2" t="s">
        <v>10431</v>
      </c>
      <c r="C4209" s="2" t="s">
        <v>31</v>
      </c>
      <c r="D4209" s="2" t="s">
        <v>32</v>
      </c>
      <c r="E4209" s="5">
        <v>-30975</v>
      </c>
      <c r="F4209" s="3" t="s">
        <v>1194</v>
      </c>
      <c r="G4209" s="3" t="s">
        <v>38</v>
      </c>
      <c r="H4209" s="2" t="s">
        <v>72</v>
      </c>
      <c r="I4209" s="2" t="s">
        <v>10432</v>
      </c>
      <c r="J4209" s="3" t="str">
        <f>HYPERLINK("https://www.boe.es/gazeta/dias/1815/03/11/pdfs/GMD-1815-30.pdf#page=8","Abrir facsímil")</f>
        <v>Abrir facsímil</v>
      </c>
      <c r="K4209" s="3" t="s">
        <v>74</v>
      </c>
    </row>
    <row r="4210" spans="1:11" ht="42" customHeight="1">
      <c r="A4210" s="2" t="s">
        <v>10433</v>
      </c>
      <c r="B4210" s="2" t="s">
        <v>10434</v>
      </c>
      <c r="C4210" s="2" t="s">
        <v>31</v>
      </c>
      <c r="D4210" s="2" t="s">
        <v>32</v>
      </c>
      <c r="E4210" s="5">
        <v>-31028</v>
      </c>
      <c r="F4210" s="3" t="s">
        <v>517</v>
      </c>
      <c r="G4210" s="3" t="s">
        <v>88</v>
      </c>
      <c r="H4210" s="2" t="s">
        <v>72</v>
      </c>
      <c r="I4210" s="2" t="s">
        <v>10435</v>
      </c>
      <c r="J4210" s="3" t="str">
        <f>HYPERLINK("https://www.boe.es/gazeta/dias/1815/01/17/pdfs/GMD-1815-7.pdf#page=10","Abrir facsímil")</f>
        <v>Abrir facsímil</v>
      </c>
      <c r="K4210" s="3" t="s">
        <v>74</v>
      </c>
    </row>
    <row r="4211" spans="1:11" ht="42" customHeight="1">
      <c r="A4211" s="2" t="s">
        <v>10436</v>
      </c>
      <c r="B4211" s="2" t="s">
        <v>10437</v>
      </c>
      <c r="C4211" s="2" t="s">
        <v>49</v>
      </c>
      <c r="D4211" s="2" t="s">
        <v>50</v>
      </c>
      <c r="E4211" s="5">
        <v>-30977</v>
      </c>
      <c r="F4211" s="3" t="s">
        <v>37</v>
      </c>
      <c r="G4211" s="3" t="s">
        <v>71</v>
      </c>
      <c r="H4211" s="2" t="s">
        <v>72</v>
      </c>
      <c r="I4211" s="2" t="s">
        <v>10438</v>
      </c>
      <c r="J4211" s="3" t="str">
        <f>HYPERLINK("https://www.boe.es/gazeta/dias/1815/03/09/pdfs/GMD-1815-29.pdf#page=7","Abrir facsímil")</f>
        <v>Abrir facsímil</v>
      </c>
      <c r="K4211" s="3" t="s">
        <v>74</v>
      </c>
    </row>
    <row r="4212" spans="1:11" ht="42" customHeight="1">
      <c r="A4212" s="2" t="s">
        <v>10439</v>
      </c>
      <c r="B4212" s="2" t="s">
        <v>10440</v>
      </c>
      <c r="C4212" s="2" t="s">
        <v>17</v>
      </c>
      <c r="D4212" s="2" t="s">
        <v>18</v>
      </c>
      <c r="E4212" s="5">
        <v>-30979</v>
      </c>
      <c r="F4212" s="3" t="s">
        <v>56</v>
      </c>
      <c r="G4212" s="3" t="s">
        <v>27</v>
      </c>
      <c r="H4212" s="2" t="s">
        <v>72</v>
      </c>
      <c r="I4212" s="2" t="s">
        <v>10441</v>
      </c>
      <c r="J4212" s="3" t="str">
        <f>HYPERLINK("https://www.boe.es/gazeta/dias/1815/03/07/pdfs/GMD-1815-28.pdf#page=6","Abrir facsímil")</f>
        <v>Abrir facsímil</v>
      </c>
      <c r="K4212" s="3" t="s">
        <v>74</v>
      </c>
    </row>
    <row r="4213" spans="1:11" ht="42" customHeight="1">
      <c r="A4213" s="2" t="s">
        <v>10442</v>
      </c>
      <c r="B4213" s="2" t="s">
        <v>10443</v>
      </c>
      <c r="C4213" s="2" t="s">
        <v>17</v>
      </c>
      <c r="D4213" s="2" t="s">
        <v>18</v>
      </c>
      <c r="E4213" s="5">
        <v>-30767</v>
      </c>
      <c r="F4213" s="3" t="s">
        <v>228</v>
      </c>
      <c r="G4213" s="3" t="s">
        <v>88</v>
      </c>
      <c r="H4213" s="2" t="s">
        <v>72</v>
      </c>
      <c r="I4213" s="2" t="s">
        <v>10444</v>
      </c>
      <c r="J4213" s="3" t="str">
        <f>HYPERLINK("https://www.boe.es/gazeta/dias/1815/10/05/pdfs/GMD-1815-125.pdf#page=10","Abrir facsímil")</f>
        <v>Abrir facsímil</v>
      </c>
      <c r="K4213" s="3" t="s">
        <v>74</v>
      </c>
    </row>
    <row r="4214" spans="1:11" ht="42" customHeight="1">
      <c r="A4214" s="2" t="s">
        <v>10445</v>
      </c>
      <c r="B4214" s="2" t="s">
        <v>10446</v>
      </c>
      <c r="C4214" s="2" t="s">
        <v>195</v>
      </c>
      <c r="D4214" s="2" t="s">
        <v>50</v>
      </c>
      <c r="E4214" s="5">
        <v>-30874</v>
      </c>
      <c r="F4214" s="3" t="s">
        <v>208</v>
      </c>
      <c r="G4214" s="3" t="s">
        <v>224</v>
      </c>
      <c r="H4214" s="2" t="s">
        <v>72</v>
      </c>
      <c r="I4214" s="2" t="s">
        <v>10447</v>
      </c>
      <c r="J4214" s="3" t="str">
        <f>HYPERLINK("https://www.boe.es/gazeta/dias/1815/06/20/pdfs/GMD-1815-74.pdf#page=9","Abrir facsímil")</f>
        <v>Abrir facsímil</v>
      </c>
      <c r="K4214" s="3" t="s">
        <v>74</v>
      </c>
    </row>
    <row r="4215" spans="1:11" ht="42" customHeight="1">
      <c r="A4215" s="2" t="s">
        <v>10448</v>
      </c>
      <c r="B4215" s="2" t="s">
        <v>10449</v>
      </c>
      <c r="C4215" s="2" t="s">
        <v>31</v>
      </c>
      <c r="D4215" s="2" t="s">
        <v>32</v>
      </c>
      <c r="E4215" s="5">
        <v>-30860</v>
      </c>
      <c r="F4215" s="3" t="s">
        <v>184</v>
      </c>
      <c r="G4215" s="3" t="s">
        <v>20</v>
      </c>
      <c r="H4215" s="2" t="s">
        <v>72</v>
      </c>
      <c r="I4215" s="2" t="s">
        <v>10450</v>
      </c>
      <c r="J4215" s="3" t="str">
        <f>HYPERLINK("https://www.boe.es/gazeta/dias/1815/07/04/pdfs/GMD-1815-81.pdf#page=4","Abrir facsímil")</f>
        <v>Abrir facsímil</v>
      </c>
      <c r="K4215" s="3" t="s">
        <v>74</v>
      </c>
    </row>
    <row r="4216" spans="1:11" ht="42" customHeight="1">
      <c r="A4216" s="2" t="s">
        <v>10451</v>
      </c>
      <c r="B4216" s="2" t="s">
        <v>10452</v>
      </c>
      <c r="C4216" s="2" t="s">
        <v>61</v>
      </c>
      <c r="D4216" s="2" t="s">
        <v>50</v>
      </c>
      <c r="E4216" s="5">
        <v>-30839</v>
      </c>
      <c r="F4216" s="3" t="s">
        <v>616</v>
      </c>
      <c r="G4216" s="3" t="s">
        <v>57</v>
      </c>
      <c r="H4216" s="2" t="s">
        <v>72</v>
      </c>
      <c r="I4216" s="2" t="s">
        <v>10453</v>
      </c>
      <c r="J4216" s="3" t="str">
        <f>HYPERLINK("https://www.boe.es/gazeta/dias/1815/07/25/pdfs/GMD-1815-91.pdf#page=5","Abrir facsímil")</f>
        <v>Abrir facsímil</v>
      </c>
      <c r="K4216" s="3" t="s">
        <v>74</v>
      </c>
    </row>
    <row r="4217" spans="1:11" ht="42" customHeight="1">
      <c r="A4217" s="2" t="s">
        <v>10454</v>
      </c>
      <c r="B4217" s="2" t="s">
        <v>10455</v>
      </c>
      <c r="C4217" s="2" t="s">
        <v>49</v>
      </c>
      <c r="D4217" s="2" t="s">
        <v>50</v>
      </c>
      <c r="E4217" s="5">
        <v>-30818</v>
      </c>
      <c r="F4217" s="3" t="s">
        <v>334</v>
      </c>
      <c r="G4217" s="3" t="s">
        <v>224</v>
      </c>
      <c r="H4217" s="2" t="s">
        <v>72</v>
      </c>
      <c r="I4217" s="2" t="s">
        <v>10456</v>
      </c>
      <c r="J4217" s="3" t="str">
        <f>HYPERLINK("https://www.boe.es/gazeta/dias/1815/08/15/pdfs/GMD-1815-100.pdf#page=9","Abrir facsímil")</f>
        <v>Abrir facsímil</v>
      </c>
      <c r="K4217" s="3" t="s">
        <v>74</v>
      </c>
    </row>
    <row r="4218" spans="1:11" ht="42" customHeight="1">
      <c r="A4218" s="2" t="s">
        <v>10457</v>
      </c>
      <c r="B4218" s="2" t="s">
        <v>10458</v>
      </c>
      <c r="C4218" s="2" t="s">
        <v>81</v>
      </c>
      <c r="D4218" s="2" t="s">
        <v>50</v>
      </c>
      <c r="E4218" s="5">
        <v>-30993</v>
      </c>
      <c r="F4218" s="3" t="s">
        <v>66</v>
      </c>
      <c r="G4218" s="3" t="s">
        <v>97</v>
      </c>
      <c r="H4218" s="2" t="s">
        <v>72</v>
      </c>
      <c r="I4218" s="2" t="s">
        <v>10459</v>
      </c>
      <c r="J4218" s="3" t="str">
        <f>HYPERLINK("https://www.boe.es/gazeta/dias/1815/02/21/pdfs/GMD-1815-22.pdf#page=3","Abrir facsímil")</f>
        <v>Abrir facsímil</v>
      </c>
      <c r="K4218" s="3" t="s">
        <v>74</v>
      </c>
    </row>
    <row r="4219" spans="1:11" ht="42" customHeight="1">
      <c r="A4219" s="2" t="s">
        <v>10460</v>
      </c>
      <c r="B4219" s="2" t="s">
        <v>10460</v>
      </c>
      <c r="C4219" s="2" t="s">
        <v>31</v>
      </c>
      <c r="D4219" s="2" t="s">
        <v>32</v>
      </c>
      <c r="E4219" s="5">
        <v>-30748</v>
      </c>
      <c r="F4219" s="3" t="s">
        <v>2077</v>
      </c>
      <c r="G4219" s="3" t="s">
        <v>20</v>
      </c>
      <c r="H4219" s="2" t="s">
        <v>72</v>
      </c>
      <c r="I4219" s="2" t="s">
        <v>10461</v>
      </c>
      <c r="J4219" s="3" t="str">
        <f>HYPERLINK("https://www.boe.es/gazeta/dias/1815/10/24/pdfs/GMD-1815-133.pdf#page=4","Abrir facsímil")</f>
        <v>Abrir facsímil</v>
      </c>
      <c r="K4219" s="3" t="s">
        <v>74</v>
      </c>
    </row>
    <row r="4220" spans="1:11" ht="42" customHeight="1">
      <c r="A4220" s="2" t="s">
        <v>10462</v>
      </c>
      <c r="B4220" s="2" t="s">
        <v>10462</v>
      </c>
      <c r="C4220" s="2" t="s">
        <v>31</v>
      </c>
      <c r="D4220" s="2" t="s">
        <v>32</v>
      </c>
      <c r="E4220" s="5">
        <v>-30725</v>
      </c>
      <c r="F4220" s="3" t="s">
        <v>1535</v>
      </c>
      <c r="G4220" s="3" t="s">
        <v>97</v>
      </c>
      <c r="H4220" s="2" t="s">
        <v>72</v>
      </c>
      <c r="I4220" s="2" t="s">
        <v>10463</v>
      </c>
      <c r="J4220" s="3" t="str">
        <f>HYPERLINK("https://www.boe.es/gazeta/dias/1815/11/16/pdfs/GMD-1815-143.pdf#page=3","Abrir facsímil")</f>
        <v>Abrir facsímil</v>
      </c>
      <c r="K4220" s="3" t="s">
        <v>74</v>
      </c>
    </row>
    <row r="4221" spans="1:11" ht="42" customHeight="1">
      <c r="A4221" s="2" t="s">
        <v>10464</v>
      </c>
      <c r="B4221" s="2" t="s">
        <v>10465</v>
      </c>
      <c r="C4221" s="2" t="s">
        <v>49</v>
      </c>
      <c r="D4221" s="2" t="s">
        <v>50</v>
      </c>
      <c r="E4221" s="5">
        <v>-30835</v>
      </c>
      <c r="F4221" s="3" t="s">
        <v>544</v>
      </c>
      <c r="G4221" s="3" t="s">
        <v>88</v>
      </c>
      <c r="H4221" s="2" t="s">
        <v>72</v>
      </c>
      <c r="I4221" s="2" t="s">
        <v>10466</v>
      </c>
      <c r="J4221" s="3" t="str">
        <f>HYPERLINK("https://www.boe.es/gazeta/dias/1815/07/29/pdfs/GMD-1815-93.pdf#page=10","Abrir facsímil")</f>
        <v>Abrir facsímil</v>
      </c>
      <c r="K4221" s="3" t="s">
        <v>74</v>
      </c>
    </row>
    <row r="4222" spans="1:11" ht="42" customHeight="1">
      <c r="A4222" s="2" t="s">
        <v>10464</v>
      </c>
      <c r="B4222" s="2" t="s">
        <v>10465</v>
      </c>
      <c r="C4222" s="2" t="s">
        <v>49</v>
      </c>
      <c r="D4222" s="2" t="s">
        <v>50</v>
      </c>
      <c r="E4222" s="5">
        <v>-30832</v>
      </c>
      <c r="F4222" s="3" t="s">
        <v>266</v>
      </c>
      <c r="G4222" s="3" t="s">
        <v>88</v>
      </c>
      <c r="H4222" s="2" t="s">
        <v>72</v>
      </c>
      <c r="I4222" s="2" t="s">
        <v>10467</v>
      </c>
      <c r="J4222" s="3" t="str">
        <f>HYPERLINK("https://www.boe.es/gazeta/dias/1815/08/01/pdfs/GMD-1815-94.pdf#page=10","Abrir facsímil")</f>
        <v>Abrir facsímil</v>
      </c>
      <c r="K4222" s="3" t="s">
        <v>74</v>
      </c>
    </row>
    <row r="4223" spans="1:11" ht="42" customHeight="1">
      <c r="A4223" s="2" t="s">
        <v>10464</v>
      </c>
      <c r="B4223" s="2" t="s">
        <v>10465</v>
      </c>
      <c r="C4223" s="2" t="s">
        <v>49</v>
      </c>
      <c r="D4223" s="2" t="s">
        <v>50</v>
      </c>
      <c r="E4223" s="5">
        <v>-30830</v>
      </c>
      <c r="F4223" s="3" t="s">
        <v>33</v>
      </c>
      <c r="G4223" s="3" t="s">
        <v>52</v>
      </c>
      <c r="H4223" s="2" t="s">
        <v>72</v>
      </c>
      <c r="I4223" s="2" t="s">
        <v>10468</v>
      </c>
      <c r="J4223" s="3" t="str">
        <f>HYPERLINK("https://www.boe.es/gazeta/dias/1815/08/03/pdfs/GMD-1815-95.pdf#page=11","Abrir facsímil")</f>
        <v>Abrir facsímil</v>
      </c>
      <c r="K4223" s="3" t="s">
        <v>74</v>
      </c>
    </row>
    <row r="4224" spans="1:11" ht="42" customHeight="1">
      <c r="A4224" s="2" t="s">
        <v>10469</v>
      </c>
      <c r="B4224" s="2" t="s">
        <v>10469</v>
      </c>
      <c r="C4224" s="2" t="s">
        <v>31</v>
      </c>
      <c r="D4224" s="2" t="s">
        <v>179</v>
      </c>
      <c r="E4224" s="5">
        <v>-30860</v>
      </c>
      <c r="F4224" s="3" t="s">
        <v>180</v>
      </c>
      <c r="G4224" s="3" t="s">
        <v>410</v>
      </c>
      <c r="H4224" s="2" t="s">
        <v>72</v>
      </c>
      <c r="I4224" s="2" t="s">
        <v>10470</v>
      </c>
      <c r="J4224" s="3" t="str">
        <f>HYPERLINK("https://www.boe.es/gazeta/dias/1815/07/04/pdfs/GMD-1815-82E.pdf#page=1","Abrir facsímil")</f>
        <v>Abrir facsímil</v>
      </c>
      <c r="K4224" s="3" t="s">
        <v>74</v>
      </c>
    </row>
    <row r="4225" spans="1:11" ht="42" customHeight="1">
      <c r="A4225" s="2" t="s">
        <v>10471</v>
      </c>
      <c r="B4225" s="2" t="s">
        <v>10472</v>
      </c>
      <c r="C4225" s="2" t="s">
        <v>31</v>
      </c>
      <c r="D4225" s="2" t="s">
        <v>32</v>
      </c>
      <c r="E4225" s="5">
        <v>-30958</v>
      </c>
      <c r="F4225" s="3" t="s">
        <v>297</v>
      </c>
      <c r="G4225" s="3" t="s">
        <v>71</v>
      </c>
      <c r="H4225" s="2" t="s">
        <v>72</v>
      </c>
      <c r="I4225" s="2" t="s">
        <v>10473</v>
      </c>
      <c r="J4225" s="3" t="str">
        <f>HYPERLINK("https://www.boe.es/gazeta/dias/1815/03/28/pdfs/GMD-1815-37.pdf#page=7","Abrir facsímil")</f>
        <v>Abrir facsímil</v>
      </c>
      <c r="K4225" s="3" t="s">
        <v>74</v>
      </c>
    </row>
    <row r="4226" spans="1:11" ht="42" customHeight="1">
      <c r="A4226" s="2" t="s">
        <v>10474</v>
      </c>
      <c r="B4226" s="2" t="s">
        <v>10474</v>
      </c>
      <c r="C4226" s="2" t="s">
        <v>31</v>
      </c>
      <c r="D4226" s="2" t="s">
        <v>32</v>
      </c>
      <c r="E4226" s="5">
        <v>-30888</v>
      </c>
      <c r="F4226" s="3" t="s">
        <v>368</v>
      </c>
      <c r="G4226" s="3" t="s">
        <v>377</v>
      </c>
      <c r="H4226" s="2" t="s">
        <v>72</v>
      </c>
      <c r="I4226" s="2" t="s">
        <v>10475</v>
      </c>
      <c r="J4226" s="3" t="str">
        <f>HYPERLINK("https://www.boe.es/gazeta/dias/1815/06/06/pdfs/GMD-1815-68.pdf#page=2","Abrir facsímil")</f>
        <v>Abrir facsímil</v>
      </c>
      <c r="K4226" s="3" t="s">
        <v>74</v>
      </c>
    </row>
    <row r="4227" spans="1:11" ht="42" customHeight="1">
      <c r="A4227" s="2" t="s">
        <v>10476</v>
      </c>
      <c r="B4227" s="2" t="s">
        <v>10476</v>
      </c>
      <c r="C4227" s="2" t="s">
        <v>31</v>
      </c>
      <c r="D4227" s="2" t="s">
        <v>32</v>
      </c>
      <c r="E4227" s="5">
        <v>-30921</v>
      </c>
      <c r="F4227" s="3" t="s">
        <v>191</v>
      </c>
      <c r="G4227" s="3" t="s">
        <v>20</v>
      </c>
      <c r="H4227" s="2" t="s">
        <v>72</v>
      </c>
      <c r="I4227" s="2" t="s">
        <v>10477</v>
      </c>
      <c r="J4227" s="3" t="str">
        <f>HYPERLINK("https://www.boe.es/gazeta/dias/1815/05/04/pdfs/GMD-1815-54.pdf#page=4","Abrir facsímil")</f>
        <v>Abrir facsímil</v>
      </c>
      <c r="K4227" s="3" t="s">
        <v>74</v>
      </c>
    </row>
    <row r="4228" spans="1:11" ht="42" customHeight="1">
      <c r="A4228" s="2" t="s">
        <v>10478</v>
      </c>
      <c r="B4228" s="2" t="s">
        <v>10479</v>
      </c>
      <c r="C4228" s="2" t="s">
        <v>31</v>
      </c>
      <c r="D4228" s="2" t="s">
        <v>179</v>
      </c>
      <c r="E4228" s="5">
        <v>-30773</v>
      </c>
      <c r="F4228" s="3" t="s">
        <v>6571</v>
      </c>
      <c r="G4228" s="3" t="s">
        <v>410</v>
      </c>
      <c r="H4228" s="2" t="s">
        <v>72</v>
      </c>
      <c r="I4228" s="2" t="s">
        <v>10480</v>
      </c>
      <c r="J4228" s="3" t="str">
        <f>HYPERLINK("https://www.boe.es/gazeta/dias/1815/09/29/pdfs/GMD-1815-122E.pdf#page=1","Abrir facsímil")</f>
        <v>Abrir facsímil</v>
      </c>
      <c r="K4228" s="3" t="s">
        <v>74</v>
      </c>
    </row>
    <row r="4229" spans="1:11" ht="42" customHeight="1">
      <c r="A4229" s="2" t="s">
        <v>10481</v>
      </c>
      <c r="B4229" s="2" t="s">
        <v>10482</v>
      </c>
      <c r="C4229" s="2" t="s">
        <v>49</v>
      </c>
      <c r="D4229" s="2" t="s">
        <v>50</v>
      </c>
      <c r="E4229" s="5">
        <v>-30844</v>
      </c>
      <c r="F4229" s="3" t="s">
        <v>114</v>
      </c>
      <c r="G4229" s="3" t="s">
        <v>38</v>
      </c>
      <c r="H4229" s="2" t="s">
        <v>72</v>
      </c>
      <c r="I4229" s="2" t="s">
        <v>10483</v>
      </c>
      <c r="J4229" s="3" t="str">
        <f>HYPERLINK("https://www.boe.es/gazeta/dias/1815/07/20/pdfs/GMD-1815-89.pdf#page=8","Abrir facsímil")</f>
        <v>Abrir facsímil</v>
      </c>
      <c r="K4229" s="3" t="s">
        <v>74</v>
      </c>
    </row>
    <row r="4230" spans="1:11" ht="42" customHeight="1">
      <c r="A4230" s="2" t="s">
        <v>10484</v>
      </c>
      <c r="B4230" s="2" t="s">
        <v>10485</v>
      </c>
      <c r="C4230" s="2" t="s">
        <v>17</v>
      </c>
      <c r="D4230" s="2" t="s">
        <v>18</v>
      </c>
      <c r="E4230" s="5">
        <v>-30921</v>
      </c>
      <c r="F4230" s="3" t="s">
        <v>191</v>
      </c>
      <c r="G4230" s="3" t="s">
        <v>27</v>
      </c>
      <c r="H4230" s="2" t="s">
        <v>21</v>
      </c>
      <c r="I4230" s="2" t="s">
        <v>10486</v>
      </c>
      <c r="J4230" s="3" t="str">
        <f>HYPERLINK("https://www.boe.es/gazeta/dias/1815/05/04/pdfs/GMD-1815-54.pdf#page=6","Abrir facsímil")</f>
        <v>Abrir facsímil</v>
      </c>
      <c r="K4230" s="3" t="s">
        <v>23</v>
      </c>
    </row>
    <row r="4231" spans="1:11" ht="42" customHeight="1">
      <c r="A4231" s="2" t="s">
        <v>10487</v>
      </c>
      <c r="B4231" s="2" t="s">
        <v>10487</v>
      </c>
      <c r="C4231" s="2" t="s">
        <v>31</v>
      </c>
      <c r="D4231" s="2" t="s">
        <v>179</v>
      </c>
      <c r="E4231" s="5">
        <v>-30801</v>
      </c>
      <c r="F4231" s="3" t="s">
        <v>4575</v>
      </c>
      <c r="G4231" s="3" t="s">
        <v>410</v>
      </c>
      <c r="H4231" s="2" t="s">
        <v>72</v>
      </c>
      <c r="I4231" s="2" t="s">
        <v>10488</v>
      </c>
      <c r="J4231" s="3" t="str">
        <f>HYPERLINK("https://www.boe.es/gazeta/dias/1815/09/01/pdfs/GMD-1815-108E.pdf#page=1","Abrir facsímil")</f>
        <v>Abrir facsímil</v>
      </c>
      <c r="K4231" s="3" t="s">
        <v>74</v>
      </c>
    </row>
    <row r="4232" spans="1:11" ht="42" customHeight="1">
      <c r="A4232" s="2" t="s">
        <v>10489</v>
      </c>
      <c r="B4232" s="2" t="s">
        <v>10490</v>
      </c>
      <c r="C4232" s="2" t="s">
        <v>31</v>
      </c>
      <c r="D4232" s="2" t="s">
        <v>32</v>
      </c>
      <c r="E4232" s="5">
        <v>-30825</v>
      </c>
      <c r="F4232" s="3" t="s">
        <v>669</v>
      </c>
      <c r="G4232" s="3" t="s">
        <v>224</v>
      </c>
      <c r="H4232" s="2" t="s">
        <v>72</v>
      </c>
      <c r="I4232" s="2" t="s">
        <v>10491</v>
      </c>
      <c r="J4232" s="3" t="str">
        <f>HYPERLINK("https://www.boe.es/gazeta/dias/1815/08/08/pdfs/GMD-1815-97.pdf#page=9","Abrir facsímil")</f>
        <v>Abrir facsímil</v>
      </c>
      <c r="K4232" s="3" t="s">
        <v>74</v>
      </c>
    </row>
    <row r="4233" spans="1:11" ht="42" customHeight="1">
      <c r="A4233" s="2" t="s">
        <v>10492</v>
      </c>
      <c r="B4233" s="2" t="s">
        <v>10493</v>
      </c>
      <c r="C4233" s="2" t="s">
        <v>49</v>
      </c>
      <c r="D4233" s="2" t="s">
        <v>50</v>
      </c>
      <c r="E4233" s="5">
        <v>-31040</v>
      </c>
      <c r="F4233" s="3" t="s">
        <v>326</v>
      </c>
      <c r="G4233" s="3" t="s">
        <v>27</v>
      </c>
      <c r="H4233" s="2" t="s">
        <v>21</v>
      </c>
      <c r="I4233" s="2" t="s">
        <v>10494</v>
      </c>
      <c r="J4233" s="3" t="str">
        <f>HYPERLINK("https://www.boe.es/gazeta/dias/1815/01/05/pdfs/GMD-1815-2.pdf#page=6","Abrir facsímil")</f>
        <v>Abrir facsímil</v>
      </c>
      <c r="K4233" s="3" t="s">
        <v>23</v>
      </c>
    </row>
    <row r="4234" spans="1:11" ht="42" customHeight="1">
      <c r="A4234" s="2" t="s">
        <v>10495</v>
      </c>
      <c r="B4234" s="2" t="s">
        <v>10496</v>
      </c>
      <c r="C4234" s="2" t="s">
        <v>17</v>
      </c>
      <c r="D4234" s="2" t="s">
        <v>18</v>
      </c>
      <c r="E4234" s="5">
        <v>-30888</v>
      </c>
      <c r="F4234" s="3" t="s">
        <v>368</v>
      </c>
      <c r="G4234" s="3" t="s">
        <v>57</v>
      </c>
      <c r="H4234" s="2" t="s">
        <v>72</v>
      </c>
      <c r="I4234" s="2" t="s">
        <v>10497</v>
      </c>
      <c r="J4234" s="3" t="str">
        <f>HYPERLINK("https://www.boe.es/gazeta/dias/1815/06/06/pdfs/GMD-1815-68.pdf#page=5","Abrir facsímil")</f>
        <v>Abrir facsímil</v>
      </c>
      <c r="K4234" s="3" t="s">
        <v>74</v>
      </c>
    </row>
    <row r="4235" spans="1:11" ht="42" customHeight="1">
      <c r="A4235" s="2" t="s">
        <v>10498</v>
      </c>
      <c r="B4235" s="2" t="s">
        <v>10498</v>
      </c>
      <c r="C4235" s="2" t="s">
        <v>49</v>
      </c>
      <c r="D4235" s="2" t="s">
        <v>179</v>
      </c>
      <c r="E4235" s="5">
        <v>-30954</v>
      </c>
      <c r="F4235" s="3" t="s">
        <v>9580</v>
      </c>
      <c r="G4235" s="3" t="s">
        <v>377</v>
      </c>
      <c r="H4235" s="2" t="s">
        <v>72</v>
      </c>
      <c r="I4235" s="2" t="s">
        <v>10499</v>
      </c>
      <c r="J4235" s="3" t="str">
        <f>HYPERLINK("https://www.boe.es/gazeta/dias/1815/04/01/pdfs/GMD-1815-40E.pdf#page=2","Abrir facsímil")</f>
        <v>Abrir facsímil</v>
      </c>
      <c r="K4235" s="3" t="s">
        <v>74</v>
      </c>
    </row>
    <row r="4236" spans="1:11" ht="42" customHeight="1">
      <c r="A4236" s="2" t="s">
        <v>10500</v>
      </c>
      <c r="B4236" s="2" t="s">
        <v>10501</v>
      </c>
      <c r="C4236" s="2" t="s">
        <v>31</v>
      </c>
      <c r="D4236" s="2" t="s">
        <v>32</v>
      </c>
      <c r="E4236" s="5">
        <v>-31038</v>
      </c>
      <c r="F4236" s="3" t="s">
        <v>395</v>
      </c>
      <c r="G4236" s="3" t="s">
        <v>27</v>
      </c>
      <c r="H4236" s="2" t="s">
        <v>72</v>
      </c>
      <c r="I4236" s="2" t="s">
        <v>10502</v>
      </c>
      <c r="J4236" s="3" t="str">
        <f>HYPERLINK("https://www.boe.es/gazeta/dias/1815/01/07/pdfs/GMD-1815-3.pdf#page=6","Abrir facsímil")</f>
        <v>Abrir facsímil</v>
      </c>
      <c r="K4236" s="3" t="s">
        <v>74</v>
      </c>
    </row>
    <row r="4237" spans="1:11" ht="42" customHeight="1">
      <c r="A4237" s="2" t="s">
        <v>10500</v>
      </c>
      <c r="B4237" s="2" t="s">
        <v>10501</v>
      </c>
      <c r="C4237" s="2" t="s">
        <v>31</v>
      </c>
      <c r="D4237" s="2" t="s">
        <v>32</v>
      </c>
      <c r="E4237" s="5">
        <v>-30958</v>
      </c>
      <c r="F4237" s="3" t="s">
        <v>297</v>
      </c>
      <c r="G4237" s="3" t="s">
        <v>57</v>
      </c>
      <c r="H4237" s="2" t="s">
        <v>72</v>
      </c>
      <c r="I4237" s="2" t="s">
        <v>10503</v>
      </c>
      <c r="J4237" s="3" t="str">
        <f>HYPERLINK("https://www.boe.es/gazeta/dias/1815/03/28/pdfs/GMD-1815-37.pdf#page=5","Abrir facsímil")</f>
        <v>Abrir facsímil</v>
      </c>
      <c r="K4237" s="3" t="s">
        <v>74</v>
      </c>
    </row>
    <row r="4238" spans="1:11" ht="42" customHeight="1">
      <c r="A4238" s="2" t="s">
        <v>10504</v>
      </c>
      <c r="B4238" s="2" t="s">
        <v>10505</v>
      </c>
      <c r="C4238" s="2" t="s">
        <v>49</v>
      </c>
      <c r="D4238" s="2" t="s">
        <v>50</v>
      </c>
      <c r="E4238" s="5">
        <v>-30767</v>
      </c>
      <c r="F4238" s="3" t="s">
        <v>228</v>
      </c>
      <c r="G4238" s="3" t="s">
        <v>88</v>
      </c>
      <c r="H4238" s="2" t="s">
        <v>72</v>
      </c>
      <c r="I4238" s="2" t="s">
        <v>10506</v>
      </c>
      <c r="J4238" s="3" t="str">
        <f>HYPERLINK("https://www.boe.es/gazeta/dias/1815/10/05/pdfs/GMD-1815-125.pdf#page=10","Abrir facsímil")</f>
        <v>Abrir facsímil</v>
      </c>
      <c r="K4238" s="3" t="s">
        <v>74</v>
      </c>
    </row>
    <row r="4239" spans="1:11" ht="42" customHeight="1">
      <c r="A4239" s="2" t="s">
        <v>10507</v>
      </c>
      <c r="B4239" s="2" t="s">
        <v>10508</v>
      </c>
      <c r="C4239" s="2" t="s">
        <v>31</v>
      </c>
      <c r="D4239" s="2" t="s">
        <v>32</v>
      </c>
      <c r="E4239" s="5">
        <v>-30949</v>
      </c>
      <c r="F4239" s="3" t="s">
        <v>420</v>
      </c>
      <c r="G4239" s="3" t="s">
        <v>27</v>
      </c>
      <c r="H4239" s="2" t="s">
        <v>72</v>
      </c>
      <c r="I4239" s="2" t="s">
        <v>10509</v>
      </c>
      <c r="J4239" s="3" t="str">
        <f>HYPERLINK("https://www.boe.es/gazeta/dias/1815/04/06/pdfs/GMD-1815-42.pdf#page=6","Abrir facsímil")</f>
        <v>Abrir facsímil</v>
      </c>
      <c r="K4239" s="3" t="s">
        <v>74</v>
      </c>
    </row>
    <row r="4240" spans="1:11" ht="42" customHeight="1">
      <c r="A4240" s="2" t="s">
        <v>10510</v>
      </c>
      <c r="B4240" s="2" t="s">
        <v>10511</v>
      </c>
      <c r="C4240" s="2" t="s">
        <v>31</v>
      </c>
      <c r="D4240" s="2" t="s">
        <v>32</v>
      </c>
      <c r="E4240" s="5">
        <v>-30886</v>
      </c>
      <c r="F4240" s="3" t="s">
        <v>140</v>
      </c>
      <c r="G4240" s="3" t="s">
        <v>88</v>
      </c>
      <c r="H4240" s="2" t="s">
        <v>72</v>
      </c>
      <c r="I4240" s="2" t="s">
        <v>10512</v>
      </c>
      <c r="J4240" s="3" t="str">
        <f>HYPERLINK("https://www.boe.es/gazeta/dias/1815/06/08/pdfs/GMD-1815-69.pdf#page=10","Abrir facsímil")</f>
        <v>Abrir facsímil</v>
      </c>
      <c r="K4240" s="3" t="s">
        <v>74</v>
      </c>
    </row>
    <row r="4241" spans="1:11" ht="42" customHeight="1">
      <c r="A4241" s="2" t="s">
        <v>10513</v>
      </c>
      <c r="B4241" s="2" t="s">
        <v>10514</v>
      </c>
      <c r="C4241" s="2" t="s">
        <v>49</v>
      </c>
      <c r="D4241" s="2" t="s">
        <v>50</v>
      </c>
      <c r="E4241" s="5">
        <v>-30699</v>
      </c>
      <c r="F4241" s="3" t="s">
        <v>810</v>
      </c>
      <c r="G4241" s="3" t="s">
        <v>71</v>
      </c>
      <c r="H4241" s="2" t="s">
        <v>72</v>
      </c>
      <c r="I4241" s="2" t="s">
        <v>10515</v>
      </c>
      <c r="J4241" s="3" t="str">
        <f>HYPERLINK("https://www.boe.es/gazeta/dias/1815/12/12/pdfs/GMD-1815-154.pdf#page=7","Abrir facsímil")</f>
        <v>Abrir facsímil</v>
      </c>
      <c r="K4241" s="3" t="s">
        <v>74</v>
      </c>
    </row>
    <row r="4242" spans="1:11" ht="42" customHeight="1">
      <c r="A4242" s="2" t="s">
        <v>10516</v>
      </c>
      <c r="B4242" s="2" t="s">
        <v>10516</v>
      </c>
      <c r="C4242" s="2" t="s">
        <v>31</v>
      </c>
      <c r="D4242" s="2" t="s">
        <v>32</v>
      </c>
      <c r="E4242" s="5">
        <v>-30844</v>
      </c>
      <c r="F4242" s="3" t="s">
        <v>114</v>
      </c>
      <c r="G4242" s="3" t="s">
        <v>3102</v>
      </c>
      <c r="H4242" s="2" t="s">
        <v>72</v>
      </c>
      <c r="I4242" s="2" t="s">
        <v>10517</v>
      </c>
      <c r="J4242" s="3" t="str">
        <f>HYPERLINK("https://www.boe.es/gazeta/dias/1815/07/20/pdfs/GMD-1815-89.pdf#page=3","Abrir facsímil")</f>
        <v>Abrir facsímil</v>
      </c>
      <c r="K4242" s="3" t="s">
        <v>74</v>
      </c>
    </row>
    <row r="4243" spans="1:11" ht="42" customHeight="1">
      <c r="A4243" s="2" t="s">
        <v>10518</v>
      </c>
      <c r="B4243" s="2" t="s">
        <v>10519</v>
      </c>
      <c r="C4243" s="2" t="s">
        <v>31</v>
      </c>
      <c r="D4243" s="2" t="s">
        <v>179</v>
      </c>
      <c r="E4243" s="5">
        <v>-30860</v>
      </c>
      <c r="F4243" s="3" t="s">
        <v>180</v>
      </c>
      <c r="G4243" s="3" t="s">
        <v>410</v>
      </c>
      <c r="H4243" s="2" t="s">
        <v>21</v>
      </c>
      <c r="I4243" s="2" t="s">
        <v>10520</v>
      </c>
      <c r="J4243" s="3" t="str">
        <f>HYPERLINK("https://www.boe.es/gazeta/dias/1815/07/04/pdfs/GMD-1815-82E.pdf#page=1","Abrir facsímil")</f>
        <v>Abrir facsímil</v>
      </c>
      <c r="K4243" s="3" t="s">
        <v>23</v>
      </c>
    </row>
    <row r="4244" spans="1:11" ht="42" customHeight="1">
      <c r="A4244" s="2" t="s">
        <v>10521</v>
      </c>
      <c r="B4244" s="2" t="s">
        <v>10522</v>
      </c>
      <c r="C4244" s="2" t="s">
        <v>31</v>
      </c>
      <c r="D4244" s="2" t="s">
        <v>32</v>
      </c>
      <c r="E4244" s="5">
        <v>-30907</v>
      </c>
      <c r="F4244" s="3" t="s">
        <v>301</v>
      </c>
      <c r="G4244" s="3" t="s">
        <v>71</v>
      </c>
      <c r="H4244" s="2" t="s">
        <v>72</v>
      </c>
      <c r="I4244" s="2" t="s">
        <v>10523</v>
      </c>
      <c r="J4244" s="3" t="str">
        <f>HYPERLINK("https://www.boe.es/gazeta/dias/1815/05/18/pdfs/GMD-1815-60.pdf#page=7","Abrir facsímil")</f>
        <v>Abrir facsímil</v>
      </c>
      <c r="K4244" s="3" t="s">
        <v>74</v>
      </c>
    </row>
    <row r="4245" spans="1:11" ht="42" customHeight="1">
      <c r="A4245" s="2" t="s">
        <v>10524</v>
      </c>
      <c r="B4245" s="2" t="s">
        <v>10525</v>
      </c>
      <c r="C4245" s="2" t="s">
        <v>31</v>
      </c>
      <c r="D4245" s="2" t="s">
        <v>32</v>
      </c>
      <c r="E4245" s="5">
        <v>-31040</v>
      </c>
      <c r="F4245" s="3" t="s">
        <v>326</v>
      </c>
      <c r="G4245" s="3" t="s">
        <v>27</v>
      </c>
      <c r="H4245" s="2" t="s">
        <v>72</v>
      </c>
      <c r="I4245" s="2" t="s">
        <v>10526</v>
      </c>
      <c r="J4245" s="3" t="str">
        <f>HYPERLINK("https://www.boe.es/gazeta/dias/1815/01/05/pdfs/GMD-1815-2.pdf#page=6","Abrir facsímil")</f>
        <v>Abrir facsímil</v>
      </c>
      <c r="K4245" s="3" t="s">
        <v>74</v>
      </c>
    </row>
    <row r="4246" spans="1:11" ht="42" customHeight="1">
      <c r="A4246" s="2" t="s">
        <v>10527</v>
      </c>
      <c r="B4246" s="2" t="s">
        <v>10528</v>
      </c>
      <c r="C4246" s="2" t="s">
        <v>31</v>
      </c>
      <c r="D4246" s="2" t="s">
        <v>32</v>
      </c>
      <c r="E4246" s="5">
        <v>-30961</v>
      </c>
      <c r="F4246" s="3" t="s">
        <v>1176</v>
      </c>
      <c r="G4246" s="3" t="s">
        <v>38</v>
      </c>
      <c r="H4246" s="2" t="s">
        <v>72</v>
      </c>
      <c r="I4246" s="2" t="s">
        <v>10529</v>
      </c>
      <c r="J4246" s="3" t="str">
        <f>HYPERLINK("https://www.boe.es/gazeta/dias/1815/03/25/pdfs/GMD-1815-36.pdf#page=8","Abrir facsímil")</f>
        <v>Abrir facsímil</v>
      </c>
      <c r="K4246" s="3" t="s">
        <v>74</v>
      </c>
    </row>
    <row r="4247" spans="1:11" ht="42" customHeight="1">
      <c r="A4247" s="2" t="s">
        <v>10530</v>
      </c>
      <c r="B4247" s="2" t="s">
        <v>10531</v>
      </c>
      <c r="C4247" s="2" t="s">
        <v>31</v>
      </c>
      <c r="D4247" s="2" t="s">
        <v>32</v>
      </c>
      <c r="E4247" s="5">
        <v>-30961</v>
      </c>
      <c r="F4247" s="3" t="s">
        <v>1176</v>
      </c>
      <c r="G4247" s="3" t="s">
        <v>38</v>
      </c>
      <c r="H4247" s="2" t="s">
        <v>72</v>
      </c>
      <c r="I4247" s="2" t="s">
        <v>10532</v>
      </c>
      <c r="J4247" s="3" t="str">
        <f>HYPERLINK("https://www.boe.es/gazeta/dias/1815/03/25/pdfs/GMD-1815-36.pdf#page=8","Abrir facsímil")</f>
        <v>Abrir facsímil</v>
      </c>
      <c r="K4247" s="3" t="s">
        <v>74</v>
      </c>
    </row>
    <row r="4248" spans="1:11" ht="42" customHeight="1">
      <c r="A4248" s="2" t="s">
        <v>10533</v>
      </c>
      <c r="B4248" s="2" t="s">
        <v>10534</v>
      </c>
      <c r="C4248" s="2" t="s">
        <v>49</v>
      </c>
      <c r="D4248" s="2" t="s">
        <v>50</v>
      </c>
      <c r="E4248" s="5">
        <v>-30865</v>
      </c>
      <c r="F4248" s="3" t="s">
        <v>163</v>
      </c>
      <c r="G4248" s="3" t="s">
        <v>71</v>
      </c>
      <c r="H4248" s="2" t="s">
        <v>72</v>
      </c>
      <c r="I4248" s="2" t="s">
        <v>10535</v>
      </c>
      <c r="J4248" s="3" t="str">
        <f>HYPERLINK("https://www.boe.es/gazeta/dias/1815/06/29/pdfs/GMD-1815-78.pdf#page=7","Abrir facsímil")</f>
        <v>Abrir facsímil</v>
      </c>
      <c r="K4248" s="3" t="s">
        <v>74</v>
      </c>
    </row>
    <row r="4249" spans="1:11" ht="42" customHeight="1">
      <c r="A4249" s="2" t="s">
        <v>10536</v>
      </c>
      <c r="B4249" s="2" t="s">
        <v>10537</v>
      </c>
      <c r="C4249" s="2" t="s">
        <v>49</v>
      </c>
      <c r="D4249" s="2" t="s">
        <v>50</v>
      </c>
      <c r="E4249" s="5">
        <v>-30741</v>
      </c>
      <c r="F4249" s="3" t="s">
        <v>1000</v>
      </c>
      <c r="G4249" s="3" t="s">
        <v>38</v>
      </c>
      <c r="H4249" s="2" t="s">
        <v>72</v>
      </c>
      <c r="I4249" s="2" t="s">
        <v>10538</v>
      </c>
      <c r="J4249" s="3" t="str">
        <f>HYPERLINK("https://www.boe.es/gazeta/dias/1815/10/31/pdfs/GMD-1815-136.pdf#page=8","Abrir facsímil")</f>
        <v>Abrir facsímil</v>
      </c>
      <c r="K4249" s="3" t="s">
        <v>74</v>
      </c>
    </row>
    <row r="4250" spans="1:11" ht="42" customHeight="1">
      <c r="A4250" s="2" t="s">
        <v>10539</v>
      </c>
      <c r="B4250" s="2" t="s">
        <v>10540</v>
      </c>
      <c r="C4250" s="2" t="s">
        <v>17</v>
      </c>
      <c r="D4250" s="2" t="s">
        <v>18</v>
      </c>
      <c r="E4250" s="5">
        <v>-30886</v>
      </c>
      <c r="F4250" s="3" t="s">
        <v>140</v>
      </c>
      <c r="G4250" s="3" t="s">
        <v>224</v>
      </c>
      <c r="H4250" s="2" t="s">
        <v>72</v>
      </c>
      <c r="I4250" s="2" t="s">
        <v>10541</v>
      </c>
      <c r="J4250" s="3" t="str">
        <f>HYPERLINK("https://www.boe.es/gazeta/dias/1815/06/08/pdfs/GMD-1815-69.pdf#page=9","Abrir facsímil")</f>
        <v>Abrir facsímil</v>
      </c>
      <c r="K4250" s="3" t="s">
        <v>74</v>
      </c>
    </row>
    <row r="4251" spans="1:11" ht="42" customHeight="1">
      <c r="A4251" s="2" t="s">
        <v>10542</v>
      </c>
      <c r="B4251" s="2" t="s">
        <v>10543</v>
      </c>
      <c r="C4251" s="2" t="s">
        <v>31</v>
      </c>
      <c r="D4251" s="2" t="s">
        <v>32</v>
      </c>
      <c r="E4251" s="5">
        <v>-30916</v>
      </c>
      <c r="F4251" s="3" t="s">
        <v>147</v>
      </c>
      <c r="G4251" s="3" t="s">
        <v>148</v>
      </c>
      <c r="H4251" s="2" t="s">
        <v>72</v>
      </c>
      <c r="I4251" s="2" t="s">
        <v>10544</v>
      </c>
      <c r="J4251" s="3" t="str">
        <f>HYPERLINK("https://www.boe.es/gazeta/dias/1815/05/09/pdfs/GMD-1815-56.pdf#page=7","Abrir facsímil")</f>
        <v>Abrir facsímil</v>
      </c>
      <c r="K4251" s="3" t="s">
        <v>74</v>
      </c>
    </row>
    <row r="4252" spans="1:11" ht="42" customHeight="1">
      <c r="A4252" s="2" t="s">
        <v>10545</v>
      </c>
      <c r="B4252" s="2" t="s">
        <v>10546</v>
      </c>
      <c r="C4252" s="2" t="s">
        <v>49</v>
      </c>
      <c r="D4252" s="2" t="s">
        <v>50</v>
      </c>
      <c r="E4252" s="5">
        <v>-30886</v>
      </c>
      <c r="F4252" s="3" t="s">
        <v>140</v>
      </c>
      <c r="G4252" s="3" t="s">
        <v>224</v>
      </c>
      <c r="H4252" s="2" t="s">
        <v>72</v>
      </c>
      <c r="I4252" s="2" t="s">
        <v>10547</v>
      </c>
      <c r="J4252" s="3" t="str">
        <f>HYPERLINK("https://www.boe.es/gazeta/dias/1815/06/08/pdfs/GMD-1815-69.pdf#page=9","Abrir facsímil")</f>
        <v>Abrir facsímil</v>
      </c>
      <c r="K4252" s="3" t="s">
        <v>74</v>
      </c>
    </row>
    <row r="4253" spans="1:11" ht="42" customHeight="1">
      <c r="A4253" s="2" t="s">
        <v>10548</v>
      </c>
      <c r="B4253" s="2" t="s">
        <v>10549</v>
      </c>
      <c r="C4253" s="2" t="s">
        <v>49</v>
      </c>
      <c r="D4253" s="2" t="s">
        <v>50</v>
      </c>
      <c r="E4253" s="5">
        <v>-30863</v>
      </c>
      <c r="F4253" s="3" t="s">
        <v>110</v>
      </c>
      <c r="G4253" s="3" t="s">
        <v>224</v>
      </c>
      <c r="H4253" s="2" t="s">
        <v>72</v>
      </c>
      <c r="I4253" s="2" t="s">
        <v>10550</v>
      </c>
      <c r="J4253" s="3" t="str">
        <f>HYPERLINK("https://www.boe.es/gazeta/dias/1815/07/01/pdfs/GMD-1815-79.pdf#page=9","Abrir facsímil")</f>
        <v>Abrir facsímil</v>
      </c>
      <c r="K4253" s="3" t="s">
        <v>74</v>
      </c>
    </row>
    <row r="4254" spans="1:11" ht="42" customHeight="1">
      <c r="A4254" s="2" t="s">
        <v>10551</v>
      </c>
      <c r="B4254" s="2" t="s">
        <v>10552</v>
      </c>
      <c r="C4254" s="2" t="s">
        <v>131</v>
      </c>
      <c r="D4254" s="2" t="s">
        <v>50</v>
      </c>
      <c r="E4254" s="5">
        <v>-30963</v>
      </c>
      <c r="F4254" s="3" t="s">
        <v>879</v>
      </c>
      <c r="G4254" s="3" t="s">
        <v>71</v>
      </c>
      <c r="H4254" s="2" t="s">
        <v>72</v>
      </c>
      <c r="I4254" s="2" t="s">
        <v>10553</v>
      </c>
      <c r="J4254" s="3" t="str">
        <f>HYPERLINK("https://www.boe.es/gazeta/dias/1815/03/23/pdfs/GMD-1815-35.pdf#page=7","Abrir facsímil")</f>
        <v>Abrir facsímil</v>
      </c>
      <c r="K4254" s="3" t="s">
        <v>74</v>
      </c>
    </row>
    <row r="4255" spans="1:11" ht="42" customHeight="1">
      <c r="A4255" s="2" t="s">
        <v>10554</v>
      </c>
      <c r="B4255" s="2" t="s">
        <v>10555</v>
      </c>
      <c r="C4255" s="2" t="s">
        <v>17</v>
      </c>
      <c r="D4255" s="2" t="s">
        <v>18</v>
      </c>
      <c r="E4255" s="5">
        <v>-30716</v>
      </c>
      <c r="F4255" s="3" t="s">
        <v>589</v>
      </c>
      <c r="G4255" s="3" t="s">
        <v>27</v>
      </c>
      <c r="H4255" s="2" t="s">
        <v>72</v>
      </c>
      <c r="I4255" s="2" t="s">
        <v>10556</v>
      </c>
      <c r="J4255" s="3" t="str">
        <f>HYPERLINK("https://www.boe.es/gazeta/dias/1815/11/25/pdfs/GMD-1815-147.pdf#page=6","Abrir facsímil")</f>
        <v>Abrir facsímil</v>
      </c>
      <c r="K4255" s="3" t="s">
        <v>74</v>
      </c>
    </row>
    <row r="4256" spans="1:11" ht="42" customHeight="1">
      <c r="A4256" s="2" t="s">
        <v>10557</v>
      </c>
      <c r="B4256" s="2" t="s">
        <v>10558</v>
      </c>
      <c r="C4256" s="2" t="s">
        <v>49</v>
      </c>
      <c r="D4256" s="2" t="s">
        <v>50</v>
      </c>
      <c r="E4256" s="5">
        <v>-30870</v>
      </c>
      <c r="F4256" s="3" t="s">
        <v>122</v>
      </c>
      <c r="G4256" s="3" t="s">
        <v>88</v>
      </c>
      <c r="H4256" s="2" t="s">
        <v>72</v>
      </c>
      <c r="I4256" s="2" t="s">
        <v>10559</v>
      </c>
      <c r="J4256" s="3" t="str">
        <f>HYPERLINK("https://www.boe.es/gazeta/dias/1815/06/24/pdfs/GMD-1815-76.pdf#page=10","Abrir facsímil")</f>
        <v>Abrir facsímil</v>
      </c>
      <c r="K4256" s="3" t="s">
        <v>74</v>
      </c>
    </row>
    <row r="4257" spans="1:11" ht="42" customHeight="1">
      <c r="A4257" s="2" t="s">
        <v>10560</v>
      </c>
      <c r="B4257" s="2" t="s">
        <v>10561</v>
      </c>
      <c r="C4257" s="2" t="s">
        <v>61</v>
      </c>
      <c r="D4257" s="2" t="s">
        <v>50</v>
      </c>
      <c r="E4257" s="5">
        <v>-30923</v>
      </c>
      <c r="F4257" s="3" t="s">
        <v>524</v>
      </c>
      <c r="G4257" s="3" t="s">
        <v>1289</v>
      </c>
      <c r="H4257" s="2" t="s">
        <v>72</v>
      </c>
      <c r="I4257" s="2" t="s">
        <v>10562</v>
      </c>
      <c r="J4257" s="3" t="str">
        <f>HYPERLINK("https://www.boe.es/gazeta/dias/1815/05/02/pdfs/GMD-1815-53.pdf#page=11","Abrir facsímil")</f>
        <v>Abrir facsímil</v>
      </c>
      <c r="K4257" s="3" t="s">
        <v>74</v>
      </c>
    </row>
    <row r="4258" spans="1:11" ht="42" customHeight="1">
      <c r="A4258" s="2" t="s">
        <v>10563</v>
      </c>
      <c r="B4258" s="2" t="s">
        <v>10564</v>
      </c>
      <c r="C4258" s="2" t="s">
        <v>17</v>
      </c>
      <c r="D4258" s="2" t="s">
        <v>18</v>
      </c>
      <c r="E4258" s="5">
        <v>-30944</v>
      </c>
      <c r="F4258" s="3" t="s">
        <v>412</v>
      </c>
      <c r="G4258" s="3" t="s">
        <v>71</v>
      </c>
      <c r="H4258" s="2" t="s">
        <v>72</v>
      </c>
      <c r="I4258" s="2" t="s">
        <v>10565</v>
      </c>
      <c r="J4258" s="3" t="str">
        <f>HYPERLINK("https://www.boe.es/gazeta/dias/1815/04/11/pdfs/GMD-1815-44.pdf#page=7","Abrir facsímil")</f>
        <v>Abrir facsímil</v>
      </c>
      <c r="K4258" s="3" t="s">
        <v>74</v>
      </c>
    </row>
    <row r="4259" spans="1:11" ht="42" customHeight="1">
      <c r="A4259" s="2" t="s">
        <v>10566</v>
      </c>
      <c r="B4259" s="2" t="s">
        <v>10567</v>
      </c>
      <c r="C4259" s="2" t="s">
        <v>195</v>
      </c>
      <c r="D4259" s="2" t="s">
        <v>50</v>
      </c>
      <c r="E4259" s="5">
        <v>-30874</v>
      </c>
      <c r="F4259" s="3" t="s">
        <v>208</v>
      </c>
      <c r="G4259" s="3" t="s">
        <v>71</v>
      </c>
      <c r="H4259" s="2" t="s">
        <v>72</v>
      </c>
      <c r="I4259" s="2" t="s">
        <v>10568</v>
      </c>
      <c r="J4259" s="3" t="str">
        <f>HYPERLINK("https://www.boe.es/gazeta/dias/1815/06/20/pdfs/GMD-1815-74.pdf#page=7","Abrir facsímil")</f>
        <v>Abrir facsímil</v>
      </c>
      <c r="K4259" s="3" t="s">
        <v>74</v>
      </c>
    </row>
    <row r="4260" spans="1:11" ht="42" customHeight="1">
      <c r="A4260" s="2" t="s">
        <v>10569</v>
      </c>
      <c r="B4260" s="2" t="s">
        <v>10570</v>
      </c>
      <c r="C4260" s="2" t="s">
        <v>49</v>
      </c>
      <c r="D4260" s="2" t="s">
        <v>50</v>
      </c>
      <c r="E4260" s="5">
        <v>-30914</v>
      </c>
      <c r="F4260" s="3" t="s">
        <v>338</v>
      </c>
      <c r="G4260" s="3" t="s">
        <v>88</v>
      </c>
      <c r="H4260" s="2" t="s">
        <v>72</v>
      </c>
      <c r="I4260" s="2" t="s">
        <v>10571</v>
      </c>
      <c r="J4260" s="3" t="str">
        <f>HYPERLINK("https://www.boe.es/gazeta/dias/1815/05/11/pdfs/GMD-1815-57.pdf#page=10","Abrir facsímil")</f>
        <v>Abrir facsímil</v>
      </c>
      <c r="K4260" s="3" t="s">
        <v>74</v>
      </c>
    </row>
    <row r="4261" spans="1:11" ht="42" customHeight="1">
      <c r="A4261" s="2" t="s">
        <v>10572</v>
      </c>
      <c r="B4261" s="2" t="s">
        <v>10573</v>
      </c>
      <c r="C4261" s="2" t="s">
        <v>31</v>
      </c>
      <c r="D4261" s="2" t="s">
        <v>32</v>
      </c>
      <c r="E4261" s="5">
        <v>-30839</v>
      </c>
      <c r="F4261" s="3" t="s">
        <v>616</v>
      </c>
      <c r="G4261" s="3" t="s">
        <v>27</v>
      </c>
      <c r="H4261" s="2" t="s">
        <v>72</v>
      </c>
      <c r="I4261" s="2" t="s">
        <v>10574</v>
      </c>
      <c r="J4261" s="3" t="str">
        <f>HYPERLINK("https://www.boe.es/gazeta/dias/1815/07/25/pdfs/GMD-1815-91.pdf#page=6","Abrir facsímil")</f>
        <v>Abrir facsímil</v>
      </c>
      <c r="K4261" s="3" t="s">
        <v>74</v>
      </c>
    </row>
    <row r="4262" spans="1:11" ht="42" customHeight="1">
      <c r="A4262" s="2" t="s">
        <v>10575</v>
      </c>
      <c r="B4262" s="2" t="s">
        <v>10576</v>
      </c>
      <c r="C4262" s="2" t="s">
        <v>31</v>
      </c>
      <c r="D4262" s="2" t="s">
        <v>32</v>
      </c>
      <c r="E4262" s="5">
        <v>-30767</v>
      </c>
      <c r="F4262" s="3" t="s">
        <v>228</v>
      </c>
      <c r="G4262" s="3" t="s">
        <v>224</v>
      </c>
      <c r="H4262" s="2" t="s">
        <v>72</v>
      </c>
      <c r="I4262" s="2" t="s">
        <v>10577</v>
      </c>
      <c r="J4262" s="3" t="str">
        <f>HYPERLINK("https://www.boe.es/gazeta/dias/1815/10/05/pdfs/GMD-1815-125.pdf#page=9","Abrir facsímil")</f>
        <v>Abrir facsímil</v>
      </c>
      <c r="K4262" s="3" t="s">
        <v>74</v>
      </c>
    </row>
    <row r="4263" spans="1:11" ht="42" customHeight="1">
      <c r="A4263" s="2" t="s">
        <v>10578</v>
      </c>
      <c r="B4263" s="2" t="s">
        <v>10578</v>
      </c>
      <c r="C4263" s="2" t="s">
        <v>61</v>
      </c>
      <c r="D4263" s="2" t="s">
        <v>50</v>
      </c>
      <c r="E4263" s="5">
        <v>-31019</v>
      </c>
      <c r="F4263" s="3" t="s">
        <v>1094</v>
      </c>
      <c r="G4263" s="3" t="s">
        <v>410</v>
      </c>
      <c r="H4263" s="2" t="s">
        <v>72</v>
      </c>
      <c r="I4263" s="2" t="s">
        <v>10579</v>
      </c>
      <c r="J4263" s="3" t="str">
        <f>HYPERLINK("https://www.boe.es/gazeta/dias/1815/01/26/pdfs/GMD-1815-11.pdf#page=1","Abrir facsímil")</f>
        <v>Abrir facsímil</v>
      </c>
      <c r="K4263" s="3" t="s">
        <v>74</v>
      </c>
    </row>
    <row r="4264" spans="1:11" ht="42" customHeight="1">
      <c r="A4264" s="2" t="s">
        <v>10580</v>
      </c>
      <c r="B4264" s="2" t="s">
        <v>10581</v>
      </c>
      <c r="C4264" s="2" t="s">
        <v>49</v>
      </c>
      <c r="D4264" s="2" t="s">
        <v>50</v>
      </c>
      <c r="E4264" s="5">
        <v>-30886</v>
      </c>
      <c r="F4264" s="3" t="s">
        <v>140</v>
      </c>
      <c r="G4264" s="3" t="s">
        <v>88</v>
      </c>
      <c r="H4264" s="2" t="s">
        <v>72</v>
      </c>
      <c r="I4264" s="2" t="s">
        <v>10582</v>
      </c>
      <c r="J4264" s="3" t="str">
        <f>HYPERLINK("https://www.boe.es/gazeta/dias/1815/06/08/pdfs/GMD-1815-69.pdf#page=10","Abrir facsímil")</f>
        <v>Abrir facsímil</v>
      </c>
      <c r="K4264" s="3" t="s">
        <v>74</v>
      </c>
    </row>
    <row r="4265" spans="1:11" ht="42" customHeight="1">
      <c r="A4265" s="2" t="s">
        <v>10583</v>
      </c>
      <c r="B4265" s="2" t="s">
        <v>10583</v>
      </c>
      <c r="C4265" s="2" t="s">
        <v>31</v>
      </c>
      <c r="D4265" s="2" t="s">
        <v>32</v>
      </c>
      <c r="E4265" s="5">
        <v>-30741</v>
      </c>
      <c r="F4265" s="3" t="s">
        <v>1000</v>
      </c>
      <c r="G4265" s="3" t="s">
        <v>71</v>
      </c>
      <c r="H4265" s="2" t="s">
        <v>72</v>
      </c>
      <c r="I4265" s="2" t="s">
        <v>10584</v>
      </c>
      <c r="J4265" s="3" t="str">
        <f>HYPERLINK("https://www.boe.es/gazeta/dias/1815/10/31/pdfs/GMD-1815-136.pdf#page=7","Abrir facsímil")</f>
        <v>Abrir facsímil</v>
      </c>
      <c r="K4265" s="3" t="s">
        <v>74</v>
      </c>
    </row>
    <row r="4266" spans="1:11" ht="42" customHeight="1">
      <c r="A4266" s="2" t="s">
        <v>10583</v>
      </c>
      <c r="B4266" s="2" t="s">
        <v>10583</v>
      </c>
      <c r="C4266" s="2" t="s">
        <v>31</v>
      </c>
      <c r="D4266" s="2" t="s">
        <v>32</v>
      </c>
      <c r="E4266" s="5">
        <v>-30739</v>
      </c>
      <c r="F4266" s="3" t="s">
        <v>254</v>
      </c>
      <c r="G4266" s="3" t="s">
        <v>52</v>
      </c>
      <c r="H4266" s="2" t="s">
        <v>72</v>
      </c>
      <c r="I4266" s="2" t="s">
        <v>10585</v>
      </c>
      <c r="J4266" s="3" t="str">
        <f>HYPERLINK("https://www.boe.es/gazeta/dias/1815/11/02/pdfs/GMD-1815-137.pdf#page=11","Abrir facsímil")</f>
        <v>Abrir facsímil</v>
      </c>
      <c r="K4266" s="3" t="s">
        <v>74</v>
      </c>
    </row>
    <row r="4267" spans="1:11" ht="42" customHeight="1">
      <c r="A4267" s="2" t="s">
        <v>10583</v>
      </c>
      <c r="B4267" s="2" t="s">
        <v>10583</v>
      </c>
      <c r="C4267" s="2" t="s">
        <v>31</v>
      </c>
      <c r="D4267" s="2" t="s">
        <v>32</v>
      </c>
      <c r="E4267" s="5">
        <v>-30737</v>
      </c>
      <c r="F4267" s="3" t="s">
        <v>1932</v>
      </c>
      <c r="G4267" s="3" t="s">
        <v>71</v>
      </c>
      <c r="H4267" s="2" t="s">
        <v>72</v>
      </c>
      <c r="I4267" s="2" t="s">
        <v>10586</v>
      </c>
      <c r="J4267" s="3" t="str">
        <f>HYPERLINK("https://www.boe.es/gazeta/dias/1815/11/04/pdfs/GMD-1815-138.pdf#page=7","Abrir facsímil")</f>
        <v>Abrir facsímil</v>
      </c>
      <c r="K4267" s="3" t="s">
        <v>74</v>
      </c>
    </row>
    <row r="4268" spans="1:11" ht="42" customHeight="1">
      <c r="A4268" s="2" t="s">
        <v>10587</v>
      </c>
      <c r="B4268" s="2" t="s">
        <v>10587</v>
      </c>
      <c r="C4268" s="2" t="s">
        <v>31</v>
      </c>
      <c r="D4268" s="2" t="s">
        <v>32</v>
      </c>
      <c r="E4268" s="5">
        <v>-30839</v>
      </c>
      <c r="F4268" s="3" t="s">
        <v>616</v>
      </c>
      <c r="G4268" s="3" t="s">
        <v>97</v>
      </c>
      <c r="H4268" s="2" t="s">
        <v>72</v>
      </c>
      <c r="I4268" s="2" t="s">
        <v>10588</v>
      </c>
      <c r="J4268" s="3" t="str">
        <f>HYPERLINK("https://www.boe.es/gazeta/dias/1815/07/25/pdfs/GMD-1815-91.pdf#page=3","Abrir facsímil")</f>
        <v>Abrir facsímil</v>
      </c>
      <c r="K4268" s="3" t="s">
        <v>74</v>
      </c>
    </row>
    <row r="4269" spans="1:11" ht="42" customHeight="1">
      <c r="A4269" s="2" t="s">
        <v>10589</v>
      </c>
      <c r="B4269" s="2" t="s">
        <v>10589</v>
      </c>
      <c r="C4269" s="2" t="s">
        <v>31</v>
      </c>
      <c r="D4269" s="2" t="s">
        <v>32</v>
      </c>
      <c r="E4269" s="5">
        <v>-30830</v>
      </c>
      <c r="F4269" s="3" t="s">
        <v>33</v>
      </c>
      <c r="G4269" s="3" t="s">
        <v>377</v>
      </c>
      <c r="H4269" s="2" t="s">
        <v>72</v>
      </c>
      <c r="I4269" s="2" t="s">
        <v>10590</v>
      </c>
      <c r="J4269" s="3" t="str">
        <f>HYPERLINK("https://www.boe.es/gazeta/dias/1815/08/03/pdfs/GMD-1815-95.pdf#page=2","Abrir facsímil")</f>
        <v>Abrir facsímil</v>
      </c>
      <c r="K4269" s="3" t="s">
        <v>74</v>
      </c>
    </row>
    <row r="4270" spans="1:11" ht="42" customHeight="1">
      <c r="A4270" s="2" t="s">
        <v>10591</v>
      </c>
      <c r="B4270" s="2" t="s">
        <v>10592</v>
      </c>
      <c r="C4270" s="2" t="s">
        <v>49</v>
      </c>
      <c r="D4270" s="2" t="s">
        <v>50</v>
      </c>
      <c r="E4270" s="5">
        <v>-30886</v>
      </c>
      <c r="F4270" s="3" t="s">
        <v>140</v>
      </c>
      <c r="G4270" s="3" t="s">
        <v>224</v>
      </c>
      <c r="H4270" s="2" t="s">
        <v>72</v>
      </c>
      <c r="I4270" s="2" t="s">
        <v>10593</v>
      </c>
      <c r="J4270" s="3" t="str">
        <f>HYPERLINK("https://www.boe.es/gazeta/dias/1815/06/08/pdfs/GMD-1815-69.pdf#page=9","Abrir facsímil")</f>
        <v>Abrir facsímil</v>
      </c>
      <c r="K4270" s="3" t="s">
        <v>74</v>
      </c>
    </row>
    <row r="4271" spans="1:11" ht="42" customHeight="1">
      <c r="A4271" s="2" t="s">
        <v>10594</v>
      </c>
      <c r="B4271" s="2" t="s">
        <v>10595</v>
      </c>
      <c r="C4271" s="2" t="s">
        <v>195</v>
      </c>
      <c r="D4271" s="2" t="s">
        <v>50</v>
      </c>
      <c r="E4271" s="5">
        <v>-30874</v>
      </c>
      <c r="F4271" s="3" t="s">
        <v>208</v>
      </c>
      <c r="G4271" s="3" t="s">
        <v>38</v>
      </c>
      <c r="H4271" s="2" t="s">
        <v>72</v>
      </c>
      <c r="I4271" s="2" t="s">
        <v>10596</v>
      </c>
      <c r="J4271" s="3" t="str">
        <f>HYPERLINK("https://www.boe.es/gazeta/dias/1815/06/20/pdfs/GMD-1815-74.pdf#page=8","Abrir facsímil")</f>
        <v>Abrir facsímil</v>
      </c>
      <c r="K4271" s="3" t="s">
        <v>74</v>
      </c>
    </row>
    <row r="4272" spans="1:11" ht="42" customHeight="1">
      <c r="A4272" s="2" t="s">
        <v>10597</v>
      </c>
      <c r="B4272" s="2" t="s">
        <v>10598</v>
      </c>
      <c r="C4272" s="2" t="s">
        <v>31</v>
      </c>
      <c r="D4272" s="2" t="s">
        <v>32</v>
      </c>
      <c r="E4272" s="5">
        <v>-30963</v>
      </c>
      <c r="F4272" s="3" t="s">
        <v>879</v>
      </c>
      <c r="G4272" s="3" t="s">
        <v>71</v>
      </c>
      <c r="H4272" s="2" t="s">
        <v>72</v>
      </c>
      <c r="I4272" s="2" t="s">
        <v>10599</v>
      </c>
      <c r="J4272" s="3" t="str">
        <f>HYPERLINK("https://www.boe.es/gazeta/dias/1815/03/23/pdfs/GMD-1815-35.pdf#page=7","Abrir facsímil")</f>
        <v>Abrir facsímil</v>
      </c>
      <c r="K4272" s="3" t="s">
        <v>74</v>
      </c>
    </row>
    <row r="4273" spans="1:11" ht="42" customHeight="1">
      <c r="A4273" s="2" t="s">
        <v>10600</v>
      </c>
      <c r="B4273" s="2" t="s">
        <v>10601</v>
      </c>
      <c r="C4273" s="2" t="s">
        <v>31</v>
      </c>
      <c r="D4273" s="2" t="s">
        <v>32</v>
      </c>
      <c r="E4273" s="5">
        <v>-30753</v>
      </c>
      <c r="F4273" s="3" t="s">
        <v>1635</v>
      </c>
      <c r="G4273" s="3" t="s">
        <v>38</v>
      </c>
      <c r="H4273" s="2" t="s">
        <v>72</v>
      </c>
      <c r="I4273" s="2" t="s">
        <v>10602</v>
      </c>
      <c r="J4273" s="3" t="str">
        <f>HYPERLINK("https://www.boe.es/gazeta/dias/1815/10/19/pdfs/GMD-1815-131.pdf#page=8","Abrir facsímil")</f>
        <v>Abrir facsímil</v>
      </c>
      <c r="K4273" s="3" t="s">
        <v>74</v>
      </c>
    </row>
    <row r="4274" spans="1:11" ht="42" customHeight="1">
      <c r="A4274" s="2" t="s">
        <v>10603</v>
      </c>
      <c r="B4274" s="2" t="s">
        <v>10604</v>
      </c>
      <c r="C4274" s="2" t="s">
        <v>31</v>
      </c>
      <c r="D4274" s="2" t="s">
        <v>32</v>
      </c>
      <c r="E4274" s="5">
        <v>-31038</v>
      </c>
      <c r="F4274" s="3" t="s">
        <v>395</v>
      </c>
      <c r="G4274" s="3" t="s">
        <v>396</v>
      </c>
      <c r="H4274" s="2" t="s">
        <v>72</v>
      </c>
      <c r="I4274" s="2" t="s">
        <v>10605</v>
      </c>
      <c r="J4274" s="3" t="str">
        <f>HYPERLINK("https://www.boe.es/gazeta/dias/1815/01/07/pdfs/GMD-1815-3.pdf#page=5","Abrir facsímil")</f>
        <v>Abrir facsímil</v>
      </c>
      <c r="K4274" s="3" t="s">
        <v>74</v>
      </c>
    </row>
    <row r="4275" spans="1:11" ht="42" customHeight="1">
      <c r="A4275" s="2" t="s">
        <v>10606</v>
      </c>
      <c r="B4275" s="2" t="s">
        <v>10607</v>
      </c>
      <c r="C4275" s="2" t="s">
        <v>17</v>
      </c>
      <c r="D4275" s="2" t="s">
        <v>18</v>
      </c>
      <c r="E4275" s="5">
        <v>-30739</v>
      </c>
      <c r="F4275" s="3" t="s">
        <v>254</v>
      </c>
      <c r="G4275" s="3" t="s">
        <v>88</v>
      </c>
      <c r="H4275" s="2" t="s">
        <v>21</v>
      </c>
      <c r="I4275" s="2" t="s">
        <v>10608</v>
      </c>
      <c r="J4275" s="3" t="str">
        <f>HYPERLINK("https://www.boe.es/gazeta/dias/1815/11/02/pdfs/GMD-1815-137.pdf#page=10","Abrir facsímil")</f>
        <v>Abrir facsímil</v>
      </c>
      <c r="K4275" s="3" t="s">
        <v>23</v>
      </c>
    </row>
    <row r="4276" spans="1:11" ht="42" customHeight="1">
      <c r="A4276" s="2" t="s">
        <v>10609</v>
      </c>
      <c r="B4276" s="2" t="s">
        <v>10610</v>
      </c>
      <c r="C4276" s="2" t="s">
        <v>17</v>
      </c>
      <c r="D4276" s="2" t="s">
        <v>18</v>
      </c>
      <c r="E4276" s="5">
        <v>-30846</v>
      </c>
      <c r="F4276" s="3" t="s">
        <v>858</v>
      </c>
      <c r="G4276" s="3" t="s">
        <v>71</v>
      </c>
      <c r="H4276" s="2" t="s">
        <v>21</v>
      </c>
      <c r="I4276" s="2" t="s">
        <v>10611</v>
      </c>
      <c r="J4276" s="3" t="str">
        <f>HYPERLINK("https://www.boe.es/gazeta/dias/1815/07/18/pdfs/GMD-1815-88.pdf#page=7","Abrir facsímil")</f>
        <v>Abrir facsímil</v>
      </c>
      <c r="K4276" s="3" t="s">
        <v>23</v>
      </c>
    </row>
    <row r="4277" spans="1:11" ht="42" customHeight="1">
      <c r="A4277" s="2" t="s">
        <v>10612</v>
      </c>
      <c r="B4277" s="2" t="s">
        <v>10612</v>
      </c>
      <c r="C4277" s="2" t="s">
        <v>31</v>
      </c>
      <c r="D4277" s="2" t="s">
        <v>32</v>
      </c>
      <c r="E4277" s="5">
        <v>-30823</v>
      </c>
      <c r="F4277" s="3" t="s">
        <v>305</v>
      </c>
      <c r="G4277" s="3" t="s">
        <v>27</v>
      </c>
      <c r="H4277" s="2" t="s">
        <v>72</v>
      </c>
      <c r="I4277" s="2" t="s">
        <v>10613</v>
      </c>
      <c r="J4277" s="3" t="str">
        <f>HYPERLINK("https://www.boe.es/gazeta/dias/1815/08/10/pdfs/GMD-1815-98.pdf#page=6","Abrir facsímil")</f>
        <v>Abrir facsímil</v>
      </c>
      <c r="K4277" s="3" t="s">
        <v>74</v>
      </c>
    </row>
    <row r="4278" spans="1:11" ht="42" customHeight="1">
      <c r="A4278" s="2" t="s">
        <v>10614</v>
      </c>
      <c r="B4278" s="2" t="s">
        <v>10615</v>
      </c>
      <c r="C4278" s="2" t="s">
        <v>49</v>
      </c>
      <c r="D4278" s="2" t="s">
        <v>50</v>
      </c>
      <c r="E4278" s="5">
        <v>-30870</v>
      </c>
      <c r="F4278" s="3" t="s">
        <v>122</v>
      </c>
      <c r="G4278" s="3" t="s">
        <v>52</v>
      </c>
      <c r="H4278" s="2" t="s">
        <v>72</v>
      </c>
      <c r="I4278" s="2" t="s">
        <v>10616</v>
      </c>
      <c r="J4278" s="3" t="str">
        <f>HYPERLINK("https://www.boe.es/gazeta/dias/1815/06/24/pdfs/GMD-1815-76.pdf#page=11","Abrir facsímil")</f>
        <v>Abrir facsímil</v>
      </c>
      <c r="K4278" s="3" t="s">
        <v>74</v>
      </c>
    </row>
    <row r="4279" spans="1:11" ht="42" customHeight="1">
      <c r="A4279" s="2" t="s">
        <v>10617</v>
      </c>
      <c r="B4279" s="2" t="s">
        <v>10618</v>
      </c>
      <c r="C4279" s="2" t="s">
        <v>49</v>
      </c>
      <c r="D4279" s="2" t="s">
        <v>50</v>
      </c>
      <c r="E4279" s="5">
        <v>-30720</v>
      </c>
      <c r="F4279" s="3" t="s">
        <v>373</v>
      </c>
      <c r="G4279" s="3" t="s">
        <v>224</v>
      </c>
      <c r="H4279" s="2" t="s">
        <v>72</v>
      </c>
      <c r="I4279" s="2" t="s">
        <v>10619</v>
      </c>
      <c r="J4279" s="3" t="str">
        <f>HYPERLINK("https://www.boe.es/gazeta/dias/1815/11/21/pdfs/GMD-1815-145.pdf#page=9","Abrir facsímil")</f>
        <v>Abrir facsímil</v>
      </c>
      <c r="K4279" s="3" t="s">
        <v>74</v>
      </c>
    </row>
    <row r="4280" spans="1:11" ht="42" customHeight="1">
      <c r="A4280" s="2" t="s">
        <v>10620</v>
      </c>
      <c r="B4280" s="2" t="s">
        <v>10621</v>
      </c>
      <c r="C4280" s="2" t="s">
        <v>17</v>
      </c>
      <c r="D4280" s="2" t="s">
        <v>18</v>
      </c>
      <c r="E4280" s="5">
        <v>-30996</v>
      </c>
      <c r="F4280" s="3" t="s">
        <v>289</v>
      </c>
      <c r="G4280" s="3" t="s">
        <v>27</v>
      </c>
      <c r="H4280" s="2" t="s">
        <v>21</v>
      </c>
      <c r="I4280" s="2" t="s">
        <v>10622</v>
      </c>
      <c r="J4280" s="3" t="str">
        <f>HYPERLINK("https://www.boe.es/gazeta/dias/1815/02/18/pdfs/GMD-1815-21.pdf#page=6","Abrir facsímil")</f>
        <v>Abrir facsímil</v>
      </c>
      <c r="K4280" s="3" t="s">
        <v>23</v>
      </c>
    </row>
    <row r="4281" spans="1:11" ht="42" customHeight="1">
      <c r="A4281" s="2" t="s">
        <v>10623</v>
      </c>
      <c r="B4281" s="2" t="s">
        <v>10624</v>
      </c>
      <c r="C4281" s="2" t="s">
        <v>31</v>
      </c>
      <c r="D4281" s="2" t="s">
        <v>32</v>
      </c>
      <c r="E4281" s="5">
        <v>-31038</v>
      </c>
      <c r="F4281" s="3" t="s">
        <v>395</v>
      </c>
      <c r="G4281" s="3" t="s">
        <v>38</v>
      </c>
      <c r="H4281" s="2" t="s">
        <v>72</v>
      </c>
      <c r="I4281" s="2" t="s">
        <v>10625</v>
      </c>
      <c r="J4281" s="3" t="str">
        <f>HYPERLINK("https://www.boe.es/gazeta/dias/1815/01/07/pdfs/GMD-1815-3.pdf#page=8","Abrir facsímil")</f>
        <v>Abrir facsímil</v>
      </c>
      <c r="K4281" s="3" t="s">
        <v>74</v>
      </c>
    </row>
    <row r="4282" spans="1:11" ht="42" customHeight="1">
      <c r="A4282" s="2" t="s">
        <v>10626</v>
      </c>
      <c r="B4282" s="2" t="s">
        <v>10626</v>
      </c>
      <c r="C4282" s="2" t="s">
        <v>195</v>
      </c>
      <c r="D4282" s="2" t="s">
        <v>50</v>
      </c>
      <c r="E4282" s="5">
        <v>-30923</v>
      </c>
      <c r="F4282" s="3" t="s">
        <v>524</v>
      </c>
      <c r="G4282" s="3" t="s">
        <v>1289</v>
      </c>
      <c r="H4282" s="2" t="s">
        <v>72</v>
      </c>
      <c r="I4282" s="2" t="s">
        <v>10627</v>
      </c>
      <c r="J4282" s="3" t="str">
        <f>HYPERLINK("https://www.boe.es/gazeta/dias/1815/05/02/pdfs/GMD-1815-53.pdf#page=11","Abrir facsímil")</f>
        <v>Abrir facsímil</v>
      </c>
      <c r="K4282" s="3" t="s">
        <v>74</v>
      </c>
    </row>
    <row r="4283" spans="1:11" ht="42" customHeight="1">
      <c r="A4283" s="2" t="s">
        <v>10628</v>
      </c>
      <c r="B4283" s="2" t="s">
        <v>10629</v>
      </c>
      <c r="C4283" s="2" t="s">
        <v>49</v>
      </c>
      <c r="D4283" s="2" t="s">
        <v>50</v>
      </c>
      <c r="E4283" s="5">
        <v>-30865</v>
      </c>
      <c r="F4283" s="3" t="s">
        <v>163</v>
      </c>
      <c r="G4283" s="3" t="s">
        <v>27</v>
      </c>
      <c r="H4283" s="2" t="s">
        <v>72</v>
      </c>
      <c r="I4283" s="2" t="s">
        <v>10630</v>
      </c>
      <c r="J4283" s="3" t="str">
        <f>HYPERLINK("https://www.boe.es/gazeta/dias/1815/06/29/pdfs/GMD-1815-78.pdf#page=6","Abrir facsímil")</f>
        <v>Abrir facsímil</v>
      </c>
      <c r="K4283" s="3" t="s">
        <v>74</v>
      </c>
    </row>
    <row r="4284" spans="1:11" ht="42" customHeight="1">
      <c r="A4284" s="2" t="s">
        <v>10631</v>
      </c>
      <c r="B4284" s="2" t="s">
        <v>10632</v>
      </c>
      <c r="C4284" s="2" t="s">
        <v>17</v>
      </c>
      <c r="D4284" s="2" t="s">
        <v>18</v>
      </c>
      <c r="E4284" s="5">
        <v>-30865</v>
      </c>
      <c r="F4284" s="3" t="s">
        <v>163</v>
      </c>
      <c r="G4284" s="3" t="s">
        <v>71</v>
      </c>
      <c r="H4284" s="2" t="s">
        <v>72</v>
      </c>
      <c r="I4284" s="2" t="s">
        <v>10633</v>
      </c>
      <c r="J4284" s="3" t="str">
        <f>HYPERLINK("https://www.boe.es/gazeta/dias/1815/06/29/pdfs/GMD-1815-78.pdf#page=7","Abrir facsímil")</f>
        <v>Abrir facsímil</v>
      </c>
      <c r="K4284" s="3" t="s">
        <v>74</v>
      </c>
    </row>
    <row r="4285" spans="1:11" ht="42" customHeight="1">
      <c r="A4285" s="2" t="s">
        <v>10634</v>
      </c>
      <c r="B4285" s="2" t="s">
        <v>10635</v>
      </c>
      <c r="C4285" s="2" t="s">
        <v>195</v>
      </c>
      <c r="D4285" s="2" t="s">
        <v>50</v>
      </c>
      <c r="E4285" s="5">
        <v>-30991</v>
      </c>
      <c r="F4285" s="3" t="s">
        <v>318</v>
      </c>
      <c r="G4285" s="3" t="s">
        <v>319</v>
      </c>
      <c r="H4285" s="2" t="s">
        <v>72</v>
      </c>
      <c r="I4285" s="2" t="s">
        <v>10636</v>
      </c>
      <c r="J4285" s="3" t="str">
        <f>HYPERLINK("https://www.boe.es/gazeta/dias/1815/02/23/pdfs/GMD-1815-23.pdf#page=6","Abrir facsímil")</f>
        <v>Abrir facsímil</v>
      </c>
      <c r="K4285" s="3" t="s">
        <v>74</v>
      </c>
    </row>
    <row r="4286" spans="1:11" ht="42" customHeight="1">
      <c r="A4286" s="2" t="s">
        <v>10637</v>
      </c>
      <c r="B4286" s="2" t="s">
        <v>10638</v>
      </c>
      <c r="C4286" s="2" t="s">
        <v>49</v>
      </c>
      <c r="D4286" s="2" t="s">
        <v>50</v>
      </c>
      <c r="E4286" s="5">
        <v>-30865</v>
      </c>
      <c r="F4286" s="3" t="s">
        <v>163</v>
      </c>
      <c r="G4286" s="3" t="s">
        <v>71</v>
      </c>
      <c r="H4286" s="2" t="s">
        <v>72</v>
      </c>
      <c r="I4286" s="2" t="s">
        <v>10639</v>
      </c>
      <c r="J4286" s="3" t="str">
        <f>HYPERLINK("https://www.boe.es/gazeta/dias/1815/06/29/pdfs/GMD-1815-78.pdf#page=7","Abrir facsímil")</f>
        <v>Abrir facsímil</v>
      </c>
      <c r="K4286" s="3" t="s">
        <v>74</v>
      </c>
    </row>
    <row r="4287" spans="1:11" ht="42" customHeight="1">
      <c r="A4287" s="2" t="s">
        <v>10640</v>
      </c>
      <c r="B4287" s="2" t="s">
        <v>10641</v>
      </c>
      <c r="C4287" s="2" t="s">
        <v>49</v>
      </c>
      <c r="D4287" s="2" t="s">
        <v>50</v>
      </c>
      <c r="E4287" s="5">
        <v>-30865</v>
      </c>
      <c r="F4287" s="3" t="s">
        <v>163</v>
      </c>
      <c r="G4287" s="3" t="s">
        <v>27</v>
      </c>
      <c r="H4287" s="2" t="s">
        <v>72</v>
      </c>
      <c r="I4287" s="2" t="s">
        <v>10642</v>
      </c>
      <c r="J4287" s="3" t="str">
        <f>HYPERLINK("https://www.boe.es/gazeta/dias/1815/06/29/pdfs/GMD-1815-78.pdf#page=6","Abrir facsímil")</f>
        <v>Abrir facsímil</v>
      </c>
      <c r="K4287" s="3" t="s">
        <v>74</v>
      </c>
    </row>
    <row r="4288" spans="1:11" ht="42" customHeight="1">
      <c r="A4288" s="2" t="s">
        <v>10643</v>
      </c>
      <c r="B4288" s="2" t="s">
        <v>10644</v>
      </c>
      <c r="C4288" s="2" t="s">
        <v>61</v>
      </c>
      <c r="D4288" s="2" t="s">
        <v>50</v>
      </c>
      <c r="E4288" s="5">
        <v>-30849</v>
      </c>
      <c r="F4288" s="3" t="s">
        <v>501</v>
      </c>
      <c r="G4288" s="3" t="s">
        <v>276</v>
      </c>
      <c r="H4288" s="2" t="s">
        <v>72</v>
      </c>
      <c r="I4288" s="2" t="s">
        <v>10645</v>
      </c>
      <c r="J4288" s="3" t="str">
        <f>HYPERLINK("https://www.boe.es/gazeta/dias/1815/07/15/pdfs/GMD-1815-87.pdf#page=12","Abrir facsímil")</f>
        <v>Abrir facsímil</v>
      </c>
      <c r="K4288" s="3" t="s">
        <v>74</v>
      </c>
    </row>
    <row r="4289" spans="1:11" ht="42" customHeight="1">
      <c r="A4289" s="2" t="s">
        <v>10646</v>
      </c>
      <c r="B4289" s="2" t="s">
        <v>10647</v>
      </c>
      <c r="C4289" s="2" t="s">
        <v>31</v>
      </c>
      <c r="D4289" s="2" t="s">
        <v>32</v>
      </c>
      <c r="E4289" s="5">
        <v>-30697</v>
      </c>
      <c r="F4289" s="3" t="s">
        <v>381</v>
      </c>
      <c r="G4289" s="3" t="s">
        <v>5896</v>
      </c>
      <c r="H4289" s="2" t="s">
        <v>72</v>
      </c>
      <c r="I4289" s="2" t="s">
        <v>10648</v>
      </c>
      <c r="J4289" s="3" t="str">
        <f>HYPERLINK("https://www.boe.es/gazeta/dias/1815/12/14/pdfs/GMD-1815-155.pdf#page=6","Abrir facsímil")</f>
        <v>Abrir facsímil</v>
      </c>
      <c r="K4289" s="3" t="s">
        <v>74</v>
      </c>
    </row>
    <row r="4290" spans="1:11" ht="42" customHeight="1">
      <c r="A4290" s="2" t="s">
        <v>10649</v>
      </c>
      <c r="B4290" s="2" t="s">
        <v>10650</v>
      </c>
      <c r="C4290" s="2" t="s">
        <v>49</v>
      </c>
      <c r="D4290" s="2" t="s">
        <v>50</v>
      </c>
      <c r="E4290" s="5">
        <v>-30886</v>
      </c>
      <c r="F4290" s="3" t="s">
        <v>140</v>
      </c>
      <c r="G4290" s="3" t="s">
        <v>224</v>
      </c>
      <c r="H4290" s="2" t="s">
        <v>72</v>
      </c>
      <c r="I4290" s="2" t="s">
        <v>10651</v>
      </c>
      <c r="J4290" s="3" t="str">
        <f>HYPERLINK("https://www.boe.es/gazeta/dias/1815/06/08/pdfs/GMD-1815-69.pdf#page=9","Abrir facsímil")</f>
        <v>Abrir facsímil</v>
      </c>
      <c r="K4290" s="3" t="s">
        <v>74</v>
      </c>
    </row>
    <row r="4291" spans="1:11" ht="42" customHeight="1">
      <c r="A4291" s="2" t="s">
        <v>10652</v>
      </c>
      <c r="B4291" s="2" t="s">
        <v>10653</v>
      </c>
      <c r="C4291" s="2" t="s">
        <v>17</v>
      </c>
      <c r="D4291" s="2" t="s">
        <v>18</v>
      </c>
      <c r="E4291" s="5">
        <v>-30982</v>
      </c>
      <c r="F4291" s="3" t="s">
        <v>220</v>
      </c>
      <c r="G4291" s="3" t="s">
        <v>57</v>
      </c>
      <c r="H4291" s="2" t="s">
        <v>72</v>
      </c>
      <c r="I4291" s="2" t="s">
        <v>10654</v>
      </c>
      <c r="J4291" s="3" t="str">
        <f>HYPERLINK("https://www.boe.es/gazeta/dias/1815/03/04/pdfs/GMD-1815-27.pdf#page=5","Abrir facsímil")</f>
        <v>Abrir facsímil</v>
      </c>
      <c r="K4291" s="3" t="s">
        <v>74</v>
      </c>
    </row>
    <row r="4292" spans="1:11" ht="42" customHeight="1">
      <c r="A4292" s="2" t="s">
        <v>10655</v>
      </c>
      <c r="B4292" s="2" t="s">
        <v>10656</v>
      </c>
      <c r="C4292" s="2" t="s">
        <v>49</v>
      </c>
      <c r="D4292" s="2" t="s">
        <v>50</v>
      </c>
      <c r="E4292" s="5">
        <v>-30865</v>
      </c>
      <c r="F4292" s="3" t="s">
        <v>163</v>
      </c>
      <c r="G4292" s="3" t="s">
        <v>71</v>
      </c>
      <c r="H4292" s="2" t="s">
        <v>72</v>
      </c>
      <c r="I4292" s="2" t="s">
        <v>10657</v>
      </c>
      <c r="J4292" s="3" t="str">
        <f>HYPERLINK("https://www.boe.es/gazeta/dias/1815/06/29/pdfs/GMD-1815-78.pdf#page=7","Abrir facsímil")</f>
        <v>Abrir facsímil</v>
      </c>
      <c r="K4292" s="3" t="s">
        <v>74</v>
      </c>
    </row>
    <row r="4293" spans="1:11" ht="42" customHeight="1">
      <c r="A4293" s="2" t="s">
        <v>10658</v>
      </c>
      <c r="B4293" s="2" t="s">
        <v>10659</v>
      </c>
      <c r="C4293" s="2" t="s">
        <v>31</v>
      </c>
      <c r="D4293" s="2" t="s">
        <v>179</v>
      </c>
      <c r="E4293" s="5">
        <v>-30860</v>
      </c>
      <c r="F4293" s="3" t="s">
        <v>180</v>
      </c>
      <c r="G4293" s="3" t="s">
        <v>2026</v>
      </c>
      <c r="H4293" s="2" t="s">
        <v>21</v>
      </c>
      <c r="I4293" s="2" t="s">
        <v>10660</v>
      </c>
      <c r="J4293" s="3" t="str">
        <f>HYPERLINK("https://www.boe.es/gazeta/dias/1815/07/04/pdfs/GMD-1815-82E.pdf#page=5","Abrir facsímil")</f>
        <v>Abrir facsímil</v>
      </c>
      <c r="K4293" s="3" t="s">
        <v>23</v>
      </c>
    </row>
    <row r="4294" spans="1:11" ht="42" customHeight="1">
      <c r="A4294" s="2" t="s">
        <v>10661</v>
      </c>
      <c r="B4294" s="2" t="s">
        <v>10662</v>
      </c>
      <c r="C4294" s="2" t="s">
        <v>31</v>
      </c>
      <c r="D4294" s="2" t="s">
        <v>32</v>
      </c>
      <c r="E4294" s="5">
        <v>-30767</v>
      </c>
      <c r="F4294" s="3" t="s">
        <v>228</v>
      </c>
      <c r="G4294" s="3" t="s">
        <v>224</v>
      </c>
      <c r="H4294" s="2" t="s">
        <v>72</v>
      </c>
      <c r="I4294" s="2" t="s">
        <v>10663</v>
      </c>
      <c r="J4294" s="3" t="str">
        <f>HYPERLINK("https://www.boe.es/gazeta/dias/1815/10/05/pdfs/GMD-1815-125.pdf#page=9","Abrir facsímil")</f>
        <v>Abrir facsímil</v>
      </c>
      <c r="K4294" s="3" t="s">
        <v>74</v>
      </c>
    </row>
    <row r="4295" spans="1:11" ht="42" customHeight="1">
      <c r="A4295" s="2" t="s">
        <v>10664</v>
      </c>
      <c r="B4295" s="2" t="s">
        <v>10664</v>
      </c>
      <c r="C4295" s="2" t="s">
        <v>31</v>
      </c>
      <c r="D4295" s="2" t="s">
        <v>32</v>
      </c>
      <c r="E4295" s="5">
        <v>-30716</v>
      </c>
      <c r="F4295" s="3" t="s">
        <v>589</v>
      </c>
      <c r="G4295" s="3" t="s">
        <v>377</v>
      </c>
      <c r="H4295" s="2" t="s">
        <v>72</v>
      </c>
      <c r="I4295" s="2" t="s">
        <v>10665</v>
      </c>
      <c r="J4295" s="3" t="str">
        <f>HYPERLINK("https://www.boe.es/gazeta/dias/1815/11/25/pdfs/GMD-1815-147.pdf#page=2","Abrir facsímil")</f>
        <v>Abrir facsímil</v>
      </c>
      <c r="K4295" s="3" t="s">
        <v>74</v>
      </c>
    </row>
    <row r="4296" spans="1:11" ht="42" customHeight="1">
      <c r="A4296" s="2" t="s">
        <v>10666</v>
      </c>
      <c r="B4296" s="2" t="s">
        <v>10667</v>
      </c>
      <c r="C4296" s="2" t="s">
        <v>31</v>
      </c>
      <c r="D4296" s="2" t="s">
        <v>179</v>
      </c>
      <c r="E4296" s="5">
        <v>-30775</v>
      </c>
      <c r="F4296" s="3" t="s">
        <v>2741</v>
      </c>
      <c r="G4296" s="3" t="s">
        <v>410</v>
      </c>
      <c r="H4296" s="2" t="s">
        <v>72</v>
      </c>
      <c r="I4296" s="2" t="s">
        <v>10668</v>
      </c>
      <c r="J4296" s="3" t="str">
        <f>HYPERLINK("https://www.boe.es/gazeta/dias/1815/09/27/pdfs/GMD-1815-120E.pdf#page=1","Abrir facsímil")</f>
        <v>Abrir facsímil</v>
      </c>
      <c r="K4296" s="3" t="s">
        <v>74</v>
      </c>
    </row>
    <row r="4297" spans="1:11" ht="42" customHeight="1">
      <c r="A4297" s="2" t="s">
        <v>10669</v>
      </c>
      <c r="B4297" s="2" t="s">
        <v>10670</v>
      </c>
      <c r="C4297" s="2" t="s">
        <v>31</v>
      </c>
      <c r="D4297" s="2" t="s">
        <v>32</v>
      </c>
      <c r="E4297" s="5">
        <v>-30774</v>
      </c>
      <c r="F4297" s="3" t="s">
        <v>1143</v>
      </c>
      <c r="G4297" s="3" t="s">
        <v>4580</v>
      </c>
      <c r="H4297" s="2" t="s">
        <v>72</v>
      </c>
      <c r="I4297" s="2" t="s">
        <v>10671</v>
      </c>
      <c r="J4297" s="3" t="str">
        <f>HYPERLINK("https://www.boe.es/gazeta/dias/1815/09/28/pdfs/GMD-1815-121.pdf#page=6","Abrir facsímil")</f>
        <v>Abrir facsímil</v>
      </c>
      <c r="K4297" s="3" t="s">
        <v>74</v>
      </c>
    </row>
    <row r="4298" spans="1:11" ht="42" customHeight="1">
      <c r="A4298" s="2" t="s">
        <v>10669</v>
      </c>
      <c r="B4298" s="2" t="s">
        <v>10670</v>
      </c>
      <c r="C4298" s="2" t="s">
        <v>49</v>
      </c>
      <c r="D4298" s="2" t="s">
        <v>50</v>
      </c>
      <c r="E4298" s="5">
        <v>-30741</v>
      </c>
      <c r="F4298" s="3" t="s">
        <v>1000</v>
      </c>
      <c r="G4298" s="3" t="s">
        <v>71</v>
      </c>
      <c r="H4298" s="2" t="s">
        <v>72</v>
      </c>
      <c r="I4298" s="2" t="s">
        <v>10672</v>
      </c>
      <c r="J4298" s="3" t="str">
        <f>HYPERLINK("https://www.boe.es/gazeta/dias/1815/10/31/pdfs/GMD-1815-136.pdf#page=7","Abrir facsímil")</f>
        <v>Abrir facsímil</v>
      </c>
      <c r="K4298" s="3" t="s">
        <v>74</v>
      </c>
    </row>
    <row r="4299" spans="1:11" ht="42" customHeight="1">
      <c r="A4299" s="2" t="s">
        <v>10673</v>
      </c>
      <c r="B4299" s="2" t="s">
        <v>10674</v>
      </c>
      <c r="C4299" s="2" t="s">
        <v>49</v>
      </c>
      <c r="D4299" s="2" t="s">
        <v>50</v>
      </c>
      <c r="E4299" s="5">
        <v>-30807</v>
      </c>
      <c r="F4299" s="3" t="s">
        <v>586</v>
      </c>
      <c r="G4299" s="3" t="s">
        <v>27</v>
      </c>
      <c r="H4299" s="2" t="s">
        <v>72</v>
      </c>
      <c r="I4299" s="2" t="s">
        <v>10675</v>
      </c>
      <c r="J4299" s="3" t="str">
        <f>HYPERLINK("https://www.boe.es/gazeta/dias/1815/08/26/pdfs/GMD-1815-105.pdf#page=6","Abrir facsímil")</f>
        <v>Abrir facsímil</v>
      </c>
      <c r="K4299" s="3" t="s">
        <v>74</v>
      </c>
    </row>
    <row r="4300" spans="1:11" ht="42" customHeight="1">
      <c r="A4300" s="2" t="s">
        <v>10676</v>
      </c>
      <c r="B4300" s="2" t="s">
        <v>10677</v>
      </c>
      <c r="C4300" s="2" t="s">
        <v>31</v>
      </c>
      <c r="D4300" s="2" t="s">
        <v>32</v>
      </c>
      <c r="E4300" s="5">
        <v>-30807</v>
      </c>
      <c r="F4300" s="3" t="s">
        <v>586</v>
      </c>
      <c r="G4300" s="3" t="s">
        <v>662</v>
      </c>
      <c r="H4300" s="2" t="s">
        <v>72</v>
      </c>
      <c r="I4300" s="2" t="s">
        <v>10678</v>
      </c>
      <c r="J4300" s="3" t="str">
        <f>HYPERLINK("https://www.boe.es/gazeta/dias/1815/08/26/pdfs/GMD-1815-105.pdf#page=7","Abrir facsímil")</f>
        <v>Abrir facsímil</v>
      </c>
      <c r="K4300" s="3" t="s">
        <v>74</v>
      </c>
    </row>
    <row r="4301" spans="1:11" ht="42" customHeight="1">
      <c r="A4301" s="2" t="s">
        <v>10679</v>
      </c>
      <c r="B4301" s="2" t="s">
        <v>10680</v>
      </c>
      <c r="C4301" s="2" t="s">
        <v>894</v>
      </c>
      <c r="D4301" s="2" t="s">
        <v>18</v>
      </c>
      <c r="E4301" s="5">
        <v>-30825</v>
      </c>
      <c r="F4301" s="3" t="s">
        <v>669</v>
      </c>
      <c r="G4301" s="3" t="s">
        <v>88</v>
      </c>
      <c r="H4301" s="2" t="s">
        <v>72</v>
      </c>
      <c r="I4301" s="2" t="s">
        <v>10681</v>
      </c>
      <c r="J4301" s="3" t="str">
        <f>HYPERLINK("https://www.boe.es/gazeta/dias/1815/08/08/pdfs/GMD-1815-97.pdf#page=10","Abrir facsímil")</f>
        <v>Abrir facsímil</v>
      </c>
      <c r="K4301" s="3" t="s">
        <v>74</v>
      </c>
    </row>
    <row r="4302" spans="1:11" ht="42" customHeight="1">
      <c r="A4302" s="2" t="s">
        <v>10682</v>
      </c>
      <c r="B4302" s="2" t="s">
        <v>10683</v>
      </c>
      <c r="C4302" s="2" t="s">
        <v>49</v>
      </c>
      <c r="D4302" s="2" t="s">
        <v>50</v>
      </c>
      <c r="E4302" s="5">
        <v>-30865</v>
      </c>
      <c r="F4302" s="3" t="s">
        <v>163</v>
      </c>
      <c r="G4302" s="3" t="s">
        <v>27</v>
      </c>
      <c r="H4302" s="2" t="s">
        <v>72</v>
      </c>
      <c r="I4302" s="2" t="s">
        <v>10684</v>
      </c>
      <c r="J4302" s="3" t="str">
        <f>HYPERLINK("https://www.boe.es/gazeta/dias/1815/06/29/pdfs/GMD-1815-78.pdf#page=6","Abrir facsímil")</f>
        <v>Abrir facsímil</v>
      </c>
      <c r="K4302" s="3" t="s">
        <v>74</v>
      </c>
    </row>
    <row r="4303" spans="1:11" ht="42" customHeight="1">
      <c r="A4303" s="2" t="s">
        <v>10685</v>
      </c>
      <c r="B4303" s="2" t="s">
        <v>10686</v>
      </c>
      <c r="C4303" s="2" t="s">
        <v>61</v>
      </c>
      <c r="D4303" s="2" t="s">
        <v>50</v>
      </c>
      <c r="E4303" s="5">
        <v>-30944</v>
      </c>
      <c r="F4303" s="3" t="s">
        <v>412</v>
      </c>
      <c r="G4303" s="3" t="s">
        <v>38</v>
      </c>
      <c r="H4303" s="2" t="s">
        <v>72</v>
      </c>
      <c r="I4303" s="2" t="s">
        <v>10687</v>
      </c>
      <c r="J4303" s="3" t="str">
        <f>HYPERLINK("https://www.boe.es/gazeta/dias/1815/04/11/pdfs/GMD-1815-44.pdf#page=8","Abrir facsímil")</f>
        <v>Abrir facsímil</v>
      </c>
      <c r="K4303" s="3" t="s">
        <v>74</v>
      </c>
    </row>
    <row r="4304" spans="1:11" ht="42" customHeight="1">
      <c r="A4304" s="2" t="s">
        <v>10688</v>
      </c>
      <c r="B4304" s="2" t="s">
        <v>10689</v>
      </c>
      <c r="C4304" s="2" t="s">
        <v>31</v>
      </c>
      <c r="D4304" s="2" t="s">
        <v>32</v>
      </c>
      <c r="E4304" s="5">
        <v>-30716</v>
      </c>
      <c r="F4304" s="3" t="s">
        <v>589</v>
      </c>
      <c r="G4304" s="3" t="s">
        <v>20</v>
      </c>
      <c r="H4304" s="2" t="s">
        <v>72</v>
      </c>
      <c r="I4304" s="2" t="s">
        <v>10690</v>
      </c>
      <c r="J4304" s="3" t="str">
        <f>HYPERLINK("https://www.boe.es/gazeta/dias/1815/11/25/pdfs/GMD-1815-147.pdf#page=4","Abrir facsímil")</f>
        <v>Abrir facsímil</v>
      </c>
      <c r="K4304" s="3" t="s">
        <v>74</v>
      </c>
    </row>
    <row r="4305" spans="1:11" ht="42" customHeight="1">
      <c r="A4305" s="2" t="s">
        <v>10691</v>
      </c>
      <c r="B4305" s="2" t="s">
        <v>10692</v>
      </c>
      <c r="C4305" s="2" t="s">
        <v>17</v>
      </c>
      <c r="D4305" s="2" t="s">
        <v>18</v>
      </c>
      <c r="E4305" s="5">
        <v>-30942</v>
      </c>
      <c r="F4305" s="3" t="s">
        <v>730</v>
      </c>
      <c r="G4305" s="3" t="s">
        <v>71</v>
      </c>
      <c r="H4305" s="2" t="s">
        <v>72</v>
      </c>
      <c r="I4305" s="2" t="s">
        <v>10693</v>
      </c>
      <c r="J4305" s="3" t="str">
        <f>HYPERLINK("https://www.boe.es/gazeta/dias/1815/04/13/pdfs/GMD-1815-45.pdf#page=7","Abrir facsímil")</f>
        <v>Abrir facsímil</v>
      </c>
      <c r="K4305" s="3" t="s">
        <v>74</v>
      </c>
    </row>
    <row r="4306" spans="1:11" ht="42" customHeight="1">
      <c r="A4306" s="2" t="s">
        <v>10694</v>
      </c>
      <c r="B4306" s="2" t="s">
        <v>10695</v>
      </c>
      <c r="C4306" s="2" t="s">
        <v>17</v>
      </c>
      <c r="D4306" s="2" t="s">
        <v>18</v>
      </c>
      <c r="E4306" s="5">
        <v>-30818</v>
      </c>
      <c r="F4306" s="3" t="s">
        <v>334</v>
      </c>
      <c r="G4306" s="3" t="s">
        <v>52</v>
      </c>
      <c r="H4306" s="2" t="s">
        <v>72</v>
      </c>
      <c r="I4306" s="2" t="s">
        <v>10696</v>
      </c>
      <c r="J4306" s="3" t="str">
        <f>HYPERLINK("https://www.boe.es/gazeta/dias/1815/08/15/pdfs/GMD-1815-100.pdf#page=11","Abrir facsímil")</f>
        <v>Abrir facsímil</v>
      </c>
      <c r="K4306" s="3" t="s">
        <v>74</v>
      </c>
    </row>
    <row r="4307" spans="1:11" ht="42" customHeight="1">
      <c r="A4307" s="2" t="s">
        <v>10697</v>
      </c>
      <c r="B4307" s="2" t="s">
        <v>10698</v>
      </c>
      <c r="C4307" s="2" t="s">
        <v>31</v>
      </c>
      <c r="D4307" s="2" t="s">
        <v>32</v>
      </c>
      <c r="E4307" s="5">
        <v>-30716</v>
      </c>
      <c r="F4307" s="3" t="s">
        <v>589</v>
      </c>
      <c r="G4307" s="3" t="s">
        <v>20</v>
      </c>
      <c r="H4307" s="2" t="s">
        <v>72</v>
      </c>
      <c r="I4307" s="2" t="s">
        <v>10699</v>
      </c>
      <c r="J4307" s="3" t="str">
        <f>HYPERLINK("https://www.boe.es/gazeta/dias/1815/11/25/pdfs/GMD-1815-147.pdf#page=4","Abrir facsímil")</f>
        <v>Abrir facsímil</v>
      </c>
      <c r="K4307" s="3" t="s">
        <v>74</v>
      </c>
    </row>
    <row r="4308" spans="1:11" ht="42" customHeight="1">
      <c r="A4308" s="2" t="s">
        <v>10700</v>
      </c>
      <c r="B4308" s="2" t="s">
        <v>10700</v>
      </c>
      <c r="C4308" s="2" t="s">
        <v>31</v>
      </c>
      <c r="D4308" s="2" t="s">
        <v>32</v>
      </c>
      <c r="E4308" s="5">
        <v>-30849</v>
      </c>
      <c r="F4308" s="3" t="s">
        <v>501</v>
      </c>
      <c r="G4308" s="3" t="s">
        <v>88</v>
      </c>
      <c r="H4308" s="2" t="s">
        <v>72</v>
      </c>
      <c r="I4308" s="2" t="s">
        <v>10701</v>
      </c>
      <c r="J4308" s="3" t="str">
        <f>HYPERLINK("https://www.boe.es/gazeta/dias/1815/07/15/pdfs/GMD-1815-87.pdf#page=10","Abrir facsímil")</f>
        <v>Abrir facsímil</v>
      </c>
      <c r="K4308" s="3" t="s">
        <v>74</v>
      </c>
    </row>
    <row r="4309" spans="1:11" ht="42" customHeight="1">
      <c r="A4309" s="2" t="s">
        <v>10702</v>
      </c>
      <c r="B4309" s="2" t="s">
        <v>10703</v>
      </c>
      <c r="C4309" s="2" t="s">
        <v>17</v>
      </c>
      <c r="D4309" s="2" t="s">
        <v>18</v>
      </c>
      <c r="E4309" s="5">
        <v>-30968</v>
      </c>
      <c r="F4309" s="3" t="s">
        <v>2695</v>
      </c>
      <c r="G4309" s="3" t="s">
        <v>52</v>
      </c>
      <c r="H4309" s="2" t="s">
        <v>72</v>
      </c>
      <c r="I4309" s="2" t="s">
        <v>10704</v>
      </c>
      <c r="J4309" s="3" t="str">
        <f>HYPERLINK("https://www.boe.es/gazeta/dias/1815/03/18/pdfs/GMD-1815-33.pdf#page=11","Abrir facsímil")</f>
        <v>Abrir facsímil</v>
      </c>
      <c r="K4309" s="3" t="s">
        <v>74</v>
      </c>
    </row>
    <row r="4310" spans="1:11" ht="42" customHeight="1">
      <c r="A4310" s="2" t="s">
        <v>10705</v>
      </c>
      <c r="B4310" s="2" t="s">
        <v>10706</v>
      </c>
      <c r="C4310" s="2" t="s">
        <v>61</v>
      </c>
      <c r="D4310" s="2" t="s">
        <v>50</v>
      </c>
      <c r="E4310" s="5">
        <v>-30940</v>
      </c>
      <c r="F4310" s="3" t="s">
        <v>610</v>
      </c>
      <c r="G4310" s="3" t="s">
        <v>71</v>
      </c>
      <c r="H4310" s="2" t="s">
        <v>72</v>
      </c>
      <c r="I4310" s="2" t="s">
        <v>10707</v>
      </c>
      <c r="J4310" s="3" t="str">
        <f>HYPERLINK("https://www.boe.es/gazeta/dias/1815/04/15/pdfs/GMD-1815-46.pdf#page=7","Abrir facsímil")</f>
        <v>Abrir facsímil</v>
      </c>
      <c r="K4310" s="3" t="s">
        <v>74</v>
      </c>
    </row>
    <row r="4311" spans="1:11" ht="42" customHeight="1">
      <c r="A4311" s="2" t="s">
        <v>10708</v>
      </c>
      <c r="B4311" s="2" t="s">
        <v>10709</v>
      </c>
      <c r="C4311" s="2" t="s">
        <v>31</v>
      </c>
      <c r="D4311" s="2" t="s">
        <v>32</v>
      </c>
      <c r="E4311" s="5">
        <v>-30835</v>
      </c>
      <c r="F4311" s="3" t="s">
        <v>544</v>
      </c>
      <c r="G4311" s="3" t="s">
        <v>38</v>
      </c>
      <c r="H4311" s="2" t="s">
        <v>72</v>
      </c>
      <c r="I4311" s="2" t="s">
        <v>10710</v>
      </c>
      <c r="J4311" s="3" t="str">
        <f>HYPERLINK("https://www.boe.es/gazeta/dias/1815/07/29/pdfs/GMD-1815-93.pdf#page=8","Abrir facsímil")</f>
        <v>Abrir facsímil</v>
      </c>
      <c r="K4311" s="3" t="s">
        <v>74</v>
      </c>
    </row>
    <row r="4312" spans="1:11" ht="42" customHeight="1">
      <c r="A4312" s="2" t="s">
        <v>10711</v>
      </c>
      <c r="B4312" s="2" t="s">
        <v>10712</v>
      </c>
      <c r="C4312" s="2" t="s">
        <v>81</v>
      </c>
      <c r="D4312" s="2" t="s">
        <v>50</v>
      </c>
      <c r="E4312" s="5">
        <v>-30930</v>
      </c>
      <c r="F4312" s="3" t="s">
        <v>51</v>
      </c>
      <c r="G4312" s="3" t="s">
        <v>52</v>
      </c>
      <c r="H4312" s="2" t="s">
        <v>21</v>
      </c>
      <c r="I4312" s="2" t="s">
        <v>10713</v>
      </c>
      <c r="J4312" s="3" t="str">
        <f>HYPERLINK("https://www.boe.es/gazeta/dias/1815/04/25/pdfs/GMD-1815-50.pdf#page=11","Abrir facsímil")</f>
        <v>Abrir facsímil</v>
      </c>
      <c r="K4312" s="3" t="s">
        <v>23</v>
      </c>
    </row>
    <row r="4313" spans="1:11" ht="42" customHeight="1">
      <c r="A4313" s="2" t="s">
        <v>10714</v>
      </c>
      <c r="B4313" s="2" t="s">
        <v>10715</v>
      </c>
      <c r="C4313" s="2" t="s">
        <v>17</v>
      </c>
      <c r="D4313" s="2" t="s">
        <v>18</v>
      </c>
      <c r="E4313" s="5">
        <v>-30720</v>
      </c>
      <c r="F4313" s="3" t="s">
        <v>373</v>
      </c>
      <c r="G4313" s="3" t="s">
        <v>52</v>
      </c>
      <c r="H4313" s="2" t="s">
        <v>72</v>
      </c>
      <c r="I4313" s="2" t="s">
        <v>10716</v>
      </c>
      <c r="J4313" s="3" t="str">
        <f>HYPERLINK("https://www.boe.es/gazeta/dias/1815/11/21/pdfs/GMD-1815-145.pdf#page=11","Abrir facsímil")</f>
        <v>Abrir facsímil</v>
      </c>
      <c r="K4313" s="3" t="s">
        <v>74</v>
      </c>
    </row>
    <row r="4314" spans="1:11" ht="42" customHeight="1">
      <c r="A4314" s="2" t="s">
        <v>10717</v>
      </c>
      <c r="B4314" s="2" t="s">
        <v>10718</v>
      </c>
      <c r="C4314" s="2" t="s">
        <v>17</v>
      </c>
      <c r="D4314" s="2" t="s">
        <v>18</v>
      </c>
      <c r="E4314" s="5">
        <v>-31000</v>
      </c>
      <c r="F4314" s="3" t="s">
        <v>70</v>
      </c>
      <c r="G4314" s="3" t="s">
        <v>71</v>
      </c>
      <c r="H4314" s="2" t="s">
        <v>72</v>
      </c>
      <c r="I4314" s="2" t="s">
        <v>10719</v>
      </c>
      <c r="J4314" s="3" t="str">
        <f>HYPERLINK("https://www.boe.es/gazeta/dias/1815/02/14/pdfs/GMD-1815-19.pdf#page=7","Abrir facsímil")</f>
        <v>Abrir facsímil</v>
      </c>
      <c r="K4314" s="3" t="s">
        <v>74</v>
      </c>
    </row>
    <row r="4315" spans="1:11" ht="42" customHeight="1">
      <c r="A4315" s="2" t="s">
        <v>10720</v>
      </c>
      <c r="B4315" s="2" t="s">
        <v>10721</v>
      </c>
      <c r="C4315" s="2" t="s">
        <v>31</v>
      </c>
      <c r="D4315" s="2" t="s">
        <v>32</v>
      </c>
      <c r="E4315" s="5">
        <v>-31038</v>
      </c>
      <c r="F4315" s="3" t="s">
        <v>395</v>
      </c>
      <c r="G4315" s="3" t="s">
        <v>396</v>
      </c>
      <c r="H4315" s="2" t="s">
        <v>72</v>
      </c>
      <c r="I4315" s="2" t="s">
        <v>10722</v>
      </c>
      <c r="J4315" s="3" t="str">
        <f>HYPERLINK("https://www.boe.es/gazeta/dias/1815/01/07/pdfs/GMD-1815-3.pdf#page=5","Abrir facsímil")</f>
        <v>Abrir facsímil</v>
      </c>
      <c r="K4315" s="3" t="s">
        <v>74</v>
      </c>
    </row>
    <row r="4316" spans="1:11" ht="42" customHeight="1">
      <c r="A4316" s="2" t="s">
        <v>10723</v>
      </c>
      <c r="B4316" s="2" t="s">
        <v>10724</v>
      </c>
      <c r="C4316" s="2" t="s">
        <v>49</v>
      </c>
      <c r="D4316" s="2" t="s">
        <v>50</v>
      </c>
      <c r="E4316" s="5">
        <v>-30825</v>
      </c>
      <c r="F4316" s="3" t="s">
        <v>669</v>
      </c>
      <c r="G4316" s="3" t="s">
        <v>88</v>
      </c>
      <c r="H4316" s="2" t="s">
        <v>72</v>
      </c>
      <c r="I4316" s="2" t="s">
        <v>10725</v>
      </c>
      <c r="J4316" s="3" t="str">
        <f>HYPERLINK("https://www.boe.es/gazeta/dias/1815/08/08/pdfs/GMD-1815-97.pdf#page=10","Abrir facsímil")</f>
        <v>Abrir facsímil</v>
      </c>
      <c r="K4316" s="3" t="s">
        <v>74</v>
      </c>
    </row>
    <row r="4317" spans="1:11" ht="42" customHeight="1">
      <c r="A4317" s="2" t="s">
        <v>10723</v>
      </c>
      <c r="B4317" s="2" t="s">
        <v>10724</v>
      </c>
      <c r="C4317" s="2" t="s">
        <v>31</v>
      </c>
      <c r="D4317" s="2" t="s">
        <v>32</v>
      </c>
      <c r="E4317" s="5">
        <v>-30818</v>
      </c>
      <c r="F4317" s="3" t="s">
        <v>334</v>
      </c>
      <c r="G4317" s="3" t="s">
        <v>38</v>
      </c>
      <c r="H4317" s="2" t="s">
        <v>72</v>
      </c>
      <c r="I4317" s="2" t="s">
        <v>10726</v>
      </c>
      <c r="J4317" s="3" t="str">
        <f>HYPERLINK("https://www.boe.es/gazeta/dias/1815/08/15/pdfs/GMD-1815-100.pdf#page=8","Abrir facsímil")</f>
        <v>Abrir facsímil</v>
      </c>
      <c r="K4317" s="3" t="s">
        <v>74</v>
      </c>
    </row>
    <row r="4318" spans="1:11" ht="42" customHeight="1">
      <c r="A4318" s="2" t="s">
        <v>10723</v>
      </c>
      <c r="B4318" s="2" t="s">
        <v>10724</v>
      </c>
      <c r="C4318" s="2" t="s">
        <v>49</v>
      </c>
      <c r="D4318" s="2" t="s">
        <v>50</v>
      </c>
      <c r="E4318" s="5">
        <v>-30767</v>
      </c>
      <c r="F4318" s="3" t="s">
        <v>228</v>
      </c>
      <c r="G4318" s="3" t="s">
        <v>88</v>
      </c>
      <c r="H4318" s="2" t="s">
        <v>72</v>
      </c>
      <c r="I4318" s="2" t="s">
        <v>10727</v>
      </c>
      <c r="J4318" s="3" t="str">
        <f>HYPERLINK("https://www.boe.es/gazeta/dias/1815/10/05/pdfs/GMD-1815-125.pdf#page=10","Abrir facsímil")</f>
        <v>Abrir facsímil</v>
      </c>
      <c r="K4318" s="3" t="s">
        <v>74</v>
      </c>
    </row>
    <row r="4319" spans="1:11" ht="42" customHeight="1">
      <c r="A4319" s="2" t="s">
        <v>10728</v>
      </c>
      <c r="B4319" s="2" t="s">
        <v>10729</v>
      </c>
      <c r="C4319" s="2" t="s">
        <v>49</v>
      </c>
      <c r="D4319" s="2" t="s">
        <v>50</v>
      </c>
      <c r="E4319" s="5">
        <v>-30886</v>
      </c>
      <c r="F4319" s="3" t="s">
        <v>140</v>
      </c>
      <c r="G4319" s="3" t="s">
        <v>88</v>
      </c>
      <c r="H4319" s="2" t="s">
        <v>72</v>
      </c>
      <c r="I4319" s="2" t="s">
        <v>10730</v>
      </c>
      <c r="J4319" s="3" t="str">
        <f>HYPERLINK("https://www.boe.es/gazeta/dias/1815/06/08/pdfs/GMD-1815-69.pdf#page=10","Abrir facsímil")</f>
        <v>Abrir facsímil</v>
      </c>
      <c r="K4319" s="3" t="s">
        <v>74</v>
      </c>
    </row>
    <row r="4320" spans="1:11" ht="42" customHeight="1">
      <c r="A4320" s="2" t="s">
        <v>10731</v>
      </c>
      <c r="B4320" s="2" t="s">
        <v>10731</v>
      </c>
      <c r="C4320" s="2" t="s">
        <v>31</v>
      </c>
      <c r="D4320" s="2" t="s">
        <v>32</v>
      </c>
      <c r="E4320" s="5">
        <v>-30933</v>
      </c>
      <c r="F4320" s="3" t="s">
        <v>725</v>
      </c>
      <c r="G4320" s="3" t="s">
        <v>377</v>
      </c>
      <c r="H4320" s="2" t="s">
        <v>72</v>
      </c>
      <c r="I4320" s="2" t="s">
        <v>10732</v>
      </c>
      <c r="J4320" s="3" t="str">
        <f>HYPERLINK("https://www.boe.es/gazeta/dias/1815/04/22/pdfs/GMD-1815-49.pdf#page=2","Abrir facsímil")</f>
        <v>Abrir facsímil</v>
      </c>
      <c r="K4320" s="3" t="s">
        <v>74</v>
      </c>
    </row>
    <row r="4321" spans="1:11" ht="42" customHeight="1">
      <c r="A4321" s="2" t="s">
        <v>10733</v>
      </c>
      <c r="B4321" s="2" t="s">
        <v>10733</v>
      </c>
      <c r="C4321" s="2" t="s">
        <v>31</v>
      </c>
      <c r="D4321" s="2" t="s">
        <v>179</v>
      </c>
      <c r="E4321" s="5">
        <v>-30860</v>
      </c>
      <c r="F4321" s="3" t="s">
        <v>180</v>
      </c>
      <c r="G4321" s="3" t="s">
        <v>2026</v>
      </c>
      <c r="H4321" s="2" t="s">
        <v>72</v>
      </c>
      <c r="I4321" s="2" t="s">
        <v>10734</v>
      </c>
      <c r="J4321" s="3" t="str">
        <f>HYPERLINK("https://www.boe.es/gazeta/dias/1815/07/04/pdfs/GMD-1815-82E.pdf#page=5","Abrir facsímil")</f>
        <v>Abrir facsímil</v>
      </c>
      <c r="K4321" s="3" t="s">
        <v>74</v>
      </c>
    </row>
    <row r="4322" spans="1:11" ht="42" customHeight="1">
      <c r="A4322" s="2" t="s">
        <v>10735</v>
      </c>
      <c r="B4322" s="2" t="s">
        <v>10736</v>
      </c>
      <c r="C4322" s="2" t="s">
        <v>17</v>
      </c>
      <c r="D4322" s="2" t="s">
        <v>18</v>
      </c>
      <c r="E4322" s="5">
        <v>-30688</v>
      </c>
      <c r="F4322" s="3" t="s">
        <v>62</v>
      </c>
      <c r="G4322" s="3" t="s">
        <v>38</v>
      </c>
      <c r="H4322" s="2" t="s">
        <v>21</v>
      </c>
      <c r="I4322" s="2" t="s">
        <v>10737</v>
      </c>
      <c r="J4322" s="3" t="str">
        <f>HYPERLINK("https://www.boe.es/gazeta/dias/1815/12/23/pdfs/GMD-1815-159.pdf#page=8","Abrir facsímil")</f>
        <v>Abrir facsímil</v>
      </c>
      <c r="K4322" s="3" t="s">
        <v>23</v>
      </c>
    </row>
    <row r="4323" spans="1:11" ht="42" customHeight="1">
      <c r="A4323" s="2" t="s">
        <v>10738</v>
      </c>
      <c r="B4323" s="2" t="s">
        <v>10739</v>
      </c>
      <c r="C4323" s="2" t="s">
        <v>31</v>
      </c>
      <c r="D4323" s="2" t="s">
        <v>32</v>
      </c>
      <c r="E4323" s="5">
        <v>-30863</v>
      </c>
      <c r="F4323" s="3" t="s">
        <v>110</v>
      </c>
      <c r="G4323" s="3" t="s">
        <v>88</v>
      </c>
      <c r="H4323" s="2" t="s">
        <v>72</v>
      </c>
      <c r="I4323" s="2" t="s">
        <v>10740</v>
      </c>
      <c r="J4323" s="3" t="str">
        <f>HYPERLINK("https://www.boe.es/gazeta/dias/1815/07/01/pdfs/GMD-1815-79.pdf#page=10","Abrir facsímil")</f>
        <v>Abrir facsímil</v>
      </c>
      <c r="K4323" s="3" t="s">
        <v>74</v>
      </c>
    </row>
    <row r="4324" spans="1:11" ht="42" customHeight="1">
      <c r="A4324" s="2" t="s">
        <v>10741</v>
      </c>
      <c r="B4324" s="2" t="s">
        <v>10742</v>
      </c>
      <c r="C4324" s="2" t="s">
        <v>31</v>
      </c>
      <c r="D4324" s="2" t="s">
        <v>32</v>
      </c>
      <c r="E4324" s="5">
        <v>-30900</v>
      </c>
      <c r="F4324" s="3" t="s">
        <v>921</v>
      </c>
      <c r="G4324" s="3" t="s">
        <v>88</v>
      </c>
      <c r="H4324" s="2" t="s">
        <v>72</v>
      </c>
      <c r="I4324" s="2" t="s">
        <v>10743</v>
      </c>
      <c r="J4324" s="3" t="str">
        <f>HYPERLINK("https://www.boe.es/gazeta/dias/1815/05/25/pdfs/GMD-1815-63.pdf#page=10","Abrir facsímil")</f>
        <v>Abrir facsímil</v>
      </c>
      <c r="K4324" s="3" t="s">
        <v>74</v>
      </c>
    </row>
    <row r="4325" spans="1:11" ht="42" customHeight="1">
      <c r="A4325" s="2" t="s">
        <v>10744</v>
      </c>
      <c r="B4325" s="2" t="s">
        <v>10745</v>
      </c>
      <c r="C4325" s="2" t="s">
        <v>31</v>
      </c>
      <c r="D4325" s="2" t="s">
        <v>32</v>
      </c>
      <c r="E4325" s="5">
        <v>-30767</v>
      </c>
      <c r="F4325" s="3" t="s">
        <v>228</v>
      </c>
      <c r="G4325" s="3" t="s">
        <v>224</v>
      </c>
      <c r="H4325" s="2" t="s">
        <v>72</v>
      </c>
      <c r="I4325" s="2" t="s">
        <v>10746</v>
      </c>
      <c r="J4325" s="3" t="str">
        <f>HYPERLINK("https://www.boe.es/gazeta/dias/1815/10/05/pdfs/GMD-1815-125.pdf#page=9","Abrir facsímil")</f>
        <v>Abrir facsímil</v>
      </c>
      <c r="K4325" s="3" t="s">
        <v>74</v>
      </c>
    </row>
    <row r="4326" spans="1:11" ht="42" customHeight="1">
      <c r="A4326" s="2" t="s">
        <v>10747</v>
      </c>
      <c r="B4326" s="2" t="s">
        <v>10748</v>
      </c>
      <c r="C4326" s="2" t="s">
        <v>31</v>
      </c>
      <c r="D4326" s="2" t="s">
        <v>32</v>
      </c>
      <c r="E4326" s="5">
        <v>-30821</v>
      </c>
      <c r="F4326" s="3" t="s">
        <v>915</v>
      </c>
      <c r="G4326" s="3" t="s">
        <v>57</v>
      </c>
      <c r="H4326" s="2" t="s">
        <v>72</v>
      </c>
      <c r="I4326" s="2" t="s">
        <v>10749</v>
      </c>
      <c r="J4326" s="3" t="str">
        <f>HYPERLINK("https://www.boe.es/gazeta/dias/1815/08/12/pdfs/GMD-1815-99.pdf#page=5","Abrir facsímil")</f>
        <v>Abrir facsímil</v>
      </c>
      <c r="K4326" s="3" t="s">
        <v>74</v>
      </c>
    </row>
    <row r="4327" spans="1:11" ht="42" customHeight="1">
      <c r="A4327" s="2" t="s">
        <v>10750</v>
      </c>
      <c r="B4327" s="2" t="s">
        <v>10751</v>
      </c>
      <c r="C4327" s="2" t="s">
        <v>81</v>
      </c>
      <c r="D4327" s="2" t="s">
        <v>50</v>
      </c>
      <c r="E4327" s="5">
        <v>-30900</v>
      </c>
      <c r="F4327" s="3" t="s">
        <v>921</v>
      </c>
      <c r="G4327" s="3" t="s">
        <v>52</v>
      </c>
      <c r="H4327" s="2" t="s">
        <v>21</v>
      </c>
      <c r="I4327" s="2" t="s">
        <v>10752</v>
      </c>
      <c r="J4327" s="3" t="str">
        <f>HYPERLINK("https://www.boe.es/gazeta/dias/1815/05/25/pdfs/GMD-1815-63.pdf#page=11","Abrir facsímil")</f>
        <v>Abrir facsímil</v>
      </c>
      <c r="K4327" s="3" t="s">
        <v>23</v>
      </c>
    </row>
    <row r="4328" spans="1:11" ht="42" customHeight="1">
      <c r="A4328" s="2" t="s">
        <v>10750</v>
      </c>
      <c r="B4328" s="2" t="s">
        <v>10751</v>
      </c>
      <c r="C4328" s="2" t="s">
        <v>17</v>
      </c>
      <c r="D4328" s="2" t="s">
        <v>18</v>
      </c>
      <c r="E4328" s="5">
        <v>-30804</v>
      </c>
      <c r="F4328" s="3" t="s">
        <v>891</v>
      </c>
      <c r="G4328" s="3" t="s">
        <v>38</v>
      </c>
      <c r="H4328" s="2" t="s">
        <v>21</v>
      </c>
      <c r="I4328" s="2" t="s">
        <v>10753</v>
      </c>
      <c r="J4328" s="3" t="str">
        <f>HYPERLINK("https://www.boe.es/gazeta/dias/1815/08/29/pdfs/GMD-1815-106.pdf#page=8","Abrir facsímil")</f>
        <v>Abrir facsímil</v>
      </c>
      <c r="K4328" s="3" t="s">
        <v>23</v>
      </c>
    </row>
    <row r="4329" spans="1:11" ht="42" customHeight="1">
      <c r="A4329" s="2" t="s">
        <v>10754</v>
      </c>
      <c r="B4329" s="2" t="s">
        <v>10754</v>
      </c>
      <c r="C4329" s="2" t="s">
        <v>31</v>
      </c>
      <c r="D4329" s="2" t="s">
        <v>32</v>
      </c>
      <c r="E4329" s="5">
        <v>-30741</v>
      </c>
      <c r="F4329" s="3" t="s">
        <v>1000</v>
      </c>
      <c r="G4329" s="3" t="s">
        <v>71</v>
      </c>
      <c r="H4329" s="2" t="s">
        <v>72</v>
      </c>
      <c r="I4329" s="2" t="s">
        <v>10755</v>
      </c>
      <c r="J4329" s="3" t="str">
        <f>HYPERLINK("https://www.boe.es/gazeta/dias/1815/10/31/pdfs/GMD-1815-136.pdf#page=7","Abrir facsímil")</f>
        <v>Abrir facsímil</v>
      </c>
      <c r="K4329" s="3" t="s">
        <v>74</v>
      </c>
    </row>
    <row r="4330" spans="1:11" ht="42" customHeight="1">
      <c r="A4330" s="2" t="s">
        <v>10756</v>
      </c>
      <c r="B4330" s="2" t="s">
        <v>10757</v>
      </c>
      <c r="C4330" s="2" t="s">
        <v>195</v>
      </c>
      <c r="D4330" s="2" t="s">
        <v>50</v>
      </c>
      <c r="E4330" s="5">
        <v>-30874</v>
      </c>
      <c r="F4330" s="3" t="s">
        <v>208</v>
      </c>
      <c r="G4330" s="3" t="s">
        <v>38</v>
      </c>
      <c r="H4330" s="2" t="s">
        <v>21</v>
      </c>
      <c r="I4330" s="2" t="s">
        <v>10758</v>
      </c>
      <c r="J4330" s="3" t="str">
        <f>HYPERLINK("https://www.boe.es/gazeta/dias/1815/06/20/pdfs/GMD-1815-74.pdf#page=8","Abrir facsímil")</f>
        <v>Abrir facsímil</v>
      </c>
      <c r="K4330" s="3" t="s">
        <v>23</v>
      </c>
    </row>
    <row r="4331" spans="1:11" ht="42" customHeight="1">
      <c r="A4331" s="2" t="s">
        <v>10759</v>
      </c>
      <c r="B4331" s="2" t="s">
        <v>10759</v>
      </c>
      <c r="C4331" s="2" t="s">
        <v>31</v>
      </c>
      <c r="D4331" s="2" t="s">
        <v>32</v>
      </c>
      <c r="E4331" s="5">
        <v>-30739</v>
      </c>
      <c r="F4331" s="3" t="s">
        <v>254</v>
      </c>
      <c r="G4331" s="3" t="s">
        <v>52</v>
      </c>
      <c r="H4331" s="2" t="s">
        <v>72</v>
      </c>
      <c r="I4331" s="2" t="s">
        <v>10760</v>
      </c>
      <c r="J4331" s="3" t="str">
        <f>HYPERLINK("https://www.boe.es/gazeta/dias/1815/11/02/pdfs/GMD-1815-137.pdf#page=11","Abrir facsímil")</f>
        <v>Abrir facsímil</v>
      </c>
      <c r="K4331" s="3" t="s">
        <v>74</v>
      </c>
    </row>
    <row r="4332" spans="1:11" ht="42" customHeight="1">
      <c r="A4332" s="2" t="s">
        <v>10759</v>
      </c>
      <c r="B4332" s="2" t="s">
        <v>10759</v>
      </c>
      <c r="C4332" s="2" t="s">
        <v>31</v>
      </c>
      <c r="D4332" s="2" t="s">
        <v>32</v>
      </c>
      <c r="E4332" s="5">
        <v>-30737</v>
      </c>
      <c r="F4332" s="3" t="s">
        <v>1932</v>
      </c>
      <c r="G4332" s="3" t="s">
        <v>71</v>
      </c>
      <c r="H4332" s="2" t="s">
        <v>72</v>
      </c>
      <c r="I4332" s="2" t="s">
        <v>10761</v>
      </c>
      <c r="J4332" s="3" t="str">
        <f>HYPERLINK("https://www.boe.es/gazeta/dias/1815/11/04/pdfs/GMD-1815-138.pdf#page=7","Abrir facsímil")</f>
        <v>Abrir facsímil</v>
      </c>
      <c r="K4332" s="3" t="s">
        <v>74</v>
      </c>
    </row>
    <row r="4333" spans="1:11" ht="42" customHeight="1">
      <c r="A4333" s="2" t="s">
        <v>10762</v>
      </c>
      <c r="B4333" s="2" t="s">
        <v>10763</v>
      </c>
      <c r="C4333" s="2" t="s">
        <v>31</v>
      </c>
      <c r="D4333" s="2" t="s">
        <v>32</v>
      </c>
      <c r="E4333" s="5">
        <v>-30695</v>
      </c>
      <c r="F4333" s="3" t="s">
        <v>824</v>
      </c>
      <c r="G4333" s="3" t="s">
        <v>38</v>
      </c>
      <c r="H4333" s="2" t="s">
        <v>72</v>
      </c>
      <c r="I4333" s="2" t="s">
        <v>10764</v>
      </c>
      <c r="J4333" s="3" t="str">
        <f>HYPERLINK("https://www.boe.es/gazeta/dias/1815/12/16/pdfs/GMD-1815-156.pdf#page=8","Abrir facsímil")</f>
        <v>Abrir facsímil</v>
      </c>
      <c r="K4333" s="3" t="s">
        <v>74</v>
      </c>
    </row>
    <row r="4334" spans="1:11" ht="42" customHeight="1">
      <c r="A4334" s="2" t="s">
        <v>10765</v>
      </c>
      <c r="B4334" s="2" t="s">
        <v>10765</v>
      </c>
      <c r="C4334" s="2" t="s">
        <v>17</v>
      </c>
      <c r="D4334" s="2" t="s">
        <v>18</v>
      </c>
      <c r="E4334" s="5">
        <v>-31005</v>
      </c>
      <c r="F4334" s="3" t="s">
        <v>576</v>
      </c>
      <c r="G4334" s="3" t="s">
        <v>57</v>
      </c>
      <c r="H4334" s="2" t="s">
        <v>72</v>
      </c>
      <c r="I4334" s="2" t="s">
        <v>10766</v>
      </c>
      <c r="J4334" s="3" t="str">
        <f>HYPERLINK("https://www.boe.es/gazeta/dias/1815/02/09/pdfs/GMD-1815-17.pdf#page=5","Abrir facsímil")</f>
        <v>Abrir facsímil</v>
      </c>
      <c r="K4334" s="3" t="s">
        <v>74</v>
      </c>
    </row>
    <row r="4335" spans="1:11" ht="42" customHeight="1">
      <c r="A4335" s="2" t="s">
        <v>10767</v>
      </c>
      <c r="B4335" s="2" t="s">
        <v>10768</v>
      </c>
      <c r="C4335" s="2" t="s">
        <v>31</v>
      </c>
      <c r="D4335" s="2" t="s">
        <v>32</v>
      </c>
      <c r="E4335" s="5">
        <v>-31040</v>
      </c>
      <c r="F4335" s="3" t="s">
        <v>326</v>
      </c>
      <c r="G4335" s="3" t="s">
        <v>27</v>
      </c>
      <c r="H4335" s="2" t="s">
        <v>72</v>
      </c>
      <c r="I4335" s="2" t="s">
        <v>10769</v>
      </c>
      <c r="J4335" s="3" t="str">
        <f>HYPERLINK("https://www.boe.es/gazeta/dias/1815/01/05/pdfs/GMD-1815-2.pdf#page=6","Abrir facsímil")</f>
        <v>Abrir facsímil</v>
      </c>
      <c r="K4335" s="3" t="s">
        <v>74</v>
      </c>
    </row>
    <row r="4336" spans="1:11" ht="42" customHeight="1">
      <c r="A4336" s="2" t="s">
        <v>10767</v>
      </c>
      <c r="B4336" s="2" t="s">
        <v>10768</v>
      </c>
      <c r="C4336" s="2" t="s">
        <v>31</v>
      </c>
      <c r="D4336" s="2" t="s">
        <v>32</v>
      </c>
      <c r="E4336" s="5">
        <v>-30839</v>
      </c>
      <c r="F4336" s="3" t="s">
        <v>616</v>
      </c>
      <c r="G4336" s="3" t="s">
        <v>27</v>
      </c>
      <c r="H4336" s="2" t="s">
        <v>72</v>
      </c>
      <c r="I4336" s="2" t="s">
        <v>10770</v>
      </c>
      <c r="J4336" s="3" t="str">
        <f>HYPERLINK("https://www.boe.es/gazeta/dias/1815/07/25/pdfs/GMD-1815-91.pdf#page=6","Abrir facsímil")</f>
        <v>Abrir facsímil</v>
      </c>
      <c r="K4336" s="3" t="s">
        <v>74</v>
      </c>
    </row>
    <row r="4337" spans="1:11" ht="42" customHeight="1">
      <c r="A4337" s="2" t="s">
        <v>10767</v>
      </c>
      <c r="B4337" s="2" t="s">
        <v>10768</v>
      </c>
      <c r="C4337" s="2" t="s">
        <v>49</v>
      </c>
      <c r="D4337" s="2" t="s">
        <v>50</v>
      </c>
      <c r="E4337" s="5">
        <v>-30825</v>
      </c>
      <c r="F4337" s="3" t="s">
        <v>669</v>
      </c>
      <c r="G4337" s="3" t="s">
        <v>88</v>
      </c>
      <c r="H4337" s="2" t="s">
        <v>72</v>
      </c>
      <c r="I4337" s="2" t="s">
        <v>10771</v>
      </c>
      <c r="J4337" s="3" t="str">
        <f>HYPERLINK("https://www.boe.es/gazeta/dias/1815/08/08/pdfs/GMD-1815-97.pdf#page=10","Abrir facsímil")</f>
        <v>Abrir facsímil</v>
      </c>
      <c r="K4337" s="3" t="s">
        <v>74</v>
      </c>
    </row>
    <row r="4338" spans="1:11" ht="42" customHeight="1">
      <c r="A4338" s="2" t="s">
        <v>10772</v>
      </c>
      <c r="B4338" s="2" t="s">
        <v>10772</v>
      </c>
      <c r="C4338" s="2" t="s">
        <v>17</v>
      </c>
      <c r="D4338" s="2" t="s">
        <v>18</v>
      </c>
      <c r="E4338" s="5">
        <v>-31014</v>
      </c>
      <c r="F4338" s="3" t="s">
        <v>3193</v>
      </c>
      <c r="G4338" s="3" t="s">
        <v>57</v>
      </c>
      <c r="H4338" s="2" t="s">
        <v>72</v>
      </c>
      <c r="I4338" s="2" t="s">
        <v>10773</v>
      </c>
      <c r="J4338" s="3" t="str">
        <f>HYPERLINK("https://www.boe.es/gazeta/dias/1815/01/31/pdfs/GMD-1815-13.pdf#page=5","Abrir facsímil")</f>
        <v>Abrir facsímil</v>
      </c>
      <c r="K4338" s="3" t="s">
        <v>74</v>
      </c>
    </row>
    <row r="4339" spans="1:11" ht="42" customHeight="1">
      <c r="A4339" s="2" t="s">
        <v>10772</v>
      </c>
      <c r="B4339" s="2" t="s">
        <v>10772</v>
      </c>
      <c r="C4339" s="2" t="s">
        <v>897</v>
      </c>
      <c r="D4339" s="2" t="s">
        <v>50</v>
      </c>
      <c r="E4339" s="5">
        <v>-31005</v>
      </c>
      <c r="F4339" s="3" t="s">
        <v>576</v>
      </c>
      <c r="G4339" s="3" t="s">
        <v>20</v>
      </c>
      <c r="H4339" s="2" t="s">
        <v>72</v>
      </c>
      <c r="I4339" s="2" t="s">
        <v>10774</v>
      </c>
      <c r="J4339" s="3" t="str">
        <f>HYPERLINK("https://www.boe.es/gazeta/dias/1815/02/09/pdfs/GMD-1815-17.pdf#page=4","Abrir facsímil")</f>
        <v>Abrir facsímil</v>
      </c>
      <c r="K4339" s="3" t="s">
        <v>74</v>
      </c>
    </row>
    <row r="4340" spans="1:11" ht="42" customHeight="1">
      <c r="A4340" s="2" t="s">
        <v>10772</v>
      </c>
      <c r="B4340" s="2" t="s">
        <v>10772</v>
      </c>
      <c r="C4340" s="2" t="s">
        <v>49</v>
      </c>
      <c r="D4340" s="2" t="s">
        <v>50</v>
      </c>
      <c r="E4340" s="5">
        <v>-31005</v>
      </c>
      <c r="F4340" s="3" t="s">
        <v>576</v>
      </c>
      <c r="G4340" s="3" t="s">
        <v>57</v>
      </c>
      <c r="H4340" s="2" t="s">
        <v>72</v>
      </c>
      <c r="I4340" s="2" t="s">
        <v>10775</v>
      </c>
      <c r="J4340" s="3" t="str">
        <f>HYPERLINK("https://www.boe.es/gazeta/dias/1815/02/09/pdfs/GMD-1815-17.pdf#page=5","Abrir facsímil")</f>
        <v>Abrir facsímil</v>
      </c>
      <c r="K4340" s="3" t="s">
        <v>74</v>
      </c>
    </row>
    <row r="4341" spans="1:11" ht="42" customHeight="1">
      <c r="A4341" s="2" t="s">
        <v>10772</v>
      </c>
      <c r="B4341" s="2" t="s">
        <v>10772</v>
      </c>
      <c r="C4341" s="2" t="s">
        <v>17</v>
      </c>
      <c r="D4341" s="2" t="s">
        <v>18</v>
      </c>
      <c r="E4341" s="5">
        <v>-30975</v>
      </c>
      <c r="F4341" s="3" t="s">
        <v>1194</v>
      </c>
      <c r="G4341" s="3" t="s">
        <v>6594</v>
      </c>
      <c r="H4341" s="2" t="s">
        <v>72</v>
      </c>
      <c r="I4341" s="2" t="s">
        <v>10776</v>
      </c>
      <c r="J4341" s="3" t="str">
        <f>HYPERLINK("https://www.boe.es/gazeta/dias/1815/03/11/pdfs/GMD-1815-30.pdf#page=6","Abrir facsímil")</f>
        <v>Abrir facsímil</v>
      </c>
      <c r="K4341" s="3" t="s">
        <v>74</v>
      </c>
    </row>
    <row r="4342" spans="1:11" ht="42" customHeight="1">
      <c r="A4342" s="2" t="s">
        <v>10777</v>
      </c>
      <c r="B4342" s="2" t="s">
        <v>10778</v>
      </c>
      <c r="C4342" s="2" t="s">
        <v>17</v>
      </c>
      <c r="D4342" s="2" t="s">
        <v>18</v>
      </c>
      <c r="E4342" s="5">
        <v>-30965</v>
      </c>
      <c r="F4342" s="3" t="s">
        <v>1679</v>
      </c>
      <c r="G4342" s="3" t="s">
        <v>57</v>
      </c>
      <c r="H4342" s="2" t="s">
        <v>72</v>
      </c>
      <c r="I4342" s="2" t="s">
        <v>10779</v>
      </c>
      <c r="J4342" s="3" t="str">
        <f>HYPERLINK("https://www.boe.es/gazeta/dias/1815/03/21/pdfs/GMD-1815-34.pdf#page=5","Abrir facsímil")</f>
        <v>Abrir facsímil</v>
      </c>
      <c r="K4342" s="3" t="s">
        <v>74</v>
      </c>
    </row>
    <row r="4343" spans="1:11" ht="42" customHeight="1">
      <c r="A4343" s="2" t="s">
        <v>10780</v>
      </c>
      <c r="B4343" s="2" t="s">
        <v>10781</v>
      </c>
      <c r="C4343" s="2" t="s">
        <v>131</v>
      </c>
      <c r="D4343" s="2" t="s">
        <v>50</v>
      </c>
      <c r="E4343" s="5">
        <v>-30685</v>
      </c>
      <c r="F4343" s="3" t="s">
        <v>1453</v>
      </c>
      <c r="G4343" s="3" t="s">
        <v>71</v>
      </c>
      <c r="H4343" s="2" t="s">
        <v>72</v>
      </c>
      <c r="I4343" s="2" t="s">
        <v>10782</v>
      </c>
      <c r="J4343" s="3" t="str">
        <f>HYPERLINK("https://www.boe.es/gazeta/dias/1815/12/26/pdfs/GMD-1815-160.pdf#page=7","Abrir facsímil")</f>
        <v>Abrir facsímil</v>
      </c>
      <c r="K4343" s="3" t="s">
        <v>74</v>
      </c>
    </row>
    <row r="4344" spans="1:11" ht="42" customHeight="1">
      <c r="A4344" s="2" t="s">
        <v>10783</v>
      </c>
      <c r="B4344" s="2" t="s">
        <v>10784</v>
      </c>
      <c r="C4344" s="2" t="s">
        <v>49</v>
      </c>
      <c r="D4344" s="2" t="s">
        <v>50</v>
      </c>
      <c r="E4344" s="5">
        <v>-30893</v>
      </c>
      <c r="F4344" s="3" t="s">
        <v>132</v>
      </c>
      <c r="G4344" s="3" t="s">
        <v>155</v>
      </c>
      <c r="H4344" s="2" t="s">
        <v>72</v>
      </c>
      <c r="I4344" s="2" t="s">
        <v>10785</v>
      </c>
      <c r="J4344" s="3" t="str">
        <f>HYPERLINK("https://www.boe.es/gazeta/dias/1815/06/01/pdfs/GMD-1815-66.pdf#page=6","Abrir facsímil")</f>
        <v>Abrir facsímil</v>
      </c>
      <c r="K4344" s="3" t="s">
        <v>74</v>
      </c>
    </row>
    <row r="4345" spans="1:11" ht="42" customHeight="1">
      <c r="A4345" s="2" t="s">
        <v>10786</v>
      </c>
      <c r="B4345" s="2" t="s">
        <v>10787</v>
      </c>
      <c r="C4345" s="2" t="s">
        <v>31</v>
      </c>
      <c r="D4345" s="2" t="s">
        <v>32</v>
      </c>
      <c r="E4345" s="5">
        <v>-31038</v>
      </c>
      <c r="F4345" s="3" t="s">
        <v>395</v>
      </c>
      <c r="G4345" s="3" t="s">
        <v>396</v>
      </c>
      <c r="H4345" s="2" t="s">
        <v>72</v>
      </c>
      <c r="I4345" s="2" t="s">
        <v>10788</v>
      </c>
      <c r="J4345" s="3" t="str">
        <f>HYPERLINK("https://www.boe.es/gazeta/dias/1815/01/07/pdfs/GMD-1815-3.pdf#page=5","Abrir facsímil")</f>
        <v>Abrir facsímil</v>
      </c>
      <c r="K4345" s="3" t="s">
        <v>74</v>
      </c>
    </row>
    <row r="4346" spans="1:11" ht="42" customHeight="1">
      <c r="A4346" s="2" t="s">
        <v>10789</v>
      </c>
      <c r="B4346" s="2" t="s">
        <v>10790</v>
      </c>
      <c r="C4346" s="2" t="s">
        <v>49</v>
      </c>
      <c r="D4346" s="2" t="s">
        <v>50</v>
      </c>
      <c r="E4346" s="5">
        <v>-30886</v>
      </c>
      <c r="F4346" s="3" t="s">
        <v>140</v>
      </c>
      <c r="G4346" s="3" t="s">
        <v>38</v>
      </c>
      <c r="H4346" s="2" t="s">
        <v>72</v>
      </c>
      <c r="I4346" s="2" t="s">
        <v>10791</v>
      </c>
      <c r="J4346" s="3" t="str">
        <f>HYPERLINK("https://www.boe.es/gazeta/dias/1815/06/08/pdfs/GMD-1815-69.pdf#page=8","Abrir facsímil")</f>
        <v>Abrir facsímil</v>
      </c>
      <c r="K4346" s="3" t="s">
        <v>74</v>
      </c>
    </row>
    <row r="4347" spans="1:11" ht="42" customHeight="1">
      <c r="A4347" s="2" t="s">
        <v>10792</v>
      </c>
      <c r="B4347" s="2" t="s">
        <v>10793</v>
      </c>
      <c r="C4347" s="2" t="s">
        <v>17</v>
      </c>
      <c r="D4347" s="2" t="s">
        <v>18</v>
      </c>
      <c r="E4347" s="5">
        <v>-30851</v>
      </c>
      <c r="F4347" s="3" t="s">
        <v>442</v>
      </c>
      <c r="G4347" s="3" t="s">
        <v>71</v>
      </c>
      <c r="H4347" s="2" t="s">
        <v>72</v>
      </c>
      <c r="I4347" s="2" t="s">
        <v>10794</v>
      </c>
      <c r="J4347" s="3" t="str">
        <f>HYPERLINK("https://www.boe.es/gazeta/dias/1815/07/13/pdfs/GMD-1815-86.pdf#page=7","Abrir facsímil")</f>
        <v>Abrir facsímil</v>
      </c>
      <c r="K4347" s="3" t="s">
        <v>74</v>
      </c>
    </row>
    <row r="4348" spans="1:11" ht="42" customHeight="1">
      <c r="A4348" s="2" t="s">
        <v>10795</v>
      </c>
      <c r="B4348" s="2" t="s">
        <v>10796</v>
      </c>
      <c r="C4348" s="2" t="s">
        <v>195</v>
      </c>
      <c r="D4348" s="2" t="s">
        <v>50</v>
      </c>
      <c r="E4348" s="5">
        <v>-30888</v>
      </c>
      <c r="F4348" s="3" t="s">
        <v>368</v>
      </c>
      <c r="G4348" s="3" t="s">
        <v>38</v>
      </c>
      <c r="H4348" s="2" t="s">
        <v>72</v>
      </c>
      <c r="I4348" s="2" t="s">
        <v>10797</v>
      </c>
      <c r="J4348" s="3" t="str">
        <f>HYPERLINK("https://www.boe.es/gazeta/dias/1815/06/06/pdfs/GMD-1815-68.pdf#page=8","Abrir facsímil")</f>
        <v>Abrir facsímil</v>
      </c>
      <c r="K4348" s="3" t="s">
        <v>74</v>
      </c>
    </row>
    <row r="4349" spans="1:11" ht="42" customHeight="1">
      <c r="A4349" s="2" t="s">
        <v>10798</v>
      </c>
      <c r="B4349" s="2" t="s">
        <v>10799</v>
      </c>
      <c r="C4349" s="2" t="s">
        <v>17</v>
      </c>
      <c r="D4349" s="2" t="s">
        <v>18</v>
      </c>
      <c r="E4349" s="5">
        <v>-30697</v>
      </c>
      <c r="F4349" s="3" t="s">
        <v>381</v>
      </c>
      <c r="G4349" s="3" t="s">
        <v>71</v>
      </c>
      <c r="H4349" s="2" t="s">
        <v>72</v>
      </c>
      <c r="I4349" s="2" t="s">
        <v>10800</v>
      </c>
      <c r="J4349" s="3" t="str">
        <f>HYPERLINK("https://www.boe.es/gazeta/dias/1815/12/14/pdfs/GMD-1815-155.pdf#page=7","Abrir facsímil")</f>
        <v>Abrir facsímil</v>
      </c>
      <c r="K4349" s="3" t="s">
        <v>74</v>
      </c>
    </row>
    <row r="4350" spans="1:11" ht="42" customHeight="1">
      <c r="A4350" s="2" t="s">
        <v>10801</v>
      </c>
      <c r="B4350" s="2" t="s">
        <v>10802</v>
      </c>
      <c r="C4350" s="2" t="s">
        <v>195</v>
      </c>
      <c r="D4350" s="2" t="s">
        <v>50</v>
      </c>
      <c r="E4350" s="5">
        <v>-30928</v>
      </c>
      <c r="F4350" s="3" t="s">
        <v>330</v>
      </c>
      <c r="G4350" s="3" t="s">
        <v>71</v>
      </c>
      <c r="H4350" s="2" t="s">
        <v>72</v>
      </c>
      <c r="I4350" s="2" t="s">
        <v>10803</v>
      </c>
      <c r="J4350" s="3" t="str">
        <f>HYPERLINK("https://www.boe.es/gazeta/dias/1815/04/27/pdfs/GMD-1815-51.pdf#page=7","Abrir facsímil")</f>
        <v>Abrir facsímil</v>
      </c>
      <c r="K4350" s="3" t="s">
        <v>74</v>
      </c>
    </row>
    <row r="4351" spans="1:11" ht="42" customHeight="1">
      <c r="A4351" s="2" t="s">
        <v>10804</v>
      </c>
      <c r="B4351" s="2" t="s">
        <v>10804</v>
      </c>
      <c r="C4351" s="2" t="s">
        <v>49</v>
      </c>
      <c r="D4351" s="2" t="s">
        <v>50</v>
      </c>
      <c r="E4351" s="5">
        <v>-30727</v>
      </c>
      <c r="F4351" s="3" t="s">
        <v>262</v>
      </c>
      <c r="G4351" s="3" t="s">
        <v>410</v>
      </c>
      <c r="H4351" s="2" t="s">
        <v>72</v>
      </c>
      <c r="I4351" s="2" t="s">
        <v>10805</v>
      </c>
      <c r="J4351" s="3" t="str">
        <f>HYPERLINK("https://www.boe.es/gazeta/dias/1815/11/14/pdfs/GMD-1815-142.pdf#page=1","Abrir facsímil")</f>
        <v>Abrir facsímil</v>
      </c>
      <c r="K4351" s="3" t="s">
        <v>74</v>
      </c>
    </row>
    <row r="4352" spans="1:11" ht="42" customHeight="1">
      <c r="A4352" s="2" t="s">
        <v>10806</v>
      </c>
      <c r="B4352" s="2" t="s">
        <v>10806</v>
      </c>
      <c r="C4352" s="2" t="s">
        <v>31</v>
      </c>
      <c r="D4352" s="2" t="s">
        <v>32</v>
      </c>
      <c r="E4352" s="5">
        <v>-30744</v>
      </c>
      <c r="F4352" s="3" t="s">
        <v>391</v>
      </c>
      <c r="G4352" s="3" t="s">
        <v>377</v>
      </c>
      <c r="H4352" s="2" t="s">
        <v>72</v>
      </c>
      <c r="I4352" s="2" t="s">
        <v>10807</v>
      </c>
      <c r="J4352" s="3" t="str">
        <f>HYPERLINK("https://www.boe.es/gazeta/dias/1815/10/28/pdfs/GMD-1815-135.pdf#page=2","Abrir facsímil")</f>
        <v>Abrir facsímil</v>
      </c>
      <c r="K4352" s="3" t="s">
        <v>74</v>
      </c>
    </row>
    <row r="4353" spans="1:11" ht="42" customHeight="1">
      <c r="A4353" s="2" t="s">
        <v>10808</v>
      </c>
      <c r="B4353" s="2" t="s">
        <v>10808</v>
      </c>
      <c r="C4353" s="2" t="s">
        <v>31</v>
      </c>
      <c r="D4353" s="2" t="s">
        <v>32</v>
      </c>
      <c r="E4353" s="5">
        <v>-30774</v>
      </c>
      <c r="F4353" s="3" t="s">
        <v>1143</v>
      </c>
      <c r="G4353" s="3" t="s">
        <v>377</v>
      </c>
      <c r="H4353" s="2" t="s">
        <v>72</v>
      </c>
      <c r="I4353" s="2" t="s">
        <v>10809</v>
      </c>
      <c r="J4353" s="3" t="str">
        <f>HYPERLINK("https://www.boe.es/gazeta/dias/1815/09/28/pdfs/GMD-1815-121.pdf#page=2","Abrir facsímil")</f>
        <v>Abrir facsímil</v>
      </c>
      <c r="K4353" s="3" t="s">
        <v>74</v>
      </c>
    </row>
    <row r="4354" spans="1:11" ht="42" customHeight="1">
      <c r="A4354" s="2" t="s">
        <v>10808</v>
      </c>
      <c r="B4354" s="2" t="s">
        <v>10808</v>
      </c>
      <c r="C4354" s="2" t="s">
        <v>31</v>
      </c>
      <c r="D4354" s="2" t="s">
        <v>32</v>
      </c>
      <c r="E4354" s="5">
        <v>-30699</v>
      </c>
      <c r="F4354" s="3" t="s">
        <v>810</v>
      </c>
      <c r="G4354" s="3" t="s">
        <v>97</v>
      </c>
      <c r="H4354" s="2" t="s">
        <v>72</v>
      </c>
      <c r="I4354" s="2" t="s">
        <v>10810</v>
      </c>
      <c r="J4354" s="3" t="str">
        <f>HYPERLINK("https://www.boe.es/gazeta/dias/1815/12/12/pdfs/GMD-1815-154.pdf#page=3","Abrir facsímil")</f>
        <v>Abrir facsímil</v>
      </c>
      <c r="K4354" s="3" t="s">
        <v>74</v>
      </c>
    </row>
    <row r="4355" spans="1:11" ht="42" customHeight="1">
      <c r="A4355" s="2" t="s">
        <v>10811</v>
      </c>
      <c r="B4355" s="2" t="s">
        <v>10812</v>
      </c>
      <c r="C4355" s="2" t="s">
        <v>49</v>
      </c>
      <c r="D4355" s="2" t="s">
        <v>50</v>
      </c>
      <c r="E4355" s="5">
        <v>-30865</v>
      </c>
      <c r="F4355" s="3" t="s">
        <v>163</v>
      </c>
      <c r="G4355" s="3" t="s">
        <v>38</v>
      </c>
      <c r="H4355" s="2" t="s">
        <v>72</v>
      </c>
      <c r="I4355" s="2" t="s">
        <v>10813</v>
      </c>
      <c r="J4355" s="3" t="str">
        <f>HYPERLINK("https://www.boe.es/gazeta/dias/1815/06/29/pdfs/GMD-1815-78.pdf#page=8","Abrir facsímil")</f>
        <v>Abrir facsímil</v>
      </c>
      <c r="K4355" s="3" t="s">
        <v>74</v>
      </c>
    </row>
    <row r="4356" spans="1:11" ht="42" customHeight="1">
      <c r="A4356" s="2" t="s">
        <v>10814</v>
      </c>
      <c r="B4356" s="2" t="s">
        <v>10814</v>
      </c>
      <c r="C4356" s="2" t="s">
        <v>81</v>
      </c>
      <c r="D4356" s="2" t="s">
        <v>50</v>
      </c>
      <c r="E4356" s="5">
        <v>-30849</v>
      </c>
      <c r="F4356" s="3" t="s">
        <v>501</v>
      </c>
      <c r="G4356" s="3" t="s">
        <v>276</v>
      </c>
      <c r="H4356" s="2" t="s">
        <v>72</v>
      </c>
      <c r="I4356" s="2" t="s">
        <v>10815</v>
      </c>
      <c r="J4356" s="3" t="str">
        <f>HYPERLINK("https://www.boe.es/gazeta/dias/1815/07/15/pdfs/GMD-1815-87.pdf#page=12","Abrir facsímil")</f>
        <v>Abrir facsímil</v>
      </c>
      <c r="K4356" s="3" t="s">
        <v>74</v>
      </c>
    </row>
    <row r="4357" spans="1:11" ht="42" customHeight="1">
      <c r="A4357" s="2" t="s">
        <v>10816</v>
      </c>
      <c r="B4357" s="2" t="s">
        <v>10816</v>
      </c>
      <c r="C4357" s="2" t="s">
        <v>61</v>
      </c>
      <c r="D4357" s="2" t="s">
        <v>50</v>
      </c>
      <c r="E4357" s="5">
        <v>-31021</v>
      </c>
      <c r="F4357" s="3" t="s">
        <v>481</v>
      </c>
      <c r="G4357" s="3" t="s">
        <v>38</v>
      </c>
      <c r="H4357" s="2" t="s">
        <v>72</v>
      </c>
      <c r="I4357" s="2" t="s">
        <v>10817</v>
      </c>
      <c r="J4357" s="3" t="str">
        <f>HYPERLINK("https://www.boe.es/gazeta/dias/1815/01/24/pdfs/GMD-1815-10.pdf#page=8","Abrir facsímil")</f>
        <v>Abrir facsímil</v>
      </c>
      <c r="K4357" s="3" t="s">
        <v>74</v>
      </c>
    </row>
    <row r="4358" spans="1:11" ht="42" customHeight="1">
      <c r="A4358" s="2" t="s">
        <v>10818</v>
      </c>
      <c r="B4358" s="2" t="s">
        <v>10819</v>
      </c>
      <c r="C4358" s="2" t="s">
        <v>49</v>
      </c>
      <c r="D4358" s="2" t="s">
        <v>50</v>
      </c>
      <c r="E4358" s="5">
        <v>-30916</v>
      </c>
      <c r="F4358" s="3" t="s">
        <v>147</v>
      </c>
      <c r="G4358" s="3" t="s">
        <v>38</v>
      </c>
      <c r="H4358" s="2" t="s">
        <v>72</v>
      </c>
      <c r="I4358" s="2" t="s">
        <v>10820</v>
      </c>
      <c r="J4358" s="3" t="str">
        <f>HYPERLINK("https://www.boe.es/gazeta/dias/1815/05/09/pdfs/GMD-1815-56.pdf#page=8","Abrir facsímil")</f>
        <v>Abrir facsímil</v>
      </c>
      <c r="K4358" s="3" t="s">
        <v>74</v>
      </c>
    </row>
    <row r="4359" spans="1:11" ht="42" customHeight="1">
      <c r="A4359" s="2" t="s">
        <v>10821</v>
      </c>
      <c r="B4359" s="2" t="s">
        <v>10822</v>
      </c>
      <c r="C4359" s="2" t="s">
        <v>31</v>
      </c>
      <c r="D4359" s="2" t="s">
        <v>32</v>
      </c>
      <c r="E4359" s="5">
        <v>-30916</v>
      </c>
      <c r="F4359" s="3" t="s">
        <v>147</v>
      </c>
      <c r="G4359" s="3" t="s">
        <v>38</v>
      </c>
      <c r="H4359" s="2" t="s">
        <v>72</v>
      </c>
      <c r="I4359" s="2" t="s">
        <v>10823</v>
      </c>
      <c r="J4359" s="3" t="str">
        <f>HYPERLINK("https://www.boe.es/gazeta/dias/1815/05/09/pdfs/GMD-1815-56.pdf#page=8","Abrir facsímil")</f>
        <v>Abrir facsímil</v>
      </c>
      <c r="K4359" s="3" t="s">
        <v>74</v>
      </c>
    </row>
    <row r="4360" spans="1:11" ht="42" customHeight="1">
      <c r="A4360" s="2" t="s">
        <v>10824</v>
      </c>
      <c r="B4360" s="2" t="s">
        <v>10825</v>
      </c>
      <c r="C4360" s="2" t="s">
        <v>49</v>
      </c>
      <c r="D4360" s="2" t="s">
        <v>50</v>
      </c>
      <c r="E4360" s="5">
        <v>-30916</v>
      </c>
      <c r="F4360" s="3" t="s">
        <v>147</v>
      </c>
      <c r="G4360" s="3" t="s">
        <v>38</v>
      </c>
      <c r="H4360" s="2" t="s">
        <v>72</v>
      </c>
      <c r="I4360" s="2" t="s">
        <v>10826</v>
      </c>
      <c r="J4360" s="3" t="str">
        <f>HYPERLINK("https://www.boe.es/gazeta/dias/1815/05/09/pdfs/GMD-1815-56.pdf#page=8","Abrir facsímil")</f>
        <v>Abrir facsímil</v>
      </c>
      <c r="K4360" s="3" t="s">
        <v>74</v>
      </c>
    </row>
    <row r="4361" spans="1:11" ht="42" customHeight="1">
      <c r="A4361" s="2" t="s">
        <v>10827</v>
      </c>
      <c r="B4361" s="2" t="s">
        <v>10828</v>
      </c>
      <c r="C4361" s="2" t="s">
        <v>195</v>
      </c>
      <c r="D4361" s="2" t="s">
        <v>50</v>
      </c>
      <c r="E4361" s="5">
        <v>-31007</v>
      </c>
      <c r="F4361" s="3" t="s">
        <v>200</v>
      </c>
      <c r="G4361" s="3" t="s">
        <v>52</v>
      </c>
      <c r="H4361" s="2" t="s">
        <v>72</v>
      </c>
      <c r="I4361" s="2" t="s">
        <v>10829</v>
      </c>
      <c r="J4361" s="3" t="str">
        <f>HYPERLINK("https://www.boe.es/gazeta/dias/1815/02/07/pdfs/GMD-1815-16.pdf#page=11","Abrir facsímil")</f>
        <v>Abrir facsímil</v>
      </c>
      <c r="K4361" s="3" t="s">
        <v>74</v>
      </c>
    </row>
    <row r="4362" spans="1:11" ht="42" customHeight="1">
      <c r="A4362" s="2" t="s">
        <v>10830</v>
      </c>
      <c r="B4362" s="2" t="s">
        <v>10830</v>
      </c>
      <c r="C4362" s="2" t="s">
        <v>31</v>
      </c>
      <c r="D4362" s="2" t="s">
        <v>32</v>
      </c>
      <c r="E4362" s="5">
        <v>-31031</v>
      </c>
      <c r="F4362" s="3" t="s">
        <v>105</v>
      </c>
      <c r="G4362" s="3" t="s">
        <v>97</v>
      </c>
      <c r="H4362" s="2" t="s">
        <v>72</v>
      </c>
      <c r="I4362" s="2" t="s">
        <v>10831</v>
      </c>
      <c r="J4362" s="3" t="str">
        <f>HYPERLINK("https://www.boe.es/gazeta/dias/1815/01/14/pdfs/GMD-1815-6.pdf#page=3","Abrir facsímil")</f>
        <v>Abrir facsímil</v>
      </c>
      <c r="K4362" s="3" t="s">
        <v>74</v>
      </c>
    </row>
    <row r="4363" spans="1:11" ht="42" customHeight="1">
      <c r="A4363" s="2" t="s">
        <v>10832</v>
      </c>
      <c r="B4363" s="2" t="s">
        <v>10833</v>
      </c>
      <c r="C4363" s="2" t="s">
        <v>31</v>
      </c>
      <c r="D4363" s="2" t="s">
        <v>32</v>
      </c>
      <c r="E4363" s="5">
        <v>-30942</v>
      </c>
      <c r="F4363" s="3" t="s">
        <v>730</v>
      </c>
      <c r="G4363" s="3" t="s">
        <v>410</v>
      </c>
      <c r="H4363" s="2" t="s">
        <v>72</v>
      </c>
      <c r="I4363" s="2" t="s">
        <v>10834</v>
      </c>
      <c r="J4363" s="3" t="str">
        <f>HYPERLINK("https://www.boe.es/gazeta/dias/1815/04/13/pdfs/GMD-1815-45.pdf#page=1","Abrir facsímil")</f>
        <v>Abrir facsímil</v>
      </c>
      <c r="K4363" s="3" t="s">
        <v>74</v>
      </c>
    </row>
    <row r="4364" spans="1:11" ht="42" customHeight="1">
      <c r="A4364" s="2" t="s">
        <v>10835</v>
      </c>
      <c r="B4364" s="2" t="s">
        <v>10836</v>
      </c>
      <c r="C4364" s="2" t="s">
        <v>49</v>
      </c>
      <c r="D4364" s="2" t="s">
        <v>50</v>
      </c>
      <c r="E4364" s="5">
        <v>-30865</v>
      </c>
      <c r="F4364" s="3" t="s">
        <v>163</v>
      </c>
      <c r="G4364" s="3" t="s">
        <v>38</v>
      </c>
      <c r="H4364" s="2" t="s">
        <v>72</v>
      </c>
      <c r="I4364" s="2" t="s">
        <v>10837</v>
      </c>
      <c r="J4364" s="3" t="str">
        <f>HYPERLINK("https://www.boe.es/gazeta/dias/1815/06/29/pdfs/GMD-1815-78.pdf#page=8","Abrir facsímil")</f>
        <v>Abrir facsímil</v>
      </c>
      <c r="K4364" s="3" t="s">
        <v>74</v>
      </c>
    </row>
    <row r="4365" spans="1:11" ht="42" customHeight="1">
      <c r="A4365" s="2" t="s">
        <v>10838</v>
      </c>
      <c r="B4365" s="2" t="s">
        <v>10839</v>
      </c>
      <c r="C4365" s="2" t="s">
        <v>31</v>
      </c>
      <c r="D4365" s="2" t="s">
        <v>32</v>
      </c>
      <c r="E4365" s="5">
        <v>-31040</v>
      </c>
      <c r="F4365" s="3" t="s">
        <v>326</v>
      </c>
      <c r="G4365" s="3" t="s">
        <v>71</v>
      </c>
      <c r="H4365" s="2" t="s">
        <v>72</v>
      </c>
      <c r="I4365" s="2" t="s">
        <v>10840</v>
      </c>
      <c r="J4365" s="3" t="str">
        <f>HYPERLINK("https://www.boe.es/gazeta/dias/1815/01/05/pdfs/GMD-1815-2.pdf#page=7","Abrir facsímil")</f>
        <v>Abrir facsímil</v>
      </c>
      <c r="K4365" s="3" t="s">
        <v>74</v>
      </c>
    </row>
    <row r="4366" spans="1:11" ht="42" customHeight="1">
      <c r="A4366" s="2" t="s">
        <v>10841</v>
      </c>
      <c r="B4366" s="2" t="s">
        <v>10842</v>
      </c>
      <c r="C4366" s="2" t="s">
        <v>31</v>
      </c>
      <c r="D4366" s="2" t="s">
        <v>32</v>
      </c>
      <c r="E4366" s="5">
        <v>-30872</v>
      </c>
      <c r="F4366" s="3" t="s">
        <v>167</v>
      </c>
      <c r="G4366" s="3" t="s">
        <v>342</v>
      </c>
      <c r="H4366" s="2" t="s">
        <v>72</v>
      </c>
      <c r="I4366" s="2" t="s">
        <v>10843</v>
      </c>
      <c r="J4366" s="3" t="str">
        <f>HYPERLINK("https://www.boe.es/gazeta/dias/1815/06/22/pdfs/GMD-1815-75.pdf#page=8","Abrir facsímil")</f>
        <v>Abrir facsímil</v>
      </c>
      <c r="K4366" s="3" t="s">
        <v>74</v>
      </c>
    </row>
    <row r="4367" spans="1:11" ht="42" customHeight="1">
      <c r="A4367" s="2" t="s">
        <v>10844</v>
      </c>
      <c r="B4367" s="2" t="s">
        <v>10845</v>
      </c>
      <c r="C4367" s="2" t="s">
        <v>49</v>
      </c>
      <c r="D4367" s="2" t="s">
        <v>50</v>
      </c>
      <c r="E4367" s="5">
        <v>-30916</v>
      </c>
      <c r="F4367" s="3" t="s">
        <v>147</v>
      </c>
      <c r="G4367" s="3" t="s">
        <v>38</v>
      </c>
      <c r="H4367" s="2" t="s">
        <v>72</v>
      </c>
      <c r="I4367" s="2" t="s">
        <v>10846</v>
      </c>
      <c r="J4367" s="3" t="str">
        <f>HYPERLINK("https://www.boe.es/gazeta/dias/1815/05/09/pdfs/GMD-1815-56.pdf#page=8","Abrir facsímil")</f>
        <v>Abrir facsímil</v>
      </c>
      <c r="K4367" s="3" t="s">
        <v>74</v>
      </c>
    </row>
    <row r="4368" spans="1:11" ht="42" customHeight="1">
      <c r="A4368" s="2" t="s">
        <v>10847</v>
      </c>
      <c r="B4368" s="2" t="s">
        <v>10848</v>
      </c>
      <c r="C4368" s="2" t="s">
        <v>195</v>
      </c>
      <c r="D4368" s="2" t="s">
        <v>50</v>
      </c>
      <c r="E4368" s="5">
        <v>-31003</v>
      </c>
      <c r="F4368" s="3" t="s">
        <v>405</v>
      </c>
      <c r="G4368" s="3" t="s">
        <v>1136</v>
      </c>
      <c r="H4368" s="2" t="s">
        <v>72</v>
      </c>
      <c r="I4368" s="2" t="s">
        <v>10849</v>
      </c>
      <c r="J4368" s="3" t="str">
        <f>HYPERLINK("https://www.boe.es/gazeta/dias/1815/02/11/pdfs/GMD-1815-18.pdf#page=7","Abrir facsímil")</f>
        <v>Abrir facsímil</v>
      </c>
      <c r="K4368" s="3" t="s">
        <v>74</v>
      </c>
    </row>
    <row r="4369" spans="1:11" ht="42" customHeight="1">
      <c r="A4369" s="2" t="s">
        <v>10850</v>
      </c>
      <c r="B4369" s="2" t="s">
        <v>10851</v>
      </c>
      <c r="C4369" s="2" t="s">
        <v>31</v>
      </c>
      <c r="D4369" s="2" t="s">
        <v>32</v>
      </c>
      <c r="E4369" s="5">
        <v>-30916</v>
      </c>
      <c r="F4369" s="3" t="s">
        <v>147</v>
      </c>
      <c r="G4369" s="3" t="s">
        <v>148</v>
      </c>
      <c r="H4369" s="2" t="s">
        <v>72</v>
      </c>
      <c r="I4369" s="2" t="s">
        <v>10852</v>
      </c>
      <c r="J4369" s="3" t="str">
        <f>HYPERLINK("https://www.boe.es/gazeta/dias/1815/05/09/pdfs/GMD-1815-56.pdf#page=7","Abrir facsímil")</f>
        <v>Abrir facsímil</v>
      </c>
      <c r="K4369" s="3" t="s">
        <v>74</v>
      </c>
    </row>
    <row r="4370" spans="1:11" ht="42" customHeight="1">
      <c r="A4370" s="2" t="s">
        <v>10853</v>
      </c>
      <c r="B4370" s="2" t="s">
        <v>10854</v>
      </c>
      <c r="C4370" s="2" t="s">
        <v>131</v>
      </c>
      <c r="D4370" s="2" t="s">
        <v>50</v>
      </c>
      <c r="E4370" s="5">
        <v>-30963</v>
      </c>
      <c r="F4370" s="3" t="s">
        <v>879</v>
      </c>
      <c r="G4370" s="3" t="s">
        <v>71</v>
      </c>
      <c r="H4370" s="2" t="s">
        <v>72</v>
      </c>
      <c r="I4370" s="2" t="s">
        <v>10855</v>
      </c>
      <c r="J4370" s="3" t="str">
        <f>HYPERLINK("https://www.boe.es/gazeta/dias/1815/03/23/pdfs/GMD-1815-35.pdf#page=7","Abrir facsímil")</f>
        <v>Abrir facsímil</v>
      </c>
      <c r="K4370" s="3" t="s">
        <v>74</v>
      </c>
    </row>
    <row r="4371" spans="1:11" ht="42" customHeight="1">
      <c r="A4371" s="2" t="s">
        <v>10856</v>
      </c>
      <c r="B4371" s="2" t="s">
        <v>10857</v>
      </c>
      <c r="C4371" s="2" t="s">
        <v>49</v>
      </c>
      <c r="D4371" s="2" t="s">
        <v>50</v>
      </c>
      <c r="E4371" s="5">
        <v>-30767</v>
      </c>
      <c r="F4371" s="3" t="s">
        <v>228</v>
      </c>
      <c r="G4371" s="3" t="s">
        <v>88</v>
      </c>
      <c r="H4371" s="2" t="s">
        <v>72</v>
      </c>
      <c r="I4371" s="2" t="s">
        <v>10858</v>
      </c>
      <c r="J4371" s="3" t="str">
        <f>HYPERLINK("https://www.boe.es/gazeta/dias/1815/10/05/pdfs/GMD-1815-125.pdf#page=10","Abrir facsímil")</f>
        <v>Abrir facsímil</v>
      </c>
      <c r="K4371" s="3" t="s">
        <v>74</v>
      </c>
    </row>
    <row r="4372" spans="1:11" ht="42" customHeight="1">
      <c r="A4372" s="2" t="s">
        <v>10859</v>
      </c>
      <c r="B4372" s="2" t="s">
        <v>10860</v>
      </c>
      <c r="C4372" s="2" t="s">
        <v>31</v>
      </c>
      <c r="D4372" s="2" t="s">
        <v>32</v>
      </c>
      <c r="E4372" s="5">
        <v>-31038</v>
      </c>
      <c r="F4372" s="3" t="s">
        <v>395</v>
      </c>
      <c r="G4372" s="3" t="s">
        <v>396</v>
      </c>
      <c r="H4372" s="2" t="s">
        <v>72</v>
      </c>
      <c r="I4372" s="2" t="s">
        <v>10861</v>
      </c>
      <c r="J4372" s="3" t="str">
        <f>HYPERLINK("https://www.boe.es/gazeta/dias/1815/01/07/pdfs/GMD-1815-3.pdf#page=5","Abrir facsímil")</f>
        <v>Abrir facsímil</v>
      </c>
      <c r="K4372" s="3" t="s">
        <v>74</v>
      </c>
    </row>
    <row r="4373" spans="1:11" ht="42" customHeight="1">
      <c r="A4373" s="2" t="s">
        <v>10862</v>
      </c>
      <c r="B4373" s="2" t="s">
        <v>10863</v>
      </c>
      <c r="C4373" s="2" t="s">
        <v>49</v>
      </c>
      <c r="D4373" s="2" t="s">
        <v>50</v>
      </c>
      <c r="E4373" s="5">
        <v>-30886</v>
      </c>
      <c r="F4373" s="3" t="s">
        <v>140</v>
      </c>
      <c r="G4373" s="3" t="s">
        <v>38</v>
      </c>
      <c r="H4373" s="2" t="s">
        <v>72</v>
      </c>
      <c r="I4373" s="2" t="s">
        <v>10864</v>
      </c>
      <c r="J4373" s="3" t="str">
        <f>HYPERLINK("https://www.boe.es/gazeta/dias/1815/06/08/pdfs/GMD-1815-69.pdf#page=8","Abrir facsímil")</f>
        <v>Abrir facsímil</v>
      </c>
      <c r="K4373" s="3" t="s">
        <v>74</v>
      </c>
    </row>
    <row r="4374" spans="1:11" ht="42" customHeight="1">
      <c r="A4374" s="2" t="s">
        <v>10865</v>
      </c>
      <c r="B4374" s="2" t="s">
        <v>10866</v>
      </c>
      <c r="C4374" s="2" t="s">
        <v>31</v>
      </c>
      <c r="D4374" s="2" t="s">
        <v>32</v>
      </c>
      <c r="E4374" s="5">
        <v>-30839</v>
      </c>
      <c r="F4374" s="3" t="s">
        <v>616</v>
      </c>
      <c r="G4374" s="3" t="s">
        <v>27</v>
      </c>
      <c r="H4374" s="2" t="s">
        <v>72</v>
      </c>
      <c r="I4374" s="2" t="s">
        <v>10867</v>
      </c>
      <c r="J4374" s="3" t="str">
        <f>HYPERLINK("https://www.boe.es/gazeta/dias/1815/07/25/pdfs/GMD-1815-91.pdf#page=6","Abrir facsímil")</f>
        <v>Abrir facsímil</v>
      </c>
      <c r="K4374" s="3" t="s">
        <v>74</v>
      </c>
    </row>
    <row r="4375" spans="1:11" ht="42" customHeight="1">
      <c r="A4375" s="2" t="s">
        <v>10868</v>
      </c>
      <c r="B4375" s="2" t="s">
        <v>10869</v>
      </c>
      <c r="C4375" s="2" t="s">
        <v>195</v>
      </c>
      <c r="D4375" s="2" t="s">
        <v>50</v>
      </c>
      <c r="E4375" s="5">
        <v>-30886</v>
      </c>
      <c r="F4375" s="3" t="s">
        <v>140</v>
      </c>
      <c r="G4375" s="3" t="s">
        <v>52</v>
      </c>
      <c r="H4375" s="2" t="s">
        <v>21</v>
      </c>
      <c r="I4375" s="2" t="s">
        <v>10870</v>
      </c>
      <c r="J4375" s="3" t="str">
        <f>HYPERLINK("https://www.boe.es/gazeta/dias/1815/06/08/pdfs/GMD-1815-69.pdf#page=11","Abrir facsímil")</f>
        <v>Abrir facsímil</v>
      </c>
      <c r="K4375" s="3" t="s">
        <v>23</v>
      </c>
    </row>
    <row r="4376" spans="1:11" ht="42" customHeight="1">
      <c r="A4376" s="2" t="s">
        <v>10871</v>
      </c>
      <c r="B4376" s="2" t="s">
        <v>10872</v>
      </c>
      <c r="C4376" s="2" t="s">
        <v>31</v>
      </c>
      <c r="D4376" s="2" t="s">
        <v>32</v>
      </c>
      <c r="E4376" s="5">
        <v>-30872</v>
      </c>
      <c r="F4376" s="3" t="s">
        <v>167</v>
      </c>
      <c r="G4376" s="3" t="s">
        <v>224</v>
      </c>
      <c r="H4376" s="2" t="s">
        <v>72</v>
      </c>
      <c r="I4376" s="2" t="s">
        <v>10873</v>
      </c>
      <c r="J4376" s="3" t="str">
        <f>HYPERLINK("https://www.boe.es/gazeta/dias/1815/06/22/pdfs/GMD-1815-75.pdf#page=9","Abrir facsímil")</f>
        <v>Abrir facsímil</v>
      </c>
      <c r="K4376" s="3" t="s">
        <v>74</v>
      </c>
    </row>
    <row r="4377" spans="1:11" ht="42" customHeight="1">
      <c r="A4377" s="2" t="s">
        <v>10874</v>
      </c>
      <c r="B4377" s="2" t="s">
        <v>10875</v>
      </c>
      <c r="C4377" s="2" t="s">
        <v>31</v>
      </c>
      <c r="D4377" s="2" t="s">
        <v>32</v>
      </c>
      <c r="E4377" s="5">
        <v>-30898</v>
      </c>
      <c r="F4377" s="3" t="s">
        <v>212</v>
      </c>
      <c r="G4377" s="3" t="s">
        <v>38</v>
      </c>
      <c r="H4377" s="2" t="s">
        <v>72</v>
      </c>
      <c r="I4377" s="2" t="s">
        <v>10876</v>
      </c>
      <c r="J4377" s="3" t="str">
        <f>HYPERLINK("https://www.boe.es/gazeta/dias/1815/05/27/pdfs/GMD-1815-64.pdf#page=8","Abrir facsímil")</f>
        <v>Abrir facsímil</v>
      </c>
      <c r="K4377" s="3" t="s">
        <v>74</v>
      </c>
    </row>
    <row r="4378" spans="1:11" ht="42" customHeight="1">
      <c r="A4378" s="2" t="s">
        <v>10877</v>
      </c>
      <c r="B4378" s="2" t="s">
        <v>10878</v>
      </c>
      <c r="C4378" s="2" t="s">
        <v>31</v>
      </c>
      <c r="D4378" s="2" t="s">
        <v>179</v>
      </c>
      <c r="E4378" s="5">
        <v>-30801</v>
      </c>
      <c r="F4378" s="3" t="s">
        <v>4575</v>
      </c>
      <c r="G4378" s="3" t="s">
        <v>410</v>
      </c>
      <c r="H4378" s="2" t="s">
        <v>72</v>
      </c>
      <c r="I4378" s="2" t="s">
        <v>10879</v>
      </c>
      <c r="J4378" s="3" t="str">
        <f>HYPERLINK("https://www.boe.es/gazeta/dias/1815/09/01/pdfs/GMD-1815-108E.pdf#page=1","Abrir facsímil")</f>
        <v>Abrir facsímil</v>
      </c>
      <c r="K4378" s="3" t="s">
        <v>74</v>
      </c>
    </row>
    <row r="4379" spans="1:11" ht="42" customHeight="1">
      <c r="A4379" s="2" t="s">
        <v>10880</v>
      </c>
      <c r="B4379" s="2" t="s">
        <v>10881</v>
      </c>
      <c r="C4379" s="2" t="s">
        <v>17</v>
      </c>
      <c r="D4379" s="2" t="s">
        <v>18</v>
      </c>
      <c r="E4379" s="5">
        <v>-30769</v>
      </c>
      <c r="F4379" s="3" t="s">
        <v>1641</v>
      </c>
      <c r="G4379" s="3" t="s">
        <v>10210</v>
      </c>
      <c r="H4379" s="2" t="s">
        <v>72</v>
      </c>
      <c r="I4379" s="2" t="s">
        <v>10882</v>
      </c>
      <c r="J4379" s="3" t="str">
        <f>HYPERLINK("https://www.boe.es/gazeta/dias/1815/10/03/pdfs/GMD-1815-124.pdf#page=7","Abrir facsímil")</f>
        <v>Abrir facsímil</v>
      </c>
      <c r="K4379" s="3" t="s">
        <v>74</v>
      </c>
    </row>
    <row r="4380" spans="1:11" ht="42" customHeight="1">
      <c r="A4380" s="2" t="s">
        <v>10883</v>
      </c>
      <c r="B4380" s="2" t="s">
        <v>10883</v>
      </c>
      <c r="C4380" s="2" t="s">
        <v>31</v>
      </c>
      <c r="D4380" s="2" t="s">
        <v>32</v>
      </c>
      <c r="E4380" s="5">
        <v>-30879</v>
      </c>
      <c r="F4380" s="3" t="s">
        <v>754</v>
      </c>
      <c r="G4380" s="3" t="s">
        <v>27</v>
      </c>
      <c r="H4380" s="2" t="s">
        <v>72</v>
      </c>
      <c r="I4380" s="2" t="s">
        <v>10884</v>
      </c>
      <c r="J4380" s="3" t="str">
        <f>HYPERLINK("https://www.boe.es/gazeta/dias/1815/06/15/pdfs/GMD-1815-72.pdf#page=6","Abrir facsímil")</f>
        <v>Abrir facsímil</v>
      </c>
      <c r="K4380" s="3" t="s">
        <v>74</v>
      </c>
    </row>
    <row r="4381" spans="1:11" ht="42" customHeight="1">
      <c r="A4381" s="2" t="s">
        <v>10885</v>
      </c>
      <c r="B4381" s="2" t="s">
        <v>10886</v>
      </c>
      <c r="C4381" s="2" t="s">
        <v>49</v>
      </c>
      <c r="D4381" s="2" t="s">
        <v>50</v>
      </c>
      <c r="E4381" s="5">
        <v>-30863</v>
      </c>
      <c r="F4381" s="3" t="s">
        <v>110</v>
      </c>
      <c r="G4381" s="3" t="s">
        <v>224</v>
      </c>
      <c r="H4381" s="2" t="s">
        <v>72</v>
      </c>
      <c r="I4381" s="2" t="s">
        <v>10887</v>
      </c>
      <c r="J4381" s="3" t="str">
        <f>HYPERLINK("https://www.boe.es/gazeta/dias/1815/07/01/pdfs/GMD-1815-79.pdf#page=9","Abrir facsímil")</f>
        <v>Abrir facsímil</v>
      </c>
      <c r="K4381" s="3" t="s">
        <v>74</v>
      </c>
    </row>
    <row r="4382" spans="1:11" ht="42" customHeight="1">
      <c r="A4382" s="2" t="s">
        <v>10888</v>
      </c>
      <c r="B4382" s="2" t="s">
        <v>10889</v>
      </c>
      <c r="C4382" s="2" t="s">
        <v>31</v>
      </c>
      <c r="D4382" s="2" t="s">
        <v>32</v>
      </c>
      <c r="E4382" s="5">
        <v>-31038</v>
      </c>
      <c r="F4382" s="3" t="s">
        <v>395</v>
      </c>
      <c r="G4382" s="3" t="s">
        <v>27</v>
      </c>
      <c r="H4382" s="2" t="s">
        <v>72</v>
      </c>
      <c r="I4382" s="2" t="s">
        <v>10890</v>
      </c>
      <c r="J4382" s="3" t="str">
        <f>HYPERLINK("https://www.boe.es/gazeta/dias/1815/01/07/pdfs/GMD-1815-3.pdf#page=6","Abrir facsímil")</f>
        <v>Abrir facsímil</v>
      </c>
      <c r="K4382" s="3" t="s">
        <v>74</v>
      </c>
    </row>
    <row r="4383" spans="1:11" ht="42" customHeight="1">
      <c r="A4383" s="2" t="s">
        <v>10891</v>
      </c>
      <c r="B4383" s="2" t="s">
        <v>10892</v>
      </c>
      <c r="C4383" s="2" t="s">
        <v>31</v>
      </c>
      <c r="D4383" s="2" t="s">
        <v>32</v>
      </c>
      <c r="E4383" s="5">
        <v>-30741</v>
      </c>
      <c r="F4383" s="3" t="s">
        <v>1000</v>
      </c>
      <c r="G4383" s="3" t="s">
        <v>4582</v>
      </c>
      <c r="H4383" s="2" t="s">
        <v>72</v>
      </c>
      <c r="I4383" s="2" t="s">
        <v>10893</v>
      </c>
      <c r="J4383" s="3" t="str">
        <f>HYPERLINK("https://www.boe.es/gazeta/dias/1815/10/31/pdfs/GMD-1815-136.pdf#page=5","Abrir facsímil")</f>
        <v>Abrir facsímil</v>
      </c>
      <c r="K4383" s="3" t="s">
        <v>74</v>
      </c>
    </row>
    <row r="4384" spans="1:11" ht="42" customHeight="1">
      <c r="A4384" s="2" t="s">
        <v>10894</v>
      </c>
      <c r="B4384" s="2" t="s">
        <v>10895</v>
      </c>
      <c r="C4384" s="2" t="s">
        <v>49</v>
      </c>
      <c r="D4384" s="2" t="s">
        <v>50</v>
      </c>
      <c r="E4384" s="5">
        <v>-30968</v>
      </c>
      <c r="F4384" s="3" t="s">
        <v>2695</v>
      </c>
      <c r="G4384" s="3" t="s">
        <v>276</v>
      </c>
      <c r="H4384" s="2" t="s">
        <v>72</v>
      </c>
      <c r="I4384" s="2" t="s">
        <v>10896</v>
      </c>
      <c r="J4384" s="3" t="str">
        <f>HYPERLINK("https://www.boe.es/gazeta/dias/1815/03/18/pdfs/GMD-1815-33.pdf#page=12","Abrir facsímil")</f>
        <v>Abrir facsímil</v>
      </c>
      <c r="K4384" s="3" t="s">
        <v>74</v>
      </c>
    </row>
    <row r="4385" spans="1:11" ht="42" customHeight="1">
      <c r="A4385" s="2" t="s">
        <v>10897</v>
      </c>
      <c r="B4385" s="2" t="s">
        <v>10898</v>
      </c>
      <c r="C4385" s="2" t="s">
        <v>49</v>
      </c>
      <c r="D4385" s="2" t="s">
        <v>50</v>
      </c>
      <c r="E4385" s="5">
        <v>-30863</v>
      </c>
      <c r="F4385" s="3" t="s">
        <v>110</v>
      </c>
      <c r="G4385" s="3" t="s">
        <v>224</v>
      </c>
      <c r="H4385" s="2" t="s">
        <v>72</v>
      </c>
      <c r="I4385" s="2" t="s">
        <v>10899</v>
      </c>
      <c r="J4385" s="3" t="str">
        <f>HYPERLINK("https://www.boe.es/gazeta/dias/1815/07/01/pdfs/GMD-1815-79.pdf#page=9","Abrir facsímil")</f>
        <v>Abrir facsímil</v>
      </c>
      <c r="K4385" s="3" t="s">
        <v>74</v>
      </c>
    </row>
    <row r="4386" spans="1:11" ht="42" customHeight="1">
      <c r="A4386" s="2" t="s">
        <v>10900</v>
      </c>
      <c r="B4386" s="2" t="s">
        <v>10901</v>
      </c>
      <c r="C4386" s="2" t="s">
        <v>31</v>
      </c>
      <c r="D4386" s="2" t="s">
        <v>32</v>
      </c>
      <c r="E4386" s="5">
        <v>-31038</v>
      </c>
      <c r="F4386" s="3" t="s">
        <v>395</v>
      </c>
      <c r="G4386" s="3" t="s">
        <v>396</v>
      </c>
      <c r="H4386" s="2" t="s">
        <v>72</v>
      </c>
      <c r="I4386" s="2" t="s">
        <v>10902</v>
      </c>
      <c r="J4386" s="3" t="str">
        <f>HYPERLINK("https://www.boe.es/gazeta/dias/1815/01/07/pdfs/GMD-1815-3.pdf#page=5","Abrir facsímil")</f>
        <v>Abrir facsímil</v>
      </c>
      <c r="K4386" s="3" t="s">
        <v>74</v>
      </c>
    </row>
    <row r="4387" spans="1:11" ht="42" customHeight="1">
      <c r="A4387" s="2" t="s">
        <v>10903</v>
      </c>
      <c r="B4387" s="2" t="s">
        <v>10904</v>
      </c>
      <c r="C4387" s="2" t="s">
        <v>31</v>
      </c>
      <c r="D4387" s="2" t="s">
        <v>32</v>
      </c>
      <c r="E4387" s="5">
        <v>-31005</v>
      </c>
      <c r="F4387" s="3" t="s">
        <v>576</v>
      </c>
      <c r="G4387" s="3" t="s">
        <v>97</v>
      </c>
      <c r="H4387" s="2" t="s">
        <v>21</v>
      </c>
      <c r="I4387" s="2" t="s">
        <v>10905</v>
      </c>
      <c r="J4387" s="3" t="str">
        <f>HYPERLINK("https://www.boe.es/gazeta/dias/1815/02/09/pdfs/GMD-1815-17.pdf#page=3","Abrir facsímil")</f>
        <v>Abrir facsímil</v>
      </c>
      <c r="K4387" s="3" t="s">
        <v>23</v>
      </c>
    </row>
    <row r="4388" spans="1:11" ht="42" customHeight="1">
      <c r="A4388" s="2" t="s">
        <v>10906</v>
      </c>
      <c r="B4388" s="2" t="s">
        <v>10907</v>
      </c>
      <c r="C4388" s="2" t="s">
        <v>81</v>
      </c>
      <c r="D4388" s="2" t="s">
        <v>50</v>
      </c>
      <c r="E4388" s="5">
        <v>-31035</v>
      </c>
      <c r="F4388" s="3" t="s">
        <v>42</v>
      </c>
      <c r="G4388" s="3" t="s">
        <v>3551</v>
      </c>
      <c r="H4388" s="2" t="s">
        <v>72</v>
      </c>
      <c r="I4388" s="2" t="s">
        <v>10908</v>
      </c>
      <c r="J4388" s="3" t="str">
        <f>HYPERLINK("https://www.boe.es/gazeta/dias/1815/01/10/pdfs/GMD-1815-4.pdf#page=8","Abrir facsímil")</f>
        <v>Abrir facsímil</v>
      </c>
      <c r="K4388" s="3" t="s">
        <v>74</v>
      </c>
    </row>
    <row r="4389" spans="1:11" ht="42" customHeight="1">
      <c r="A4389" s="2" t="s">
        <v>10909</v>
      </c>
      <c r="B4389" s="2" t="s">
        <v>10910</v>
      </c>
      <c r="C4389" s="2" t="s">
        <v>195</v>
      </c>
      <c r="D4389" s="2" t="s">
        <v>50</v>
      </c>
      <c r="E4389" s="5">
        <v>-31000</v>
      </c>
      <c r="F4389" s="3" t="s">
        <v>70</v>
      </c>
      <c r="G4389" s="3" t="s">
        <v>847</v>
      </c>
      <c r="H4389" s="2" t="s">
        <v>72</v>
      </c>
      <c r="I4389" s="2" t="s">
        <v>10911</v>
      </c>
      <c r="J4389" s="3" t="str">
        <f>HYPERLINK("https://www.boe.es/gazeta/dias/1815/02/14/pdfs/GMD-1815-19.pdf#page=6","Abrir facsímil")</f>
        <v>Abrir facsímil</v>
      </c>
      <c r="K4389" s="3" t="s">
        <v>74</v>
      </c>
    </row>
    <row r="4390" spans="1:11" ht="42" customHeight="1">
      <c r="A4390" s="2" t="s">
        <v>10912</v>
      </c>
      <c r="B4390" s="2" t="s">
        <v>10913</v>
      </c>
      <c r="C4390" s="2" t="s">
        <v>49</v>
      </c>
      <c r="D4390" s="2" t="s">
        <v>50</v>
      </c>
      <c r="E4390" s="5">
        <v>-31038</v>
      </c>
      <c r="F4390" s="3" t="s">
        <v>395</v>
      </c>
      <c r="G4390" s="3" t="s">
        <v>27</v>
      </c>
      <c r="H4390" s="2" t="s">
        <v>72</v>
      </c>
      <c r="I4390" s="2" t="s">
        <v>10914</v>
      </c>
      <c r="J4390" s="3" t="str">
        <f>HYPERLINK("https://www.boe.es/gazeta/dias/1815/01/07/pdfs/GMD-1815-3.pdf#page=6","Abrir facsímil")</f>
        <v>Abrir facsímil</v>
      </c>
      <c r="K4390" s="3" t="s">
        <v>74</v>
      </c>
    </row>
    <row r="4391" spans="1:11" ht="42" customHeight="1">
      <c r="A4391" s="2" t="s">
        <v>10915</v>
      </c>
      <c r="B4391" s="2" t="s">
        <v>10916</v>
      </c>
      <c r="C4391" s="2" t="s">
        <v>31</v>
      </c>
      <c r="D4391" s="2" t="s">
        <v>32</v>
      </c>
      <c r="E4391" s="5">
        <v>-30933</v>
      </c>
      <c r="F4391" s="3" t="s">
        <v>725</v>
      </c>
      <c r="G4391" s="3" t="s">
        <v>3007</v>
      </c>
      <c r="H4391" s="2" t="s">
        <v>72</v>
      </c>
      <c r="I4391" s="2" t="s">
        <v>10917</v>
      </c>
      <c r="J4391" s="3" t="str">
        <f>HYPERLINK("https://www.boe.es/gazeta/dias/1815/04/22/pdfs/GMD-1815-49.pdf#page=8","Abrir facsímil")</f>
        <v>Abrir facsímil</v>
      </c>
      <c r="K4391" s="3" t="s">
        <v>74</v>
      </c>
    </row>
    <row r="4392" spans="1:11" ht="42" customHeight="1">
      <c r="A4392" s="2" t="s">
        <v>10918</v>
      </c>
      <c r="B4392" s="2" t="s">
        <v>10919</v>
      </c>
      <c r="C4392" s="2" t="s">
        <v>17</v>
      </c>
      <c r="D4392" s="2" t="s">
        <v>18</v>
      </c>
      <c r="E4392" s="5">
        <v>-30690</v>
      </c>
      <c r="F4392" s="3" t="s">
        <v>1449</v>
      </c>
      <c r="G4392" s="3" t="s">
        <v>57</v>
      </c>
      <c r="H4392" s="2" t="s">
        <v>72</v>
      </c>
      <c r="I4392" s="2" t="s">
        <v>10920</v>
      </c>
      <c r="J4392" s="3" t="str">
        <f>HYPERLINK("https://www.boe.es/gazeta/dias/1815/12/21/pdfs/GMD-1815-158.pdf#page=5","Abrir facsímil")</f>
        <v>Abrir facsímil</v>
      </c>
      <c r="K4392" s="3" t="s">
        <v>74</v>
      </c>
    </row>
    <row r="4393" spans="1:11" ht="42" customHeight="1">
      <c r="A4393" s="2" t="s">
        <v>10921</v>
      </c>
      <c r="B4393" s="2" t="s">
        <v>10922</v>
      </c>
      <c r="C4393" s="2" t="s">
        <v>31</v>
      </c>
      <c r="D4393" s="2" t="s">
        <v>32</v>
      </c>
      <c r="E4393" s="5">
        <v>-30900</v>
      </c>
      <c r="F4393" s="3" t="s">
        <v>921</v>
      </c>
      <c r="G4393" s="3" t="s">
        <v>88</v>
      </c>
      <c r="H4393" s="2" t="s">
        <v>72</v>
      </c>
      <c r="I4393" s="2" t="s">
        <v>10923</v>
      </c>
      <c r="J4393" s="3" t="str">
        <f>HYPERLINK("https://www.boe.es/gazeta/dias/1815/05/25/pdfs/GMD-1815-63.pdf#page=10","Abrir facsímil")</f>
        <v>Abrir facsímil</v>
      </c>
      <c r="K4393" s="3" t="s">
        <v>74</v>
      </c>
    </row>
    <row r="4394" spans="1:11" ht="42" customHeight="1">
      <c r="A4394" s="2" t="s">
        <v>10921</v>
      </c>
      <c r="B4394" s="2" t="s">
        <v>10922</v>
      </c>
      <c r="C4394" s="2" t="s">
        <v>31</v>
      </c>
      <c r="D4394" s="2" t="s">
        <v>32</v>
      </c>
      <c r="E4394" s="5">
        <v>-30767</v>
      </c>
      <c r="F4394" s="3" t="s">
        <v>228</v>
      </c>
      <c r="G4394" s="3" t="s">
        <v>224</v>
      </c>
      <c r="H4394" s="2" t="s">
        <v>72</v>
      </c>
      <c r="I4394" s="2" t="s">
        <v>10924</v>
      </c>
      <c r="J4394" s="3" t="str">
        <f>HYPERLINK("https://www.boe.es/gazeta/dias/1815/10/05/pdfs/GMD-1815-125.pdf#page=9","Abrir facsímil")</f>
        <v>Abrir facsímil</v>
      </c>
      <c r="K4394" s="3" t="s">
        <v>74</v>
      </c>
    </row>
    <row r="4395" spans="1:11" ht="42" customHeight="1">
      <c r="A4395" s="2" t="s">
        <v>10925</v>
      </c>
      <c r="B4395" s="2" t="s">
        <v>10926</v>
      </c>
      <c r="C4395" s="2" t="s">
        <v>31</v>
      </c>
      <c r="D4395" s="2" t="s">
        <v>32</v>
      </c>
      <c r="E4395" s="5">
        <v>-31031</v>
      </c>
      <c r="F4395" s="3" t="s">
        <v>105</v>
      </c>
      <c r="G4395" s="3" t="s">
        <v>97</v>
      </c>
      <c r="H4395" s="2" t="s">
        <v>72</v>
      </c>
      <c r="I4395" s="2" t="s">
        <v>10927</v>
      </c>
      <c r="J4395" s="3" t="str">
        <f>HYPERLINK("https://www.boe.es/gazeta/dias/1815/01/14/pdfs/GMD-1815-6.pdf#page=3","Abrir facsímil")</f>
        <v>Abrir facsímil</v>
      </c>
      <c r="K4395" s="3" t="s">
        <v>74</v>
      </c>
    </row>
    <row r="4396" spans="1:11" ht="42" customHeight="1">
      <c r="A4396" s="2" t="s">
        <v>10928</v>
      </c>
      <c r="B4396" s="2" t="s">
        <v>10929</v>
      </c>
      <c r="C4396" s="2" t="s">
        <v>195</v>
      </c>
      <c r="D4396" s="2" t="s">
        <v>50</v>
      </c>
      <c r="E4396" s="5">
        <v>-30954</v>
      </c>
      <c r="F4396" s="3" t="s">
        <v>409</v>
      </c>
      <c r="G4396" s="3" t="s">
        <v>38</v>
      </c>
      <c r="H4396" s="2" t="s">
        <v>72</v>
      </c>
      <c r="I4396" s="2" t="s">
        <v>10930</v>
      </c>
      <c r="J4396" s="3" t="str">
        <f>HYPERLINK("https://www.boe.es/gazeta/dias/1815/04/01/pdfs/GMD-1815-39.pdf#page=8","Abrir facsímil")</f>
        <v>Abrir facsímil</v>
      </c>
      <c r="K4396" s="3" t="s">
        <v>74</v>
      </c>
    </row>
    <row r="4397" spans="1:11" ht="42" customHeight="1">
      <c r="A4397" s="2" t="s">
        <v>10931</v>
      </c>
      <c r="B4397" s="2" t="s">
        <v>10932</v>
      </c>
      <c r="C4397" s="2" t="s">
        <v>31</v>
      </c>
      <c r="D4397" s="2" t="s">
        <v>32</v>
      </c>
      <c r="E4397" s="5">
        <v>-31038</v>
      </c>
      <c r="F4397" s="3" t="s">
        <v>395</v>
      </c>
      <c r="G4397" s="3" t="s">
        <v>396</v>
      </c>
      <c r="H4397" s="2" t="s">
        <v>72</v>
      </c>
      <c r="I4397" s="2" t="s">
        <v>10933</v>
      </c>
      <c r="J4397" s="3" t="str">
        <f>HYPERLINK("https://www.boe.es/gazeta/dias/1815/01/07/pdfs/GMD-1815-3.pdf#page=5","Abrir facsímil")</f>
        <v>Abrir facsímil</v>
      </c>
      <c r="K4397" s="3" t="s">
        <v>74</v>
      </c>
    </row>
    <row r="4398" spans="1:11" ht="42" customHeight="1">
      <c r="A4398" s="2" t="s">
        <v>10934</v>
      </c>
      <c r="B4398" s="2" t="s">
        <v>10934</v>
      </c>
      <c r="C4398" s="2" t="s">
        <v>61</v>
      </c>
      <c r="D4398" s="2" t="s">
        <v>50</v>
      </c>
      <c r="E4398" s="5">
        <v>-30702</v>
      </c>
      <c r="F4398" s="3" t="s">
        <v>196</v>
      </c>
      <c r="G4398" s="3" t="s">
        <v>38</v>
      </c>
      <c r="H4398" s="2" t="s">
        <v>72</v>
      </c>
      <c r="I4398" s="2" t="s">
        <v>10935</v>
      </c>
      <c r="J4398" s="3" t="str">
        <f>HYPERLINK("https://www.boe.es/gazeta/dias/1815/12/09/pdfs/GMD-1815-153.pdf#page=8","Abrir facsímil")</f>
        <v>Abrir facsímil</v>
      </c>
      <c r="K4398" s="3" t="s">
        <v>74</v>
      </c>
    </row>
    <row r="4399" spans="1:11" ht="42" customHeight="1">
      <c r="A4399" s="2" t="s">
        <v>10936</v>
      </c>
      <c r="B4399" s="2" t="s">
        <v>10936</v>
      </c>
      <c r="C4399" s="2" t="s">
        <v>31</v>
      </c>
      <c r="D4399" s="2" t="s">
        <v>32</v>
      </c>
      <c r="E4399" s="5">
        <v>-30837</v>
      </c>
      <c r="F4399" s="3" t="s">
        <v>2256</v>
      </c>
      <c r="G4399" s="3" t="s">
        <v>377</v>
      </c>
      <c r="H4399" s="2" t="s">
        <v>72</v>
      </c>
      <c r="I4399" s="2" t="s">
        <v>10937</v>
      </c>
      <c r="J4399" s="3" t="str">
        <f>HYPERLINK("https://www.boe.es/gazeta/dias/1815/07/27/pdfs/GMD-1815-92.pdf#page=2","Abrir facsímil")</f>
        <v>Abrir facsímil</v>
      </c>
      <c r="K4399" s="3" t="s">
        <v>74</v>
      </c>
    </row>
    <row r="4400" spans="1:11" ht="42" customHeight="1">
      <c r="A4400" s="2" t="s">
        <v>10938</v>
      </c>
      <c r="B4400" s="2" t="s">
        <v>10939</v>
      </c>
      <c r="C4400" s="2" t="s">
        <v>49</v>
      </c>
      <c r="D4400" s="2" t="s">
        <v>50</v>
      </c>
      <c r="E4400" s="5">
        <v>-30916</v>
      </c>
      <c r="F4400" s="3" t="s">
        <v>147</v>
      </c>
      <c r="G4400" s="3" t="s">
        <v>224</v>
      </c>
      <c r="H4400" s="2" t="s">
        <v>72</v>
      </c>
      <c r="I4400" s="2" t="s">
        <v>10940</v>
      </c>
      <c r="J4400" s="3" t="str">
        <f>HYPERLINK("https://www.boe.es/gazeta/dias/1815/05/09/pdfs/GMD-1815-56.pdf#page=9","Abrir facsímil")</f>
        <v>Abrir facsímil</v>
      </c>
      <c r="K4400" s="3" t="s">
        <v>74</v>
      </c>
    </row>
    <row r="4401" spans="1:11" ht="42" customHeight="1">
      <c r="A4401" s="2" t="s">
        <v>10941</v>
      </c>
      <c r="B4401" s="2" t="s">
        <v>10942</v>
      </c>
      <c r="C4401" s="2" t="s">
        <v>17</v>
      </c>
      <c r="D4401" s="2" t="s">
        <v>18</v>
      </c>
      <c r="E4401" s="5">
        <v>-30900</v>
      </c>
      <c r="F4401" s="3" t="s">
        <v>921</v>
      </c>
      <c r="G4401" s="3" t="s">
        <v>88</v>
      </c>
      <c r="H4401" s="2" t="s">
        <v>72</v>
      </c>
      <c r="I4401" s="2" t="s">
        <v>10943</v>
      </c>
      <c r="J4401" s="3" t="str">
        <f>HYPERLINK("https://www.boe.es/gazeta/dias/1815/05/25/pdfs/GMD-1815-63.pdf#page=10","Abrir facsímil")</f>
        <v>Abrir facsímil</v>
      </c>
      <c r="K4401" s="3" t="s">
        <v>74</v>
      </c>
    </row>
    <row r="4402" spans="1:11" ht="42" customHeight="1">
      <c r="A4402" s="2" t="s">
        <v>10944</v>
      </c>
      <c r="B4402" s="2" t="s">
        <v>10945</v>
      </c>
      <c r="C4402" s="2" t="s">
        <v>49</v>
      </c>
      <c r="D4402" s="2" t="s">
        <v>50</v>
      </c>
      <c r="E4402" s="5">
        <v>-30916</v>
      </c>
      <c r="F4402" s="3" t="s">
        <v>147</v>
      </c>
      <c r="G4402" s="3" t="s">
        <v>148</v>
      </c>
      <c r="H4402" s="2" t="s">
        <v>72</v>
      </c>
      <c r="I4402" s="2" t="s">
        <v>10946</v>
      </c>
      <c r="J4402" s="3" t="str">
        <f>HYPERLINK("https://www.boe.es/gazeta/dias/1815/05/09/pdfs/GMD-1815-56.pdf#page=7","Abrir facsímil")</f>
        <v>Abrir facsímil</v>
      </c>
      <c r="K4402" s="3" t="s">
        <v>74</v>
      </c>
    </row>
    <row r="4403" spans="1:11" ht="42" customHeight="1">
      <c r="A4403" s="2" t="s">
        <v>10947</v>
      </c>
      <c r="B4403" s="2" t="s">
        <v>10948</v>
      </c>
      <c r="C4403" s="2" t="s">
        <v>49</v>
      </c>
      <c r="D4403" s="2" t="s">
        <v>50</v>
      </c>
      <c r="E4403" s="5">
        <v>-30916</v>
      </c>
      <c r="F4403" s="3" t="s">
        <v>147</v>
      </c>
      <c r="G4403" s="3" t="s">
        <v>38</v>
      </c>
      <c r="H4403" s="2" t="s">
        <v>72</v>
      </c>
      <c r="I4403" s="2" t="s">
        <v>10949</v>
      </c>
      <c r="J4403" s="3" t="str">
        <f>HYPERLINK("https://www.boe.es/gazeta/dias/1815/05/09/pdfs/GMD-1815-56.pdf#page=8","Abrir facsímil")</f>
        <v>Abrir facsímil</v>
      </c>
      <c r="K4403" s="3" t="s">
        <v>74</v>
      </c>
    </row>
    <row r="4404" spans="1:11" ht="42" customHeight="1">
      <c r="A4404" s="2" t="s">
        <v>10950</v>
      </c>
      <c r="B4404" s="2" t="s">
        <v>10951</v>
      </c>
      <c r="C4404" s="2" t="s">
        <v>31</v>
      </c>
      <c r="D4404" s="2" t="s">
        <v>32</v>
      </c>
      <c r="E4404" s="5">
        <v>-30870</v>
      </c>
      <c r="F4404" s="3" t="s">
        <v>122</v>
      </c>
      <c r="G4404" s="3" t="s">
        <v>52</v>
      </c>
      <c r="H4404" s="2" t="s">
        <v>72</v>
      </c>
      <c r="I4404" s="2" t="s">
        <v>10952</v>
      </c>
      <c r="J4404" s="3" t="str">
        <f>HYPERLINK("https://www.boe.es/gazeta/dias/1815/06/24/pdfs/GMD-1815-76.pdf#page=11","Abrir facsímil")</f>
        <v>Abrir facsímil</v>
      </c>
      <c r="K4404" s="3" t="s">
        <v>74</v>
      </c>
    </row>
    <row r="4405" spans="1:11" ht="42" customHeight="1">
      <c r="A4405" s="2" t="s">
        <v>10953</v>
      </c>
      <c r="B4405" s="2" t="s">
        <v>10954</v>
      </c>
      <c r="C4405" s="2" t="s">
        <v>31</v>
      </c>
      <c r="D4405" s="2" t="s">
        <v>32</v>
      </c>
      <c r="E4405" s="5">
        <v>-30893</v>
      </c>
      <c r="F4405" s="3" t="s">
        <v>132</v>
      </c>
      <c r="G4405" s="3" t="s">
        <v>155</v>
      </c>
      <c r="H4405" s="2" t="s">
        <v>72</v>
      </c>
      <c r="I4405" s="2" t="s">
        <v>10955</v>
      </c>
      <c r="J4405" s="3" t="str">
        <f>HYPERLINK("https://www.boe.es/gazeta/dias/1815/06/01/pdfs/GMD-1815-66.pdf#page=6","Abrir facsímil")</f>
        <v>Abrir facsímil</v>
      </c>
      <c r="K4405" s="3" t="s">
        <v>74</v>
      </c>
    </row>
    <row r="4406" spans="1:11" ht="42" customHeight="1">
      <c r="A4406" s="2" t="s">
        <v>10956</v>
      </c>
      <c r="B4406" s="2" t="s">
        <v>10957</v>
      </c>
      <c r="C4406" s="2" t="s">
        <v>31</v>
      </c>
      <c r="D4406" s="2" t="s">
        <v>32</v>
      </c>
      <c r="E4406" s="5">
        <v>-30970</v>
      </c>
      <c r="F4406" s="3" t="s">
        <v>436</v>
      </c>
      <c r="G4406" s="3" t="s">
        <v>38</v>
      </c>
      <c r="H4406" s="2" t="s">
        <v>72</v>
      </c>
      <c r="I4406" s="2" t="s">
        <v>10958</v>
      </c>
      <c r="J4406" s="3" t="str">
        <f>HYPERLINK("https://www.boe.es/gazeta/dias/1815/03/16/pdfs/GMD-1815-32.pdf#page=8","Abrir facsímil")</f>
        <v>Abrir facsímil</v>
      </c>
      <c r="K4406" s="3" t="s">
        <v>74</v>
      </c>
    </row>
    <row r="4407" spans="1:11" ht="42" customHeight="1">
      <c r="A4407" s="2" t="s">
        <v>10959</v>
      </c>
      <c r="B4407" s="2" t="s">
        <v>10960</v>
      </c>
      <c r="C4407" s="2" t="s">
        <v>31</v>
      </c>
      <c r="D4407" s="2" t="s">
        <v>32</v>
      </c>
      <c r="E4407" s="5">
        <v>-30793</v>
      </c>
      <c r="F4407" s="3" t="s">
        <v>1704</v>
      </c>
      <c r="G4407" s="3" t="s">
        <v>38</v>
      </c>
      <c r="H4407" s="2" t="s">
        <v>72</v>
      </c>
      <c r="I4407" s="2" t="s">
        <v>10961</v>
      </c>
      <c r="J4407" s="3" t="str">
        <f>HYPERLINK("https://www.boe.es/gazeta/dias/1815/09/09/pdfs/GMD-1815-112.pdf#page=8","Abrir facsímil")</f>
        <v>Abrir facsímil</v>
      </c>
      <c r="K4407" s="3" t="s">
        <v>74</v>
      </c>
    </row>
    <row r="4408" spans="1:11" ht="42" customHeight="1">
      <c r="A4408" s="2" t="s">
        <v>10962</v>
      </c>
      <c r="B4408" s="2" t="s">
        <v>10963</v>
      </c>
      <c r="C4408" s="2" t="s">
        <v>31</v>
      </c>
      <c r="D4408" s="2" t="s">
        <v>32</v>
      </c>
      <c r="E4408" s="5">
        <v>-31038</v>
      </c>
      <c r="F4408" s="3" t="s">
        <v>395</v>
      </c>
      <c r="G4408" s="3" t="s">
        <v>20</v>
      </c>
      <c r="H4408" s="2" t="s">
        <v>72</v>
      </c>
      <c r="I4408" s="2" t="s">
        <v>10964</v>
      </c>
      <c r="J4408" s="3" t="str">
        <f>HYPERLINK("https://www.boe.es/gazeta/dias/1815/01/07/pdfs/GMD-1815-3.pdf#page=4","Abrir facsímil")</f>
        <v>Abrir facsímil</v>
      </c>
      <c r="K4408" s="3" t="s">
        <v>74</v>
      </c>
    </row>
    <row r="4409" spans="1:11" ht="42" customHeight="1">
      <c r="A4409" s="2" t="s">
        <v>10965</v>
      </c>
      <c r="B4409" s="2" t="s">
        <v>10966</v>
      </c>
      <c r="C4409" s="2" t="s">
        <v>17</v>
      </c>
      <c r="D4409" s="2" t="s">
        <v>18</v>
      </c>
      <c r="E4409" s="5">
        <v>-30944</v>
      </c>
      <c r="F4409" s="3" t="s">
        <v>412</v>
      </c>
      <c r="G4409" s="3" t="s">
        <v>71</v>
      </c>
      <c r="H4409" s="2" t="s">
        <v>72</v>
      </c>
      <c r="I4409" s="2" t="s">
        <v>10967</v>
      </c>
      <c r="J4409" s="3" t="str">
        <f>HYPERLINK("https://www.boe.es/gazeta/dias/1815/04/11/pdfs/GMD-1815-44.pdf#page=7","Abrir facsímil")</f>
        <v>Abrir facsímil</v>
      </c>
      <c r="K4409" s="3" t="s">
        <v>74</v>
      </c>
    </row>
    <row r="4410" spans="1:11" ht="42" customHeight="1">
      <c r="A4410" s="2" t="s">
        <v>10965</v>
      </c>
      <c r="B4410" s="2" t="s">
        <v>10966</v>
      </c>
      <c r="C4410" s="2" t="s">
        <v>31</v>
      </c>
      <c r="D4410" s="2" t="s">
        <v>32</v>
      </c>
      <c r="E4410" s="5">
        <v>-30863</v>
      </c>
      <c r="F4410" s="3" t="s">
        <v>110</v>
      </c>
      <c r="G4410" s="3" t="s">
        <v>224</v>
      </c>
      <c r="H4410" s="2" t="s">
        <v>72</v>
      </c>
      <c r="I4410" s="2" t="s">
        <v>10968</v>
      </c>
      <c r="J4410" s="3" t="str">
        <f>HYPERLINK("https://www.boe.es/gazeta/dias/1815/07/01/pdfs/GMD-1815-79.pdf#page=9","Abrir facsímil")</f>
        <v>Abrir facsímil</v>
      </c>
      <c r="K4410" s="3" t="s">
        <v>74</v>
      </c>
    </row>
    <row r="4411" spans="1:11" ht="42" customHeight="1">
      <c r="A4411" s="2" t="s">
        <v>10969</v>
      </c>
      <c r="B4411" s="2" t="s">
        <v>10970</v>
      </c>
      <c r="C4411" s="2" t="s">
        <v>49</v>
      </c>
      <c r="D4411" s="2" t="s">
        <v>50</v>
      </c>
      <c r="E4411" s="5">
        <v>-30893</v>
      </c>
      <c r="F4411" s="3" t="s">
        <v>132</v>
      </c>
      <c r="G4411" s="3" t="s">
        <v>155</v>
      </c>
      <c r="H4411" s="2" t="s">
        <v>72</v>
      </c>
      <c r="I4411" s="2" t="s">
        <v>10971</v>
      </c>
      <c r="J4411" s="3" t="str">
        <f>HYPERLINK("https://www.boe.es/gazeta/dias/1815/06/01/pdfs/GMD-1815-66.pdf#page=6","Abrir facsímil")</f>
        <v>Abrir facsímil</v>
      </c>
      <c r="K4411" s="3" t="s">
        <v>74</v>
      </c>
    </row>
    <row r="4412" spans="1:11" ht="42" customHeight="1">
      <c r="A4412" s="2" t="s">
        <v>10972</v>
      </c>
      <c r="B4412" s="2" t="s">
        <v>10973</v>
      </c>
      <c r="C4412" s="2" t="s">
        <v>49</v>
      </c>
      <c r="D4412" s="2" t="s">
        <v>50</v>
      </c>
      <c r="E4412" s="5">
        <v>-30818</v>
      </c>
      <c r="F4412" s="3" t="s">
        <v>334</v>
      </c>
      <c r="G4412" s="3" t="s">
        <v>224</v>
      </c>
      <c r="H4412" s="2" t="s">
        <v>72</v>
      </c>
      <c r="I4412" s="2" t="s">
        <v>10974</v>
      </c>
      <c r="J4412" s="3" t="str">
        <f>HYPERLINK("https://www.boe.es/gazeta/dias/1815/08/15/pdfs/GMD-1815-100.pdf#page=9","Abrir facsímil")</f>
        <v>Abrir facsímil</v>
      </c>
      <c r="K4412" s="3" t="s">
        <v>74</v>
      </c>
    </row>
    <row r="4413" spans="1:11" ht="42" customHeight="1">
      <c r="A4413" s="2" t="s">
        <v>10975</v>
      </c>
      <c r="B4413" s="2" t="s">
        <v>10976</v>
      </c>
      <c r="C4413" s="2" t="s">
        <v>49</v>
      </c>
      <c r="D4413" s="2" t="s">
        <v>50</v>
      </c>
      <c r="E4413" s="5">
        <v>-30886</v>
      </c>
      <c r="F4413" s="3" t="s">
        <v>140</v>
      </c>
      <c r="G4413" s="3" t="s">
        <v>224</v>
      </c>
      <c r="H4413" s="2" t="s">
        <v>72</v>
      </c>
      <c r="I4413" s="2" t="s">
        <v>10977</v>
      </c>
      <c r="J4413" s="3" t="str">
        <f>HYPERLINK("https://www.boe.es/gazeta/dias/1815/06/08/pdfs/GMD-1815-69.pdf#page=9","Abrir facsímil")</f>
        <v>Abrir facsímil</v>
      </c>
      <c r="K4413" s="3" t="s">
        <v>74</v>
      </c>
    </row>
    <row r="4414" spans="1:11" ht="42" customHeight="1">
      <c r="A4414" s="2" t="s">
        <v>10978</v>
      </c>
      <c r="B4414" s="2" t="s">
        <v>10979</v>
      </c>
      <c r="C4414" s="2" t="s">
        <v>17</v>
      </c>
      <c r="D4414" s="2" t="s">
        <v>18</v>
      </c>
      <c r="E4414" s="5">
        <v>-30893</v>
      </c>
      <c r="F4414" s="3" t="s">
        <v>132</v>
      </c>
      <c r="G4414" s="3" t="s">
        <v>71</v>
      </c>
      <c r="H4414" s="2" t="s">
        <v>21</v>
      </c>
      <c r="I4414" s="2" t="s">
        <v>10980</v>
      </c>
      <c r="J4414" s="3" t="str">
        <f>HYPERLINK("https://www.boe.es/gazeta/dias/1815/06/01/pdfs/GMD-1815-66.pdf#page=7","Abrir facsímil")</f>
        <v>Abrir facsímil</v>
      </c>
      <c r="K4414" s="3" t="s">
        <v>23</v>
      </c>
    </row>
    <row r="4415" spans="1:11" ht="42" customHeight="1">
      <c r="A4415" s="2" t="s">
        <v>10981</v>
      </c>
      <c r="B4415" s="2" t="s">
        <v>10982</v>
      </c>
      <c r="C4415" s="2" t="s">
        <v>49</v>
      </c>
      <c r="D4415" s="2" t="s">
        <v>50</v>
      </c>
      <c r="E4415" s="5">
        <v>-31012</v>
      </c>
      <c r="F4415" s="3" t="s">
        <v>529</v>
      </c>
      <c r="G4415" s="3" t="s">
        <v>57</v>
      </c>
      <c r="H4415" s="2" t="s">
        <v>21</v>
      </c>
      <c r="I4415" s="2" t="s">
        <v>10983</v>
      </c>
      <c r="J4415" s="3" t="str">
        <f>HYPERLINK("https://www.boe.es/gazeta/dias/1815/02/02/pdfs/GMD-1815-14.pdf#page=5","Abrir facsímil")</f>
        <v>Abrir facsímil</v>
      </c>
      <c r="K4415" s="3" t="s">
        <v>23</v>
      </c>
    </row>
    <row r="4416" spans="1:11" ht="42" customHeight="1">
      <c r="A4416" s="2" t="s">
        <v>10984</v>
      </c>
      <c r="B4416" s="2" t="s">
        <v>10984</v>
      </c>
      <c r="C4416" s="2" t="s">
        <v>31</v>
      </c>
      <c r="D4416" s="2" t="s">
        <v>32</v>
      </c>
      <c r="E4416" s="5">
        <v>-30905</v>
      </c>
      <c r="F4416" s="3" t="s">
        <v>901</v>
      </c>
      <c r="G4416" s="3" t="s">
        <v>902</v>
      </c>
      <c r="H4416" s="2" t="s">
        <v>72</v>
      </c>
      <c r="I4416" s="2" t="s">
        <v>10985</v>
      </c>
      <c r="J4416" s="3" t="str">
        <f>HYPERLINK("https://www.boe.es/gazeta/dias/1815/05/20/pdfs/GMD-1815-61.pdf#page=8","Abrir facsímil")</f>
        <v>Abrir facsímil</v>
      </c>
      <c r="K4416" s="3" t="s">
        <v>74</v>
      </c>
    </row>
    <row r="4417" spans="1:11" ht="42" customHeight="1">
      <c r="A4417" s="2" t="s">
        <v>10986</v>
      </c>
      <c r="B4417" s="2" t="s">
        <v>10987</v>
      </c>
      <c r="C4417" s="2" t="s">
        <v>49</v>
      </c>
      <c r="D4417" s="2" t="s">
        <v>50</v>
      </c>
      <c r="E4417" s="5">
        <v>-30886</v>
      </c>
      <c r="F4417" s="3" t="s">
        <v>140</v>
      </c>
      <c r="G4417" s="3" t="s">
        <v>88</v>
      </c>
      <c r="H4417" s="2" t="s">
        <v>72</v>
      </c>
      <c r="I4417" s="2" t="s">
        <v>10988</v>
      </c>
      <c r="J4417" s="3" t="str">
        <f>HYPERLINK("https://www.boe.es/gazeta/dias/1815/06/08/pdfs/GMD-1815-69.pdf#page=10","Abrir facsímil")</f>
        <v>Abrir facsímil</v>
      </c>
      <c r="K4417" s="3" t="s">
        <v>74</v>
      </c>
    </row>
    <row r="4418" spans="1:11" ht="42" customHeight="1">
      <c r="A4418" s="2" t="s">
        <v>10989</v>
      </c>
      <c r="B4418" s="2" t="s">
        <v>10990</v>
      </c>
      <c r="C4418" s="2" t="s">
        <v>49</v>
      </c>
      <c r="D4418" s="2" t="s">
        <v>50</v>
      </c>
      <c r="E4418" s="5">
        <v>-30914</v>
      </c>
      <c r="F4418" s="3" t="s">
        <v>338</v>
      </c>
      <c r="G4418" s="3" t="s">
        <v>276</v>
      </c>
      <c r="H4418" s="2" t="s">
        <v>21</v>
      </c>
      <c r="I4418" s="2" t="s">
        <v>10991</v>
      </c>
      <c r="J4418" s="3" t="str">
        <f>HYPERLINK("https://www.boe.es/gazeta/dias/1815/05/11/pdfs/GMD-1815-57.pdf#page=12","Abrir facsímil")</f>
        <v>Abrir facsímil</v>
      </c>
      <c r="K4418" s="3" t="s">
        <v>23</v>
      </c>
    </row>
    <row r="4419" spans="1:11" ht="42" customHeight="1">
      <c r="A4419" s="2" t="s">
        <v>10992</v>
      </c>
      <c r="B4419" s="2" t="s">
        <v>10993</v>
      </c>
      <c r="C4419" s="2" t="s">
        <v>31</v>
      </c>
      <c r="D4419" s="2" t="s">
        <v>32</v>
      </c>
      <c r="E4419" s="5">
        <v>-30737</v>
      </c>
      <c r="F4419" s="3" t="s">
        <v>1932</v>
      </c>
      <c r="G4419" s="3" t="s">
        <v>38</v>
      </c>
      <c r="H4419" s="2" t="s">
        <v>21</v>
      </c>
      <c r="I4419" s="2" t="s">
        <v>10994</v>
      </c>
      <c r="J4419" s="3" t="str">
        <f>HYPERLINK("https://www.boe.es/gazeta/dias/1815/11/04/pdfs/GMD-1815-138.pdf#page=8","Abrir facsímil")</f>
        <v>Abrir facsímil</v>
      </c>
      <c r="K4419" s="3" t="s">
        <v>23</v>
      </c>
    </row>
    <row r="4420" spans="1:11" ht="42" customHeight="1">
      <c r="A4420" s="2" t="s">
        <v>10995</v>
      </c>
      <c r="B4420" s="2" t="s">
        <v>10995</v>
      </c>
      <c r="C4420" s="2" t="s">
        <v>195</v>
      </c>
      <c r="D4420" s="2" t="s">
        <v>50</v>
      </c>
      <c r="E4420" s="5">
        <v>-31038</v>
      </c>
      <c r="F4420" s="3" t="s">
        <v>395</v>
      </c>
      <c r="G4420" s="3" t="s">
        <v>71</v>
      </c>
      <c r="H4420" s="2" t="s">
        <v>72</v>
      </c>
      <c r="I4420" s="2" t="s">
        <v>10996</v>
      </c>
      <c r="J4420" s="3" t="str">
        <f>HYPERLINK("https://www.boe.es/gazeta/dias/1815/01/07/pdfs/GMD-1815-3.pdf#page=7","Abrir facsímil")</f>
        <v>Abrir facsímil</v>
      </c>
      <c r="K4420" s="3" t="s">
        <v>74</v>
      </c>
    </row>
    <row r="4421" spans="1:11" ht="42" customHeight="1">
      <c r="A4421" s="2" t="s">
        <v>10995</v>
      </c>
      <c r="B4421" s="2" t="s">
        <v>10995</v>
      </c>
      <c r="C4421" s="2" t="s">
        <v>31</v>
      </c>
      <c r="D4421" s="2" t="s">
        <v>32</v>
      </c>
      <c r="E4421" s="5">
        <v>-30982</v>
      </c>
      <c r="F4421" s="3" t="s">
        <v>220</v>
      </c>
      <c r="G4421" s="3" t="s">
        <v>57</v>
      </c>
      <c r="H4421" s="2" t="s">
        <v>72</v>
      </c>
      <c r="I4421" s="2" t="s">
        <v>10997</v>
      </c>
      <c r="J4421" s="3" t="str">
        <f>HYPERLINK("https://www.boe.es/gazeta/dias/1815/03/04/pdfs/GMD-1815-27.pdf#page=5","Abrir facsímil")</f>
        <v>Abrir facsímil</v>
      </c>
      <c r="K4421" s="3" t="s">
        <v>74</v>
      </c>
    </row>
    <row r="4422" spans="1:11" ht="42" customHeight="1">
      <c r="A4422" s="2" t="s">
        <v>10995</v>
      </c>
      <c r="B4422" s="2" t="s">
        <v>10995</v>
      </c>
      <c r="C4422" s="2" t="s">
        <v>49</v>
      </c>
      <c r="D4422" s="2" t="s">
        <v>50</v>
      </c>
      <c r="E4422" s="5">
        <v>-30863</v>
      </c>
      <c r="F4422" s="3" t="s">
        <v>110</v>
      </c>
      <c r="G4422" s="3" t="s">
        <v>224</v>
      </c>
      <c r="H4422" s="2" t="s">
        <v>72</v>
      </c>
      <c r="I4422" s="2" t="s">
        <v>10998</v>
      </c>
      <c r="J4422" s="3" t="str">
        <f>HYPERLINK("https://www.boe.es/gazeta/dias/1815/07/01/pdfs/GMD-1815-79.pdf#page=9","Abrir facsímil")</f>
        <v>Abrir facsímil</v>
      </c>
      <c r="K4422" s="3" t="s">
        <v>74</v>
      </c>
    </row>
    <row r="4423" spans="1:11" ht="42" customHeight="1">
      <c r="A4423" s="2" t="s">
        <v>10995</v>
      </c>
      <c r="B4423" s="2" t="s">
        <v>10995</v>
      </c>
      <c r="C4423" s="2" t="s">
        <v>31</v>
      </c>
      <c r="D4423" s="2" t="s">
        <v>32</v>
      </c>
      <c r="E4423" s="5">
        <v>-30788</v>
      </c>
      <c r="F4423" s="3" t="s">
        <v>96</v>
      </c>
      <c r="G4423" s="3" t="s">
        <v>10999</v>
      </c>
      <c r="H4423" s="2" t="s">
        <v>72</v>
      </c>
      <c r="I4423" s="2" t="s">
        <v>11000</v>
      </c>
      <c r="J4423" s="3" t="str">
        <f>HYPERLINK("https://www.boe.es/gazeta/dias/1815/09/14/pdfs/GMD-1815-114.pdf#page=4","Abrir facsímil")</f>
        <v>Abrir facsímil</v>
      </c>
      <c r="K4423" s="3" t="s">
        <v>74</v>
      </c>
    </row>
    <row r="4424" spans="1:11" ht="42" customHeight="1">
      <c r="A4424" s="2" t="s">
        <v>10995</v>
      </c>
      <c r="B4424" s="2" t="s">
        <v>10995</v>
      </c>
      <c r="C4424" s="2" t="s">
        <v>31</v>
      </c>
      <c r="D4424" s="2" t="s">
        <v>32</v>
      </c>
      <c r="E4424" s="5">
        <v>-30690</v>
      </c>
      <c r="F4424" s="3" t="s">
        <v>1449</v>
      </c>
      <c r="G4424" s="3" t="s">
        <v>71</v>
      </c>
      <c r="H4424" s="2" t="s">
        <v>72</v>
      </c>
      <c r="I4424" s="2" t="s">
        <v>11001</v>
      </c>
      <c r="J4424" s="3" t="str">
        <f>HYPERLINK("https://www.boe.es/gazeta/dias/1815/12/21/pdfs/GMD-1815-158.pdf#page=7","Abrir facsímil")</f>
        <v>Abrir facsímil</v>
      </c>
      <c r="K4424" s="3" t="s">
        <v>74</v>
      </c>
    </row>
    <row r="4425" spans="1:11" ht="42" customHeight="1">
      <c r="A4425" s="2" t="s">
        <v>11002</v>
      </c>
      <c r="B4425" s="2" t="s">
        <v>11002</v>
      </c>
      <c r="C4425" s="2" t="s">
        <v>49</v>
      </c>
      <c r="D4425" s="2" t="s">
        <v>50</v>
      </c>
      <c r="E4425" s="5">
        <v>-30933</v>
      </c>
      <c r="F4425" s="3" t="s">
        <v>725</v>
      </c>
      <c r="G4425" s="3" t="s">
        <v>27</v>
      </c>
      <c r="H4425" s="2" t="s">
        <v>72</v>
      </c>
      <c r="I4425" s="2" t="s">
        <v>11003</v>
      </c>
      <c r="J4425" s="3" t="str">
        <f>HYPERLINK("https://www.boe.es/gazeta/dias/1815/04/22/pdfs/GMD-1815-49.pdf#page=6","Abrir facsímil")</f>
        <v>Abrir facsímil</v>
      </c>
      <c r="K4425" s="3" t="s">
        <v>74</v>
      </c>
    </row>
    <row r="4426" spans="1:11" ht="42" customHeight="1">
      <c r="A4426" s="2" t="s">
        <v>11004</v>
      </c>
      <c r="B4426" s="2" t="s">
        <v>11004</v>
      </c>
      <c r="C4426" s="2" t="s">
        <v>31</v>
      </c>
      <c r="D4426" s="2" t="s">
        <v>32</v>
      </c>
      <c r="E4426" s="5">
        <v>-30832</v>
      </c>
      <c r="F4426" s="3" t="s">
        <v>266</v>
      </c>
      <c r="G4426" s="3" t="s">
        <v>57</v>
      </c>
      <c r="H4426" s="2" t="s">
        <v>72</v>
      </c>
      <c r="I4426" s="2" t="s">
        <v>11005</v>
      </c>
      <c r="J4426" s="3" t="str">
        <f>HYPERLINK("https://www.boe.es/gazeta/dias/1815/08/01/pdfs/GMD-1815-94.pdf#page=5","Abrir facsímil")</f>
        <v>Abrir facsímil</v>
      </c>
      <c r="K4426" s="3" t="s">
        <v>74</v>
      </c>
    </row>
    <row r="4427" spans="1:11" ht="42" customHeight="1">
      <c r="A4427" s="2" t="s">
        <v>11006</v>
      </c>
      <c r="B4427" s="2" t="s">
        <v>11006</v>
      </c>
      <c r="C4427" s="2" t="s">
        <v>31</v>
      </c>
      <c r="D4427" s="2" t="s">
        <v>32</v>
      </c>
      <c r="E4427" s="5">
        <v>-30849</v>
      </c>
      <c r="F4427" s="3" t="s">
        <v>501</v>
      </c>
      <c r="G4427" s="3" t="s">
        <v>88</v>
      </c>
      <c r="H4427" s="2" t="s">
        <v>72</v>
      </c>
      <c r="I4427" s="2" t="s">
        <v>11007</v>
      </c>
      <c r="J4427" s="3" t="str">
        <f>HYPERLINK("https://www.boe.es/gazeta/dias/1815/07/15/pdfs/GMD-1815-87.pdf#page=10","Abrir facsímil")</f>
        <v>Abrir facsímil</v>
      </c>
      <c r="K4427" s="3" t="s">
        <v>74</v>
      </c>
    </row>
    <row r="4428" spans="1:11" ht="42" customHeight="1">
      <c r="A4428" s="2" t="s">
        <v>11008</v>
      </c>
      <c r="B4428" s="2" t="s">
        <v>11009</v>
      </c>
      <c r="C4428" s="2" t="s">
        <v>17</v>
      </c>
      <c r="D4428" s="2" t="s">
        <v>18</v>
      </c>
      <c r="E4428" s="5">
        <v>-30814</v>
      </c>
      <c r="F4428" s="3" t="s">
        <v>644</v>
      </c>
      <c r="G4428" s="3" t="s">
        <v>2047</v>
      </c>
      <c r="H4428" s="2" t="s">
        <v>72</v>
      </c>
      <c r="I4428" s="2" t="s">
        <v>11010</v>
      </c>
      <c r="J4428" s="3" t="str">
        <f>HYPERLINK("https://www.boe.es/gazeta/dias/1815/08/19/pdfs/GMD-1815-102.pdf#page=4","Abrir facsímil")</f>
        <v>Abrir facsímil</v>
      </c>
      <c r="K4428" s="3" t="s">
        <v>74</v>
      </c>
    </row>
    <row r="4429" spans="1:11" ht="42" customHeight="1">
      <c r="A4429" s="2" t="s">
        <v>11011</v>
      </c>
      <c r="B4429" s="2" t="s">
        <v>11011</v>
      </c>
      <c r="C4429" s="2" t="s">
        <v>31</v>
      </c>
      <c r="D4429" s="2" t="s">
        <v>32</v>
      </c>
      <c r="E4429" s="5">
        <v>-30849</v>
      </c>
      <c r="F4429" s="3" t="s">
        <v>501</v>
      </c>
      <c r="G4429" s="3" t="s">
        <v>88</v>
      </c>
      <c r="H4429" s="2" t="s">
        <v>72</v>
      </c>
      <c r="I4429" s="2" t="s">
        <v>11012</v>
      </c>
      <c r="J4429" s="3" t="str">
        <f>HYPERLINK("https://www.boe.es/gazeta/dias/1815/07/15/pdfs/GMD-1815-87.pdf#page=10","Abrir facsímil")</f>
        <v>Abrir facsímil</v>
      </c>
      <c r="K4429" s="3" t="s">
        <v>74</v>
      </c>
    </row>
    <row r="4430" spans="1:11" ht="42" customHeight="1">
      <c r="A4430" s="2" t="s">
        <v>11013</v>
      </c>
      <c r="B4430" s="2" t="s">
        <v>11013</v>
      </c>
      <c r="C4430" s="2" t="s">
        <v>31</v>
      </c>
      <c r="D4430" s="2" t="s">
        <v>32</v>
      </c>
      <c r="E4430" s="5">
        <v>-30979</v>
      </c>
      <c r="F4430" s="3" t="s">
        <v>56</v>
      </c>
      <c r="G4430" s="3" t="s">
        <v>57</v>
      </c>
      <c r="H4430" s="2" t="s">
        <v>72</v>
      </c>
      <c r="I4430" s="2" t="s">
        <v>11014</v>
      </c>
      <c r="J4430" s="3" t="str">
        <f>HYPERLINK("https://www.boe.es/gazeta/dias/1815/03/07/pdfs/GMD-1815-28.pdf#page=5","Abrir facsímil")</f>
        <v>Abrir facsímil</v>
      </c>
      <c r="K4430" s="3" t="s">
        <v>74</v>
      </c>
    </row>
    <row r="4431" spans="1:11" ht="42" customHeight="1">
      <c r="A4431" s="2" t="s">
        <v>11013</v>
      </c>
      <c r="B4431" s="2" t="s">
        <v>11013</v>
      </c>
      <c r="C4431" s="2" t="s">
        <v>49</v>
      </c>
      <c r="D4431" s="2" t="s">
        <v>50</v>
      </c>
      <c r="E4431" s="5">
        <v>-30886</v>
      </c>
      <c r="F4431" s="3" t="s">
        <v>140</v>
      </c>
      <c r="G4431" s="3" t="s">
        <v>38</v>
      </c>
      <c r="H4431" s="2" t="s">
        <v>72</v>
      </c>
      <c r="I4431" s="2" t="s">
        <v>11015</v>
      </c>
      <c r="J4431" s="3" t="str">
        <f>HYPERLINK("https://www.boe.es/gazeta/dias/1815/06/08/pdfs/GMD-1815-69.pdf#page=8","Abrir facsímil")</f>
        <v>Abrir facsímil</v>
      </c>
      <c r="K4431" s="3" t="s">
        <v>74</v>
      </c>
    </row>
    <row r="4432" spans="1:11" ht="42" customHeight="1">
      <c r="A4432" s="2" t="s">
        <v>11013</v>
      </c>
      <c r="B4432" s="2" t="s">
        <v>11013</v>
      </c>
      <c r="C4432" s="2" t="s">
        <v>49</v>
      </c>
      <c r="D4432" s="2" t="s">
        <v>50</v>
      </c>
      <c r="E4432" s="5">
        <v>-30865</v>
      </c>
      <c r="F4432" s="3" t="s">
        <v>163</v>
      </c>
      <c r="G4432" s="3" t="s">
        <v>71</v>
      </c>
      <c r="H4432" s="2" t="s">
        <v>72</v>
      </c>
      <c r="I4432" s="2" t="s">
        <v>11016</v>
      </c>
      <c r="J4432" s="3" t="str">
        <f>HYPERLINK("https://www.boe.es/gazeta/dias/1815/06/29/pdfs/GMD-1815-78.pdf#page=7","Abrir facsímil")</f>
        <v>Abrir facsímil</v>
      </c>
      <c r="K4432" s="3" t="s">
        <v>74</v>
      </c>
    </row>
    <row r="4433" spans="1:11" ht="42" customHeight="1">
      <c r="A4433" s="2" t="s">
        <v>11013</v>
      </c>
      <c r="B4433" s="2" t="s">
        <v>11013</v>
      </c>
      <c r="C4433" s="2" t="s">
        <v>131</v>
      </c>
      <c r="D4433" s="2" t="s">
        <v>50</v>
      </c>
      <c r="E4433" s="5">
        <v>-30846</v>
      </c>
      <c r="F4433" s="3" t="s">
        <v>858</v>
      </c>
      <c r="G4433" s="3" t="s">
        <v>27</v>
      </c>
      <c r="H4433" s="2" t="s">
        <v>72</v>
      </c>
      <c r="I4433" s="2" t="s">
        <v>11017</v>
      </c>
      <c r="J4433" s="3" t="str">
        <f>HYPERLINK("https://www.boe.es/gazeta/dias/1815/07/18/pdfs/GMD-1815-88.pdf#page=6","Abrir facsímil")</f>
        <v>Abrir facsímil</v>
      </c>
      <c r="K4433" s="3" t="s">
        <v>74</v>
      </c>
    </row>
    <row r="4434" spans="1:11" ht="42" customHeight="1">
      <c r="A4434" s="2" t="s">
        <v>11018</v>
      </c>
      <c r="B4434" s="2" t="s">
        <v>11018</v>
      </c>
      <c r="C4434" s="2" t="s">
        <v>31</v>
      </c>
      <c r="D4434" s="2" t="s">
        <v>32</v>
      </c>
      <c r="E4434" s="5">
        <v>-30744</v>
      </c>
      <c r="F4434" s="3" t="s">
        <v>391</v>
      </c>
      <c r="G4434" s="3" t="s">
        <v>97</v>
      </c>
      <c r="H4434" s="2" t="s">
        <v>72</v>
      </c>
      <c r="I4434" s="2" t="s">
        <v>11019</v>
      </c>
      <c r="J4434" s="3" t="str">
        <f>HYPERLINK("https://www.boe.es/gazeta/dias/1815/10/28/pdfs/GMD-1815-135.pdf#page=3","Abrir facsímil")</f>
        <v>Abrir facsímil</v>
      </c>
      <c r="K4434" s="3" t="s">
        <v>74</v>
      </c>
    </row>
    <row r="4435" spans="1:11" ht="42" customHeight="1">
      <c r="A4435" s="2" t="s">
        <v>11020</v>
      </c>
      <c r="B4435" s="2" t="s">
        <v>11020</v>
      </c>
      <c r="C4435" s="2" t="s">
        <v>17</v>
      </c>
      <c r="D4435" s="2" t="s">
        <v>18</v>
      </c>
      <c r="E4435" s="5">
        <v>-30865</v>
      </c>
      <c r="F4435" s="3" t="s">
        <v>163</v>
      </c>
      <c r="G4435" s="3" t="s">
        <v>71</v>
      </c>
      <c r="H4435" s="2" t="s">
        <v>72</v>
      </c>
      <c r="I4435" s="2" t="s">
        <v>11021</v>
      </c>
      <c r="J4435" s="3" t="str">
        <f>HYPERLINK("https://www.boe.es/gazeta/dias/1815/06/29/pdfs/GMD-1815-78.pdf#page=7","Abrir facsímil")</f>
        <v>Abrir facsímil</v>
      </c>
      <c r="K4435" s="3" t="s">
        <v>74</v>
      </c>
    </row>
    <row r="4436" spans="1:11" ht="42" customHeight="1">
      <c r="A4436" s="2" t="s">
        <v>11020</v>
      </c>
      <c r="B4436" s="2" t="s">
        <v>11020</v>
      </c>
      <c r="C4436" s="2" t="s">
        <v>31</v>
      </c>
      <c r="D4436" s="2" t="s">
        <v>32</v>
      </c>
      <c r="E4436" s="5">
        <v>-30758</v>
      </c>
      <c r="F4436" s="3" t="s">
        <v>1964</v>
      </c>
      <c r="G4436" s="3" t="s">
        <v>20</v>
      </c>
      <c r="H4436" s="2" t="s">
        <v>72</v>
      </c>
      <c r="I4436" s="2" t="s">
        <v>11022</v>
      </c>
      <c r="J4436" s="3" t="str">
        <f>HYPERLINK("https://www.boe.es/gazeta/dias/1815/10/14/pdfs/GMD-1815-129.pdf#page=4","Abrir facsímil")</f>
        <v>Abrir facsímil</v>
      </c>
      <c r="K4436" s="3" t="s">
        <v>74</v>
      </c>
    </row>
    <row r="4437" spans="1:11" ht="42" customHeight="1">
      <c r="A4437" s="2" t="s">
        <v>11023</v>
      </c>
      <c r="B4437" s="2" t="s">
        <v>11024</v>
      </c>
      <c r="C4437" s="2" t="s">
        <v>31</v>
      </c>
      <c r="D4437" s="2" t="s">
        <v>32</v>
      </c>
      <c r="E4437" s="5">
        <v>-30961</v>
      </c>
      <c r="F4437" s="3" t="s">
        <v>1176</v>
      </c>
      <c r="G4437" s="3" t="s">
        <v>38</v>
      </c>
      <c r="H4437" s="2" t="s">
        <v>72</v>
      </c>
      <c r="I4437" s="2" t="s">
        <v>11025</v>
      </c>
      <c r="J4437" s="3" t="str">
        <f>HYPERLINK("https://www.boe.es/gazeta/dias/1815/03/25/pdfs/GMD-1815-36.pdf#page=8","Abrir facsímil")</f>
        <v>Abrir facsímil</v>
      </c>
      <c r="K4437" s="3" t="s">
        <v>74</v>
      </c>
    </row>
    <row r="4438" spans="1:11" ht="42" customHeight="1">
      <c r="A4438" s="2" t="s">
        <v>11026</v>
      </c>
      <c r="B4438" s="2" t="s">
        <v>11026</v>
      </c>
      <c r="C4438" s="2" t="s">
        <v>31</v>
      </c>
      <c r="D4438" s="2" t="s">
        <v>32</v>
      </c>
      <c r="E4438" s="5">
        <v>-30739</v>
      </c>
      <c r="F4438" s="3" t="s">
        <v>254</v>
      </c>
      <c r="G4438" s="3" t="s">
        <v>27</v>
      </c>
      <c r="H4438" s="2" t="s">
        <v>72</v>
      </c>
      <c r="I4438" s="2" t="s">
        <v>11027</v>
      </c>
      <c r="J4438" s="3" t="str">
        <f>HYPERLINK("https://www.boe.es/gazeta/dias/1815/11/02/pdfs/GMD-1815-137.pdf#page=6","Abrir facsímil")</f>
        <v>Abrir facsímil</v>
      </c>
      <c r="K4438" s="3" t="s">
        <v>74</v>
      </c>
    </row>
    <row r="4439" spans="1:11" ht="42" customHeight="1">
      <c r="A4439" s="2" t="s">
        <v>11028</v>
      </c>
      <c r="B4439" s="2" t="s">
        <v>11029</v>
      </c>
      <c r="C4439" s="2" t="s">
        <v>195</v>
      </c>
      <c r="D4439" s="2" t="s">
        <v>50</v>
      </c>
      <c r="E4439" s="5">
        <v>-30858</v>
      </c>
      <c r="F4439" s="3" t="s">
        <v>1928</v>
      </c>
      <c r="G4439" s="3" t="s">
        <v>71</v>
      </c>
      <c r="H4439" s="2" t="s">
        <v>72</v>
      </c>
      <c r="I4439" s="2" t="s">
        <v>11030</v>
      </c>
      <c r="J4439" s="3" t="str">
        <f>HYPERLINK("https://www.boe.es/gazeta/dias/1815/07/06/pdfs/GMD-1815-83.pdf#page=7","Abrir facsímil")</f>
        <v>Abrir facsímil</v>
      </c>
      <c r="K4439" s="3" t="s">
        <v>74</v>
      </c>
    </row>
    <row r="4440" spans="1:11" ht="42" customHeight="1">
      <c r="A4440" s="2" t="s">
        <v>11031</v>
      </c>
      <c r="B4440" s="2" t="s">
        <v>11031</v>
      </c>
      <c r="C4440" s="2" t="s">
        <v>31</v>
      </c>
      <c r="D4440" s="2" t="s">
        <v>179</v>
      </c>
      <c r="E4440" s="5">
        <v>-30801</v>
      </c>
      <c r="F4440" s="3" t="s">
        <v>4575</v>
      </c>
      <c r="G4440" s="3" t="s">
        <v>410</v>
      </c>
      <c r="H4440" s="2" t="s">
        <v>72</v>
      </c>
      <c r="I4440" s="2" t="s">
        <v>11032</v>
      </c>
      <c r="J4440" s="3" t="str">
        <f>HYPERLINK("https://www.boe.es/gazeta/dias/1815/09/01/pdfs/GMD-1815-108E.pdf#page=1","Abrir facsímil")</f>
        <v>Abrir facsímil</v>
      </c>
      <c r="K4440" s="3" t="s">
        <v>74</v>
      </c>
    </row>
    <row r="4441" spans="1:11" ht="42" customHeight="1">
      <c r="A4441" s="2" t="s">
        <v>11031</v>
      </c>
      <c r="B4441" s="2" t="s">
        <v>11031</v>
      </c>
      <c r="C4441" s="2" t="s">
        <v>31</v>
      </c>
      <c r="D4441" s="2" t="s">
        <v>32</v>
      </c>
      <c r="E4441" s="5">
        <v>-30739</v>
      </c>
      <c r="F4441" s="3" t="s">
        <v>254</v>
      </c>
      <c r="G4441" s="3" t="s">
        <v>27</v>
      </c>
      <c r="H4441" s="2" t="s">
        <v>72</v>
      </c>
      <c r="I4441" s="2" t="s">
        <v>11033</v>
      </c>
      <c r="J4441" s="3" t="str">
        <f>HYPERLINK("https://www.boe.es/gazeta/dias/1815/11/02/pdfs/GMD-1815-137.pdf#page=6","Abrir facsímil")</f>
        <v>Abrir facsímil</v>
      </c>
      <c r="K4441" s="3" t="s">
        <v>74</v>
      </c>
    </row>
    <row r="4442" spans="1:11" ht="42" customHeight="1">
      <c r="A4442" s="2" t="s">
        <v>11034</v>
      </c>
      <c r="B4442" s="2" t="s">
        <v>11035</v>
      </c>
      <c r="C4442" s="2" t="s">
        <v>17</v>
      </c>
      <c r="D4442" s="2" t="s">
        <v>18</v>
      </c>
      <c r="E4442" s="5">
        <v>-30767</v>
      </c>
      <c r="F4442" s="3" t="s">
        <v>228</v>
      </c>
      <c r="G4442" s="3" t="s">
        <v>88</v>
      </c>
      <c r="H4442" s="2" t="s">
        <v>72</v>
      </c>
      <c r="I4442" s="2" t="s">
        <v>11036</v>
      </c>
      <c r="J4442" s="3" t="str">
        <f>HYPERLINK("https://www.boe.es/gazeta/dias/1815/10/05/pdfs/GMD-1815-125.pdf#page=10","Abrir facsímil")</f>
        <v>Abrir facsímil</v>
      </c>
      <c r="K4442" s="3" t="s">
        <v>74</v>
      </c>
    </row>
    <row r="4443" spans="1:11" ht="42" customHeight="1">
      <c r="A4443" s="2" t="s">
        <v>11037</v>
      </c>
      <c r="B4443" s="2" t="s">
        <v>11038</v>
      </c>
      <c r="C4443" s="2" t="s">
        <v>31</v>
      </c>
      <c r="D4443" s="2" t="s">
        <v>32</v>
      </c>
      <c r="E4443" s="5">
        <v>-31038</v>
      </c>
      <c r="F4443" s="3" t="s">
        <v>395</v>
      </c>
      <c r="G4443" s="3" t="s">
        <v>396</v>
      </c>
      <c r="H4443" s="2" t="s">
        <v>72</v>
      </c>
      <c r="I4443" s="2" t="s">
        <v>11039</v>
      </c>
      <c r="J4443" s="3" t="str">
        <f>HYPERLINK("https://www.boe.es/gazeta/dias/1815/01/07/pdfs/GMD-1815-3.pdf#page=5","Abrir facsímil")</f>
        <v>Abrir facsímil</v>
      </c>
      <c r="K4443" s="3" t="s">
        <v>74</v>
      </c>
    </row>
    <row r="4444" spans="1:11" ht="42" customHeight="1">
      <c r="A4444" s="2" t="s">
        <v>11040</v>
      </c>
      <c r="B4444" s="2" t="s">
        <v>11041</v>
      </c>
      <c r="C4444" s="2" t="s">
        <v>31</v>
      </c>
      <c r="D4444" s="2" t="s">
        <v>179</v>
      </c>
      <c r="E4444" s="5">
        <v>-30801</v>
      </c>
      <c r="F4444" s="3" t="s">
        <v>4575</v>
      </c>
      <c r="G4444" s="3" t="s">
        <v>410</v>
      </c>
      <c r="H4444" s="2" t="s">
        <v>72</v>
      </c>
      <c r="I4444" s="2" t="s">
        <v>11042</v>
      </c>
      <c r="J4444" s="3" t="str">
        <f>HYPERLINK("https://www.boe.es/gazeta/dias/1815/09/01/pdfs/GMD-1815-108E.pdf#page=1","Abrir facsímil")</f>
        <v>Abrir facsímil</v>
      </c>
      <c r="K4444" s="3" t="s">
        <v>74</v>
      </c>
    </row>
    <row r="4445" spans="1:11" ht="42" customHeight="1">
      <c r="A4445" s="2" t="s">
        <v>11043</v>
      </c>
      <c r="B4445" s="2" t="s">
        <v>11044</v>
      </c>
      <c r="C4445" s="2" t="s">
        <v>195</v>
      </c>
      <c r="D4445" s="2" t="s">
        <v>50</v>
      </c>
      <c r="E4445" s="5">
        <v>-30949</v>
      </c>
      <c r="F4445" s="3" t="s">
        <v>420</v>
      </c>
      <c r="G4445" s="3" t="s">
        <v>27</v>
      </c>
      <c r="H4445" s="2" t="s">
        <v>72</v>
      </c>
      <c r="I4445" s="2" t="s">
        <v>11045</v>
      </c>
      <c r="J4445" s="3" t="str">
        <f>HYPERLINK("https://www.boe.es/gazeta/dias/1815/04/06/pdfs/GMD-1815-42.pdf#page=6","Abrir facsímil")</f>
        <v>Abrir facsímil</v>
      </c>
      <c r="K4445" s="3" t="s">
        <v>74</v>
      </c>
    </row>
    <row r="4446" spans="1:11" ht="42" customHeight="1">
      <c r="A4446" s="2" t="s">
        <v>11046</v>
      </c>
      <c r="B4446" s="2" t="s">
        <v>11047</v>
      </c>
      <c r="C4446" s="2" t="s">
        <v>195</v>
      </c>
      <c r="D4446" s="2" t="s">
        <v>50</v>
      </c>
      <c r="E4446" s="5">
        <v>-30937</v>
      </c>
      <c r="F4446" s="3" t="s">
        <v>322</v>
      </c>
      <c r="G4446" s="3" t="s">
        <v>27</v>
      </c>
      <c r="H4446" s="2" t="s">
        <v>72</v>
      </c>
      <c r="I4446" s="2" t="s">
        <v>11048</v>
      </c>
      <c r="J4446" s="3" t="str">
        <f>HYPERLINK("https://www.boe.es/gazeta/dias/1815/04/18/pdfs/GMD-1815-47.pdf#page=6","Abrir facsímil")</f>
        <v>Abrir facsímil</v>
      </c>
      <c r="K4446" s="3" t="s">
        <v>74</v>
      </c>
    </row>
    <row r="4447" spans="1:11" ht="42" customHeight="1">
      <c r="A4447" s="2" t="s">
        <v>11049</v>
      </c>
      <c r="B4447" s="2" t="s">
        <v>11049</v>
      </c>
      <c r="C4447" s="2" t="s">
        <v>31</v>
      </c>
      <c r="D4447" s="2" t="s">
        <v>32</v>
      </c>
      <c r="E4447" s="5">
        <v>-30979</v>
      </c>
      <c r="F4447" s="3" t="s">
        <v>56</v>
      </c>
      <c r="G4447" s="3" t="s">
        <v>57</v>
      </c>
      <c r="H4447" s="2" t="s">
        <v>72</v>
      </c>
      <c r="I4447" s="2" t="s">
        <v>11050</v>
      </c>
      <c r="J4447" s="3" t="str">
        <f>HYPERLINK("https://www.boe.es/gazeta/dias/1815/03/07/pdfs/GMD-1815-28.pdf#page=5","Abrir facsímil")</f>
        <v>Abrir facsímil</v>
      </c>
      <c r="K4447" s="3" t="s">
        <v>74</v>
      </c>
    </row>
    <row r="4448" spans="1:11" ht="42" customHeight="1">
      <c r="A4448" s="2" t="s">
        <v>11049</v>
      </c>
      <c r="B4448" s="2" t="s">
        <v>11049</v>
      </c>
      <c r="C4448" s="2" t="s">
        <v>49</v>
      </c>
      <c r="D4448" s="2" t="s">
        <v>50</v>
      </c>
      <c r="E4448" s="5">
        <v>-30951</v>
      </c>
      <c r="F4448" s="3" t="s">
        <v>87</v>
      </c>
      <c r="G4448" s="3" t="s">
        <v>52</v>
      </c>
      <c r="H4448" s="2" t="s">
        <v>72</v>
      </c>
      <c r="I4448" s="2" t="s">
        <v>11051</v>
      </c>
      <c r="J4448" s="3" t="str">
        <f>HYPERLINK("https://www.boe.es/gazeta/dias/1815/04/04/pdfs/GMD-1815-41.pdf#page=11","Abrir facsímil")</f>
        <v>Abrir facsímil</v>
      </c>
      <c r="K4448" s="3" t="s">
        <v>74</v>
      </c>
    </row>
    <row r="4449" spans="1:11" ht="42" customHeight="1">
      <c r="A4449" s="2" t="s">
        <v>11049</v>
      </c>
      <c r="B4449" s="2" t="s">
        <v>11049</v>
      </c>
      <c r="C4449" s="2" t="s">
        <v>49</v>
      </c>
      <c r="D4449" s="2" t="s">
        <v>50</v>
      </c>
      <c r="E4449" s="5">
        <v>-30690</v>
      </c>
      <c r="F4449" s="3" t="s">
        <v>1449</v>
      </c>
      <c r="G4449" s="3" t="s">
        <v>71</v>
      </c>
      <c r="H4449" s="2" t="s">
        <v>72</v>
      </c>
      <c r="I4449" s="2" t="s">
        <v>11052</v>
      </c>
      <c r="J4449" s="3" t="str">
        <f>HYPERLINK("https://www.boe.es/gazeta/dias/1815/12/21/pdfs/GMD-1815-158.pdf#page=7","Abrir facsímil")</f>
        <v>Abrir facsímil</v>
      </c>
      <c r="K4449" s="3" t="s">
        <v>74</v>
      </c>
    </row>
    <row r="4450" spans="1:11" ht="42" customHeight="1">
      <c r="A4450" s="2" t="s">
        <v>11053</v>
      </c>
      <c r="B4450" s="2" t="s">
        <v>11053</v>
      </c>
      <c r="C4450" s="2" t="s">
        <v>31</v>
      </c>
      <c r="D4450" s="2" t="s">
        <v>32</v>
      </c>
      <c r="E4450" s="5">
        <v>-31038</v>
      </c>
      <c r="F4450" s="3" t="s">
        <v>395</v>
      </c>
      <c r="G4450" s="3" t="s">
        <v>20</v>
      </c>
      <c r="H4450" s="2" t="s">
        <v>72</v>
      </c>
      <c r="I4450" s="2" t="s">
        <v>11054</v>
      </c>
      <c r="J4450" s="3" t="str">
        <f>HYPERLINK("https://www.boe.es/gazeta/dias/1815/01/07/pdfs/GMD-1815-3.pdf#page=4","Abrir facsímil")</f>
        <v>Abrir facsímil</v>
      </c>
      <c r="K4450" s="3" t="s">
        <v>74</v>
      </c>
    </row>
    <row r="4451" spans="1:11" ht="42" customHeight="1">
      <c r="A4451" s="2" t="s">
        <v>11053</v>
      </c>
      <c r="B4451" s="2" t="s">
        <v>11053</v>
      </c>
      <c r="C4451" s="2" t="s">
        <v>49</v>
      </c>
      <c r="D4451" s="2" t="s">
        <v>50</v>
      </c>
      <c r="E4451" s="5">
        <v>-30923</v>
      </c>
      <c r="F4451" s="3" t="s">
        <v>524</v>
      </c>
      <c r="G4451" s="3" t="s">
        <v>27</v>
      </c>
      <c r="H4451" s="2" t="s">
        <v>72</v>
      </c>
      <c r="I4451" s="2" t="s">
        <v>11055</v>
      </c>
      <c r="J4451" s="3" t="str">
        <f>HYPERLINK("https://www.boe.es/gazeta/dias/1815/05/02/pdfs/GMD-1815-53.pdf#page=6","Abrir facsímil")</f>
        <v>Abrir facsímil</v>
      </c>
      <c r="K4451" s="3" t="s">
        <v>74</v>
      </c>
    </row>
    <row r="4452" spans="1:11" ht="42" customHeight="1">
      <c r="A4452" s="2" t="s">
        <v>11053</v>
      </c>
      <c r="B4452" s="2" t="s">
        <v>11053</v>
      </c>
      <c r="C4452" s="2" t="s">
        <v>49</v>
      </c>
      <c r="D4452" s="2" t="s">
        <v>50</v>
      </c>
      <c r="E4452" s="5">
        <v>-30886</v>
      </c>
      <c r="F4452" s="3" t="s">
        <v>140</v>
      </c>
      <c r="G4452" s="3" t="s">
        <v>38</v>
      </c>
      <c r="H4452" s="2" t="s">
        <v>72</v>
      </c>
      <c r="I4452" s="2" t="s">
        <v>11056</v>
      </c>
      <c r="J4452" s="3" t="str">
        <f>HYPERLINK("https://www.boe.es/gazeta/dias/1815/06/08/pdfs/GMD-1815-69.pdf#page=8","Abrir facsímil")</f>
        <v>Abrir facsímil</v>
      </c>
      <c r="K4452" s="3" t="s">
        <v>74</v>
      </c>
    </row>
    <row r="4453" spans="1:11" ht="42" customHeight="1">
      <c r="A4453" s="2" t="s">
        <v>11053</v>
      </c>
      <c r="B4453" s="2" t="s">
        <v>11053</v>
      </c>
      <c r="C4453" s="2" t="s">
        <v>49</v>
      </c>
      <c r="D4453" s="2" t="s">
        <v>50</v>
      </c>
      <c r="E4453" s="5">
        <v>-30865</v>
      </c>
      <c r="F4453" s="3" t="s">
        <v>163</v>
      </c>
      <c r="G4453" s="3" t="s">
        <v>38</v>
      </c>
      <c r="H4453" s="2" t="s">
        <v>72</v>
      </c>
      <c r="I4453" s="2" t="s">
        <v>11057</v>
      </c>
      <c r="J4453" s="3" t="str">
        <f>HYPERLINK("https://www.boe.es/gazeta/dias/1815/06/29/pdfs/GMD-1815-78.pdf#page=8","Abrir facsímil")</f>
        <v>Abrir facsímil</v>
      </c>
      <c r="K4453" s="3" t="s">
        <v>74</v>
      </c>
    </row>
    <row r="4454" spans="1:11" ht="42" customHeight="1">
      <c r="A4454" s="2" t="s">
        <v>11053</v>
      </c>
      <c r="B4454" s="2" t="s">
        <v>11053</v>
      </c>
      <c r="C4454" s="2" t="s">
        <v>49</v>
      </c>
      <c r="D4454" s="2" t="s">
        <v>50</v>
      </c>
      <c r="E4454" s="5">
        <v>-30832</v>
      </c>
      <c r="F4454" s="3" t="s">
        <v>266</v>
      </c>
      <c r="G4454" s="3" t="s">
        <v>88</v>
      </c>
      <c r="H4454" s="2" t="s">
        <v>72</v>
      </c>
      <c r="I4454" s="2" t="s">
        <v>11058</v>
      </c>
      <c r="J4454" s="3" t="str">
        <f>HYPERLINK("https://www.boe.es/gazeta/dias/1815/08/01/pdfs/GMD-1815-94.pdf#page=10","Abrir facsímil")</f>
        <v>Abrir facsímil</v>
      </c>
      <c r="K4454" s="3" t="s">
        <v>74</v>
      </c>
    </row>
    <row r="4455" spans="1:11" ht="42" customHeight="1">
      <c r="A4455" s="2" t="s">
        <v>11059</v>
      </c>
      <c r="B4455" s="2" t="s">
        <v>11059</v>
      </c>
      <c r="C4455" s="2" t="s">
        <v>31</v>
      </c>
      <c r="D4455" s="2" t="s">
        <v>32</v>
      </c>
      <c r="E4455" s="5">
        <v>-30779</v>
      </c>
      <c r="F4455" s="3" t="s">
        <v>1426</v>
      </c>
      <c r="G4455" s="3" t="s">
        <v>71</v>
      </c>
      <c r="H4455" s="2" t="s">
        <v>72</v>
      </c>
      <c r="I4455" s="2" t="s">
        <v>11060</v>
      </c>
      <c r="J4455" s="3" t="str">
        <f>HYPERLINK("https://www.boe.es/gazeta/dias/1815/09/23/pdfs/GMD-1815-118.pdf#page=7","Abrir facsímil")</f>
        <v>Abrir facsímil</v>
      </c>
      <c r="K4455" s="3" t="s">
        <v>74</v>
      </c>
    </row>
    <row r="4456" spans="1:11" ht="42" customHeight="1">
      <c r="A4456" s="2" t="s">
        <v>11061</v>
      </c>
      <c r="B4456" s="2" t="s">
        <v>11062</v>
      </c>
      <c r="C4456" s="2" t="s">
        <v>17</v>
      </c>
      <c r="D4456" s="2" t="s">
        <v>18</v>
      </c>
      <c r="E4456" s="5">
        <v>-30898</v>
      </c>
      <c r="F4456" s="3" t="s">
        <v>212</v>
      </c>
      <c r="G4456" s="3" t="s">
        <v>57</v>
      </c>
      <c r="H4456" s="2" t="s">
        <v>72</v>
      </c>
      <c r="I4456" s="2" t="s">
        <v>11063</v>
      </c>
      <c r="J4456" s="3" t="str">
        <f>HYPERLINK("https://www.boe.es/gazeta/dias/1815/05/27/pdfs/GMD-1815-64.pdf#page=5","Abrir facsímil")</f>
        <v>Abrir facsímil</v>
      </c>
      <c r="K4456" s="3" t="s">
        <v>74</v>
      </c>
    </row>
    <row r="4457" spans="1:11" ht="42" customHeight="1">
      <c r="A4457" s="2" t="s">
        <v>11064</v>
      </c>
      <c r="B4457" s="2" t="s">
        <v>11065</v>
      </c>
      <c r="C4457" s="2" t="s">
        <v>31</v>
      </c>
      <c r="D4457" s="2" t="s">
        <v>32</v>
      </c>
      <c r="E4457" s="5">
        <v>-31026</v>
      </c>
      <c r="F4457" s="3" t="s">
        <v>874</v>
      </c>
      <c r="G4457" s="3" t="s">
        <v>27</v>
      </c>
      <c r="H4457" s="2" t="s">
        <v>72</v>
      </c>
      <c r="I4457" s="2" t="s">
        <v>11066</v>
      </c>
      <c r="J4457" s="3" t="str">
        <f>HYPERLINK("https://www.boe.es/gazeta/dias/1815/01/19/pdfs/GMD-1815-8.pdf#page=6","Abrir facsímil")</f>
        <v>Abrir facsímil</v>
      </c>
      <c r="K4457" s="3" t="s">
        <v>74</v>
      </c>
    </row>
    <row r="4458" spans="1:11" ht="42" customHeight="1">
      <c r="A4458" s="2" t="s">
        <v>11067</v>
      </c>
      <c r="B4458" s="2" t="s">
        <v>11067</v>
      </c>
      <c r="C4458" s="2" t="s">
        <v>49</v>
      </c>
      <c r="D4458" s="2" t="s">
        <v>50</v>
      </c>
      <c r="E4458" s="5">
        <v>-30870</v>
      </c>
      <c r="F4458" s="3" t="s">
        <v>122</v>
      </c>
      <c r="G4458" s="3" t="s">
        <v>88</v>
      </c>
      <c r="H4458" s="2" t="s">
        <v>72</v>
      </c>
      <c r="I4458" s="2" t="s">
        <v>11068</v>
      </c>
      <c r="J4458" s="3" t="str">
        <f>HYPERLINK("https://www.boe.es/gazeta/dias/1815/06/24/pdfs/GMD-1815-76.pdf#page=10","Abrir facsímil")</f>
        <v>Abrir facsímil</v>
      </c>
      <c r="K4458" s="3" t="s">
        <v>74</v>
      </c>
    </row>
    <row r="4459" spans="1:11" ht="42" customHeight="1">
      <c r="A4459" s="2" t="s">
        <v>11069</v>
      </c>
      <c r="B4459" s="2" t="s">
        <v>11069</v>
      </c>
      <c r="C4459" s="2" t="s">
        <v>49</v>
      </c>
      <c r="D4459" s="2" t="s">
        <v>50</v>
      </c>
      <c r="E4459" s="5">
        <v>-30886</v>
      </c>
      <c r="F4459" s="3" t="s">
        <v>140</v>
      </c>
      <c r="G4459" s="3" t="s">
        <v>38</v>
      </c>
      <c r="H4459" s="2" t="s">
        <v>72</v>
      </c>
      <c r="I4459" s="2" t="s">
        <v>11070</v>
      </c>
      <c r="J4459" s="3" t="str">
        <f>HYPERLINK("https://www.boe.es/gazeta/dias/1815/06/08/pdfs/GMD-1815-69.pdf#page=8","Abrir facsímil")</f>
        <v>Abrir facsímil</v>
      </c>
      <c r="K4459" s="3" t="s">
        <v>74</v>
      </c>
    </row>
    <row r="4460" spans="1:11" ht="42" customHeight="1">
      <c r="A4460" s="2" t="s">
        <v>11071</v>
      </c>
      <c r="B4460" s="2" t="s">
        <v>11072</v>
      </c>
      <c r="C4460" s="2" t="s">
        <v>17</v>
      </c>
      <c r="D4460" s="2" t="s">
        <v>18</v>
      </c>
      <c r="E4460" s="5">
        <v>-30839</v>
      </c>
      <c r="F4460" s="3" t="s">
        <v>616</v>
      </c>
      <c r="G4460" s="3" t="s">
        <v>27</v>
      </c>
      <c r="H4460" s="2" t="s">
        <v>21</v>
      </c>
      <c r="I4460" s="2" t="s">
        <v>11073</v>
      </c>
      <c r="J4460" s="3" t="str">
        <f>HYPERLINK("https://www.boe.es/gazeta/dias/1815/07/25/pdfs/GMD-1815-91.pdf#page=6","Abrir facsímil")</f>
        <v>Abrir facsímil</v>
      </c>
      <c r="K4460" s="3" t="s">
        <v>23</v>
      </c>
    </row>
    <row r="4461" spans="1:11" ht="42" customHeight="1">
      <c r="A4461" s="2" t="s">
        <v>11074</v>
      </c>
      <c r="B4461" s="2" t="s">
        <v>11075</v>
      </c>
      <c r="C4461" s="2" t="s">
        <v>49</v>
      </c>
      <c r="D4461" s="2" t="s">
        <v>50</v>
      </c>
      <c r="E4461" s="5">
        <v>-30865</v>
      </c>
      <c r="F4461" s="3" t="s">
        <v>163</v>
      </c>
      <c r="G4461" s="3" t="s">
        <v>71</v>
      </c>
      <c r="H4461" s="2" t="s">
        <v>72</v>
      </c>
      <c r="I4461" s="2" t="s">
        <v>11076</v>
      </c>
      <c r="J4461" s="3" t="str">
        <f>HYPERLINK("https://www.boe.es/gazeta/dias/1815/06/29/pdfs/GMD-1815-78.pdf#page=7","Abrir facsímil")</f>
        <v>Abrir facsímil</v>
      </c>
      <c r="K4461" s="3" t="s">
        <v>74</v>
      </c>
    </row>
    <row r="4462" spans="1:11" ht="42" customHeight="1">
      <c r="A4462" s="2" t="s">
        <v>11077</v>
      </c>
      <c r="B4462" s="2" t="s">
        <v>11078</v>
      </c>
      <c r="C4462" s="2" t="s">
        <v>195</v>
      </c>
      <c r="D4462" s="2" t="s">
        <v>50</v>
      </c>
      <c r="E4462" s="5">
        <v>-31000</v>
      </c>
      <c r="F4462" s="3" t="s">
        <v>70</v>
      </c>
      <c r="G4462" s="3" t="s">
        <v>847</v>
      </c>
      <c r="H4462" s="2" t="s">
        <v>72</v>
      </c>
      <c r="I4462" s="2" t="s">
        <v>11079</v>
      </c>
      <c r="J4462" s="3" t="str">
        <f>HYPERLINK("https://www.boe.es/gazeta/dias/1815/02/14/pdfs/GMD-1815-19.pdf#page=6","Abrir facsímil")</f>
        <v>Abrir facsímil</v>
      </c>
      <c r="K4462" s="3" t="s">
        <v>74</v>
      </c>
    </row>
    <row r="4463" spans="1:11" ht="42" customHeight="1">
      <c r="A4463" s="2" t="s">
        <v>11080</v>
      </c>
      <c r="B4463" s="2" t="s">
        <v>11080</v>
      </c>
      <c r="C4463" s="2" t="s">
        <v>17</v>
      </c>
      <c r="D4463" s="2" t="s">
        <v>18</v>
      </c>
      <c r="E4463" s="5">
        <v>-30821</v>
      </c>
      <c r="F4463" s="3" t="s">
        <v>915</v>
      </c>
      <c r="G4463" s="3" t="s">
        <v>1304</v>
      </c>
      <c r="H4463" s="2" t="s">
        <v>72</v>
      </c>
      <c r="I4463" s="2" t="s">
        <v>11081</v>
      </c>
      <c r="J4463" s="3" t="str">
        <f>HYPERLINK("https://www.boe.es/gazeta/dias/1815/08/12/pdfs/GMD-1815-99.pdf#page=4","Abrir facsímil")</f>
        <v>Abrir facsímil</v>
      </c>
      <c r="K4463" s="3" t="s">
        <v>74</v>
      </c>
    </row>
    <row r="4464" spans="1:11" ht="42" customHeight="1">
      <c r="A4464" s="2" t="s">
        <v>11082</v>
      </c>
      <c r="B4464" s="2" t="s">
        <v>11082</v>
      </c>
      <c r="C4464" s="2" t="s">
        <v>31</v>
      </c>
      <c r="D4464" s="2" t="s">
        <v>32</v>
      </c>
      <c r="E4464" s="5">
        <v>-31005</v>
      </c>
      <c r="F4464" s="3" t="s">
        <v>576</v>
      </c>
      <c r="G4464" s="3" t="s">
        <v>97</v>
      </c>
      <c r="H4464" s="2" t="s">
        <v>72</v>
      </c>
      <c r="I4464" s="2" t="s">
        <v>11083</v>
      </c>
      <c r="J4464" s="3" t="str">
        <f>HYPERLINK("https://www.boe.es/gazeta/dias/1815/02/09/pdfs/GMD-1815-17.pdf#page=3","Abrir facsímil")</f>
        <v>Abrir facsímil</v>
      </c>
      <c r="K4464" s="3" t="s">
        <v>74</v>
      </c>
    </row>
    <row r="4465" spans="1:11" ht="42" customHeight="1">
      <c r="A4465" s="2" t="s">
        <v>11084</v>
      </c>
      <c r="B4465" s="2" t="s">
        <v>11085</v>
      </c>
      <c r="C4465" s="2" t="s">
        <v>49</v>
      </c>
      <c r="D4465" s="2" t="s">
        <v>50</v>
      </c>
      <c r="E4465" s="5">
        <v>-30870</v>
      </c>
      <c r="F4465" s="3" t="s">
        <v>122</v>
      </c>
      <c r="G4465" s="3" t="s">
        <v>52</v>
      </c>
      <c r="H4465" s="2" t="s">
        <v>72</v>
      </c>
      <c r="I4465" s="2" t="s">
        <v>11086</v>
      </c>
      <c r="J4465" s="3" t="str">
        <f>HYPERLINK("https://www.boe.es/gazeta/dias/1815/06/24/pdfs/GMD-1815-76.pdf#page=11","Abrir facsímil")</f>
        <v>Abrir facsímil</v>
      </c>
      <c r="K4465" s="3" t="s">
        <v>74</v>
      </c>
    </row>
    <row r="4466" spans="1:11" ht="42" customHeight="1">
      <c r="A4466" s="2" t="s">
        <v>11087</v>
      </c>
      <c r="B4466" s="2" t="s">
        <v>11088</v>
      </c>
      <c r="C4466" s="2" t="s">
        <v>81</v>
      </c>
      <c r="D4466" s="2" t="s">
        <v>50</v>
      </c>
      <c r="E4466" s="5">
        <v>-30739</v>
      </c>
      <c r="F4466" s="3" t="s">
        <v>254</v>
      </c>
      <c r="G4466" s="3" t="s">
        <v>57</v>
      </c>
      <c r="H4466" s="2" t="s">
        <v>72</v>
      </c>
      <c r="I4466" s="2" t="s">
        <v>11089</v>
      </c>
      <c r="J4466" s="3" t="str">
        <f>HYPERLINK("https://www.boe.es/gazeta/dias/1815/11/02/pdfs/GMD-1815-137.pdf#page=5","Abrir facsímil")</f>
        <v>Abrir facsímil</v>
      </c>
      <c r="K4466" s="3" t="s">
        <v>74</v>
      </c>
    </row>
    <row r="4467" spans="1:11" ht="42" customHeight="1">
      <c r="A4467" s="2" t="s">
        <v>11090</v>
      </c>
      <c r="B4467" s="2" t="s">
        <v>11091</v>
      </c>
      <c r="C4467" s="2" t="s">
        <v>195</v>
      </c>
      <c r="D4467" s="2" t="s">
        <v>50</v>
      </c>
      <c r="E4467" s="5">
        <v>-30970</v>
      </c>
      <c r="F4467" s="3" t="s">
        <v>436</v>
      </c>
      <c r="G4467" s="3" t="s">
        <v>38</v>
      </c>
      <c r="H4467" s="2" t="s">
        <v>72</v>
      </c>
      <c r="I4467" s="2" t="s">
        <v>11092</v>
      </c>
      <c r="J4467" s="3" t="str">
        <f>HYPERLINK("https://www.boe.es/gazeta/dias/1815/03/16/pdfs/GMD-1815-32.pdf#page=8","Abrir facsímil")</f>
        <v>Abrir facsímil</v>
      </c>
      <c r="K4467" s="3" t="s">
        <v>74</v>
      </c>
    </row>
    <row r="4468" spans="1:11" ht="42" customHeight="1">
      <c r="A4468" s="2" t="s">
        <v>11093</v>
      </c>
      <c r="B4468" s="2" t="s">
        <v>11094</v>
      </c>
      <c r="C4468" s="2" t="s">
        <v>195</v>
      </c>
      <c r="D4468" s="2" t="s">
        <v>50</v>
      </c>
      <c r="E4468" s="5">
        <v>-30723</v>
      </c>
      <c r="F4468" s="3" t="s">
        <v>77</v>
      </c>
      <c r="G4468" s="3" t="s">
        <v>38</v>
      </c>
      <c r="H4468" s="2" t="s">
        <v>72</v>
      </c>
      <c r="I4468" s="2" t="s">
        <v>11095</v>
      </c>
      <c r="J4468" s="3" t="str">
        <f>HYPERLINK("https://www.boe.es/gazeta/dias/1815/11/18/pdfs/GMD-1815-144.pdf#page=8","Abrir facsímil")</f>
        <v>Abrir facsímil</v>
      </c>
      <c r="K4468" s="3" t="s">
        <v>74</v>
      </c>
    </row>
    <row r="4469" spans="1:11" ht="42" customHeight="1">
      <c r="A4469" s="2" t="s">
        <v>11096</v>
      </c>
      <c r="B4469" s="2" t="s">
        <v>11097</v>
      </c>
      <c r="C4469" s="2" t="s">
        <v>61</v>
      </c>
      <c r="D4469" s="2" t="s">
        <v>50</v>
      </c>
      <c r="E4469" s="5">
        <v>-30781</v>
      </c>
      <c r="F4469" s="3" t="s">
        <v>685</v>
      </c>
      <c r="G4469" s="3" t="s">
        <v>27</v>
      </c>
      <c r="H4469" s="2" t="s">
        <v>72</v>
      </c>
      <c r="I4469" s="2" t="s">
        <v>11098</v>
      </c>
      <c r="J4469" s="3" t="str">
        <f>HYPERLINK("https://www.boe.es/gazeta/dias/1815/09/21/pdfs/GMD-1815-117.pdf#page=6","Abrir facsímil")</f>
        <v>Abrir facsímil</v>
      </c>
      <c r="K4469" s="3" t="s">
        <v>74</v>
      </c>
    </row>
    <row r="4470" spans="1:11" ht="42" customHeight="1">
      <c r="A4470" s="2" t="s">
        <v>11099</v>
      </c>
      <c r="B4470" s="2" t="s">
        <v>11099</v>
      </c>
      <c r="C4470" s="2" t="s">
        <v>31</v>
      </c>
      <c r="D4470" s="2" t="s">
        <v>32</v>
      </c>
      <c r="E4470" s="5">
        <v>-30961</v>
      </c>
      <c r="F4470" s="3" t="s">
        <v>1176</v>
      </c>
      <c r="G4470" s="3" t="s">
        <v>97</v>
      </c>
      <c r="H4470" s="2" t="s">
        <v>72</v>
      </c>
      <c r="I4470" s="2" t="s">
        <v>11100</v>
      </c>
      <c r="J4470" s="3" t="str">
        <f>HYPERLINK("https://www.boe.es/gazeta/dias/1815/03/25/pdfs/GMD-1815-36.pdf#page=3","Abrir facsímil")</f>
        <v>Abrir facsímil</v>
      </c>
      <c r="K4470" s="3" t="s">
        <v>74</v>
      </c>
    </row>
    <row r="4471" spans="1:11" ht="42" customHeight="1">
      <c r="A4471" s="2" t="s">
        <v>11099</v>
      </c>
      <c r="B4471" s="2" t="s">
        <v>11099</v>
      </c>
      <c r="C4471" s="2" t="s">
        <v>31</v>
      </c>
      <c r="D4471" s="2" t="s">
        <v>32</v>
      </c>
      <c r="E4471" s="5">
        <v>-30867</v>
      </c>
      <c r="F4471" s="3" t="s">
        <v>3179</v>
      </c>
      <c r="G4471" s="3" t="s">
        <v>377</v>
      </c>
      <c r="H4471" s="2" t="s">
        <v>72</v>
      </c>
      <c r="I4471" s="2" t="s">
        <v>11101</v>
      </c>
      <c r="J4471" s="3" t="str">
        <f>HYPERLINK("https://www.boe.es/gazeta/dias/1815/06/27/pdfs/GMD-1815-77.pdf#page=2","Abrir facsímil")</f>
        <v>Abrir facsímil</v>
      </c>
      <c r="K4471" s="3" t="s">
        <v>74</v>
      </c>
    </row>
    <row r="4472" spans="1:11" ht="42" customHeight="1">
      <c r="A4472" s="2" t="s">
        <v>11099</v>
      </c>
      <c r="B4472" s="2" t="s">
        <v>11099</v>
      </c>
      <c r="C4472" s="2" t="s">
        <v>31</v>
      </c>
      <c r="D4472" s="2" t="s">
        <v>32</v>
      </c>
      <c r="E4472" s="5">
        <v>-30842</v>
      </c>
      <c r="F4472" s="3" t="s">
        <v>126</v>
      </c>
      <c r="G4472" s="3" t="s">
        <v>1715</v>
      </c>
      <c r="H4472" s="2" t="s">
        <v>72</v>
      </c>
      <c r="I4472" s="2" t="s">
        <v>11102</v>
      </c>
      <c r="J4472" s="3" t="str">
        <f>HYPERLINK("https://www.boe.es/gazeta/dias/1815/07/22/pdfs/GMD-1815-90.pdf#page=2","Abrir facsímil")</f>
        <v>Abrir facsímil</v>
      </c>
      <c r="K4472" s="3" t="s">
        <v>74</v>
      </c>
    </row>
    <row r="4473" spans="1:11" ht="42" customHeight="1">
      <c r="A4473" s="2" t="s">
        <v>11099</v>
      </c>
      <c r="B4473" s="2" t="s">
        <v>11099</v>
      </c>
      <c r="C4473" s="2" t="s">
        <v>31</v>
      </c>
      <c r="D4473" s="2" t="s">
        <v>32</v>
      </c>
      <c r="E4473" s="5">
        <v>-30832</v>
      </c>
      <c r="F4473" s="3" t="s">
        <v>266</v>
      </c>
      <c r="G4473" s="3" t="s">
        <v>20</v>
      </c>
      <c r="H4473" s="2" t="s">
        <v>72</v>
      </c>
      <c r="I4473" s="2" t="s">
        <v>11103</v>
      </c>
      <c r="J4473" s="3" t="str">
        <f>HYPERLINK("https://www.boe.es/gazeta/dias/1815/08/01/pdfs/GMD-1815-94.pdf#page=4","Abrir facsímil")</f>
        <v>Abrir facsímil</v>
      </c>
      <c r="K4473" s="3" t="s">
        <v>74</v>
      </c>
    </row>
    <row r="4474" spans="1:11" ht="42" customHeight="1">
      <c r="A4474" s="2" t="s">
        <v>11099</v>
      </c>
      <c r="B4474" s="2" t="s">
        <v>11099</v>
      </c>
      <c r="C4474" s="2" t="s">
        <v>31</v>
      </c>
      <c r="D4474" s="2" t="s">
        <v>32</v>
      </c>
      <c r="E4474" s="5">
        <v>-30832</v>
      </c>
      <c r="F4474" s="3" t="s">
        <v>266</v>
      </c>
      <c r="G4474" s="3" t="s">
        <v>57</v>
      </c>
      <c r="H4474" s="2" t="s">
        <v>72</v>
      </c>
      <c r="I4474" s="2" t="s">
        <v>11104</v>
      </c>
      <c r="J4474" s="3" t="str">
        <f>HYPERLINK("https://www.boe.es/gazeta/dias/1815/08/01/pdfs/GMD-1815-94.pdf#page=5","Abrir facsímil")</f>
        <v>Abrir facsímil</v>
      </c>
      <c r="K4474" s="3" t="s">
        <v>74</v>
      </c>
    </row>
    <row r="4475" spans="1:11" ht="42" customHeight="1">
      <c r="A4475" s="2" t="s">
        <v>11105</v>
      </c>
      <c r="B4475" s="2" t="s">
        <v>11105</v>
      </c>
      <c r="C4475" s="2" t="s">
        <v>31</v>
      </c>
      <c r="D4475" s="2" t="s">
        <v>32</v>
      </c>
      <c r="E4475" s="5">
        <v>-30828</v>
      </c>
      <c r="F4475" s="3" t="s">
        <v>1402</v>
      </c>
      <c r="G4475" s="3" t="s">
        <v>97</v>
      </c>
      <c r="H4475" s="2" t="s">
        <v>72</v>
      </c>
      <c r="I4475" s="2" t="s">
        <v>11106</v>
      </c>
      <c r="J4475" s="3" t="str">
        <f>HYPERLINK("https://www.boe.es/gazeta/dias/1815/08/05/pdfs/GMD-1815-96.pdf#page=3","Abrir facsímil")</f>
        <v>Abrir facsímil</v>
      </c>
      <c r="K4475" s="3" t="s">
        <v>74</v>
      </c>
    </row>
    <row r="4476" spans="1:11" ht="42" customHeight="1">
      <c r="A4476" s="2" t="s">
        <v>11099</v>
      </c>
      <c r="B4476" s="2" t="s">
        <v>11099</v>
      </c>
      <c r="C4476" s="2" t="s">
        <v>31</v>
      </c>
      <c r="D4476" s="2" t="s">
        <v>32</v>
      </c>
      <c r="E4476" s="5">
        <v>-30823</v>
      </c>
      <c r="F4476" s="3" t="s">
        <v>305</v>
      </c>
      <c r="G4476" s="3" t="s">
        <v>410</v>
      </c>
      <c r="H4476" s="2" t="s">
        <v>72</v>
      </c>
      <c r="I4476" s="2" t="s">
        <v>11107</v>
      </c>
      <c r="J4476" s="3" t="str">
        <f>HYPERLINK("https://www.boe.es/gazeta/dias/1815/08/10/pdfs/GMD-1815-98.pdf#page=1","Abrir facsímil")</f>
        <v>Abrir facsímil</v>
      </c>
      <c r="K4476" s="3" t="s">
        <v>74</v>
      </c>
    </row>
    <row r="4477" spans="1:11" ht="42" customHeight="1">
      <c r="A4477" s="2" t="s">
        <v>11099</v>
      </c>
      <c r="B4477" s="2" t="s">
        <v>11099</v>
      </c>
      <c r="C4477" s="2" t="s">
        <v>31</v>
      </c>
      <c r="D4477" s="2" t="s">
        <v>32</v>
      </c>
      <c r="E4477" s="5">
        <v>-30823</v>
      </c>
      <c r="F4477" s="3" t="s">
        <v>305</v>
      </c>
      <c r="G4477" s="3" t="s">
        <v>377</v>
      </c>
      <c r="H4477" s="2" t="s">
        <v>72</v>
      </c>
      <c r="I4477" s="2" t="s">
        <v>11108</v>
      </c>
      <c r="J4477" s="3" t="str">
        <f>HYPERLINK("https://www.boe.es/gazeta/dias/1815/08/10/pdfs/GMD-1815-98.pdf#page=2","Abrir facsímil")</f>
        <v>Abrir facsímil</v>
      </c>
      <c r="K4477" s="3" t="s">
        <v>74</v>
      </c>
    </row>
    <row r="4478" spans="1:11" ht="42" customHeight="1">
      <c r="A4478" s="2" t="s">
        <v>11099</v>
      </c>
      <c r="B4478" s="2" t="s">
        <v>11099</v>
      </c>
      <c r="C4478" s="2" t="s">
        <v>31</v>
      </c>
      <c r="D4478" s="2" t="s">
        <v>32</v>
      </c>
      <c r="E4478" s="5">
        <v>-30823</v>
      </c>
      <c r="F4478" s="3" t="s">
        <v>305</v>
      </c>
      <c r="G4478" s="3" t="s">
        <v>57</v>
      </c>
      <c r="H4478" s="2" t="s">
        <v>72</v>
      </c>
      <c r="I4478" s="2" t="s">
        <v>11109</v>
      </c>
      <c r="J4478" s="3" t="str">
        <f>HYPERLINK("https://www.boe.es/gazeta/dias/1815/08/10/pdfs/GMD-1815-98.pdf#page=5","Abrir facsímil")</f>
        <v>Abrir facsímil</v>
      </c>
      <c r="K4478" s="3" t="s">
        <v>74</v>
      </c>
    </row>
    <row r="4479" spans="1:11" ht="42" customHeight="1">
      <c r="A4479" s="2" t="s">
        <v>11099</v>
      </c>
      <c r="B4479" s="2" t="s">
        <v>11099</v>
      </c>
      <c r="C4479" s="2" t="s">
        <v>31</v>
      </c>
      <c r="D4479" s="2" t="s">
        <v>32</v>
      </c>
      <c r="E4479" s="5">
        <v>-30818</v>
      </c>
      <c r="F4479" s="3" t="s">
        <v>334</v>
      </c>
      <c r="G4479" s="3" t="s">
        <v>97</v>
      </c>
      <c r="H4479" s="2" t="s">
        <v>72</v>
      </c>
      <c r="I4479" s="2" t="s">
        <v>11110</v>
      </c>
      <c r="J4479" s="3" t="str">
        <f>HYPERLINK("https://www.boe.es/gazeta/dias/1815/08/15/pdfs/GMD-1815-100.pdf#page=3","Abrir facsímil")</f>
        <v>Abrir facsímil</v>
      </c>
      <c r="K4479" s="3" t="s">
        <v>74</v>
      </c>
    </row>
    <row r="4480" spans="1:11" ht="42" customHeight="1">
      <c r="A4480" s="2" t="s">
        <v>11099</v>
      </c>
      <c r="B4480" s="2" t="s">
        <v>11099</v>
      </c>
      <c r="C4480" s="2" t="s">
        <v>31</v>
      </c>
      <c r="D4480" s="2" t="s">
        <v>32</v>
      </c>
      <c r="E4480" s="5">
        <v>-30816</v>
      </c>
      <c r="F4480" s="3" t="s">
        <v>1253</v>
      </c>
      <c r="G4480" s="3" t="s">
        <v>27</v>
      </c>
      <c r="H4480" s="2" t="s">
        <v>72</v>
      </c>
      <c r="I4480" s="2" t="s">
        <v>11111</v>
      </c>
      <c r="J4480" s="3" t="str">
        <f>HYPERLINK("https://www.boe.es/gazeta/dias/1815/08/17/pdfs/GMD-1815-101.pdf#page=6","Abrir facsímil")</f>
        <v>Abrir facsímil</v>
      </c>
      <c r="K4480" s="3" t="s">
        <v>74</v>
      </c>
    </row>
    <row r="4481" spans="1:11" ht="42" customHeight="1">
      <c r="A4481" s="2" t="s">
        <v>11099</v>
      </c>
      <c r="B4481" s="2" t="s">
        <v>11099</v>
      </c>
      <c r="C4481" s="2" t="s">
        <v>31</v>
      </c>
      <c r="D4481" s="2" t="s">
        <v>32</v>
      </c>
      <c r="E4481" s="5">
        <v>-30734</v>
      </c>
      <c r="F4481" s="3" t="s">
        <v>376</v>
      </c>
      <c r="G4481" s="3" t="s">
        <v>377</v>
      </c>
      <c r="H4481" s="2" t="s">
        <v>72</v>
      </c>
      <c r="I4481" s="2" t="s">
        <v>11112</v>
      </c>
      <c r="J4481" s="3" t="str">
        <f>HYPERLINK("https://www.boe.es/gazeta/dias/1815/11/07/pdfs/GMD-1815-139.pdf#page=2","Abrir facsímil")</f>
        <v>Abrir facsímil</v>
      </c>
      <c r="K4481" s="3" t="s">
        <v>74</v>
      </c>
    </row>
    <row r="4482" spans="1:11" ht="42" customHeight="1">
      <c r="A4482" s="2" t="s">
        <v>11113</v>
      </c>
      <c r="B4482" s="2" t="s">
        <v>11114</v>
      </c>
      <c r="C4482" s="2" t="s">
        <v>49</v>
      </c>
      <c r="D4482" s="2" t="s">
        <v>50</v>
      </c>
      <c r="E4482" s="5">
        <v>-30863</v>
      </c>
      <c r="F4482" s="3" t="s">
        <v>110</v>
      </c>
      <c r="G4482" s="3" t="s">
        <v>224</v>
      </c>
      <c r="H4482" s="2" t="s">
        <v>72</v>
      </c>
      <c r="I4482" s="2" t="s">
        <v>11115</v>
      </c>
      <c r="J4482" s="3" t="str">
        <f>HYPERLINK("https://www.boe.es/gazeta/dias/1815/07/01/pdfs/GMD-1815-79.pdf#page=9","Abrir facsímil")</f>
        <v>Abrir facsímil</v>
      </c>
      <c r="K4482" s="3" t="s">
        <v>74</v>
      </c>
    </row>
    <row r="4483" spans="1:11" ht="42" customHeight="1">
      <c r="A4483" s="2" t="s">
        <v>11116</v>
      </c>
      <c r="B4483" s="2" t="s">
        <v>11117</v>
      </c>
      <c r="C4483" s="2" t="s">
        <v>31</v>
      </c>
      <c r="D4483" s="2" t="s">
        <v>32</v>
      </c>
      <c r="E4483" s="5">
        <v>-30839</v>
      </c>
      <c r="F4483" s="3" t="s">
        <v>616</v>
      </c>
      <c r="G4483" s="3" t="s">
        <v>27</v>
      </c>
      <c r="H4483" s="2" t="s">
        <v>72</v>
      </c>
      <c r="I4483" s="2" t="s">
        <v>11118</v>
      </c>
      <c r="J4483" s="3" t="str">
        <f>HYPERLINK("https://www.boe.es/gazeta/dias/1815/07/25/pdfs/GMD-1815-91.pdf#page=6","Abrir facsímil")</f>
        <v>Abrir facsímil</v>
      </c>
      <c r="K4483" s="3" t="s">
        <v>74</v>
      </c>
    </row>
    <row r="4484" spans="1:11" ht="42" customHeight="1">
      <c r="A4484" s="2" t="s">
        <v>11119</v>
      </c>
      <c r="B4484" s="2" t="s">
        <v>11119</v>
      </c>
      <c r="C4484" s="2" t="s">
        <v>49</v>
      </c>
      <c r="D4484" s="2" t="s">
        <v>50</v>
      </c>
      <c r="E4484" s="5">
        <v>-30870</v>
      </c>
      <c r="F4484" s="3" t="s">
        <v>122</v>
      </c>
      <c r="G4484" s="3" t="s">
        <v>88</v>
      </c>
      <c r="H4484" s="2" t="s">
        <v>72</v>
      </c>
      <c r="I4484" s="2" t="s">
        <v>11120</v>
      </c>
      <c r="J4484" s="3" t="str">
        <f>HYPERLINK("https://www.boe.es/gazeta/dias/1815/06/24/pdfs/GMD-1815-76.pdf#page=10","Abrir facsímil")</f>
        <v>Abrir facsímil</v>
      </c>
      <c r="K4484" s="3" t="s">
        <v>74</v>
      </c>
    </row>
    <row r="4485" spans="1:11" ht="42" customHeight="1">
      <c r="A4485" s="2" t="s">
        <v>11121</v>
      </c>
      <c r="B4485" s="2" t="s">
        <v>11121</v>
      </c>
      <c r="C4485" s="2" t="s">
        <v>17</v>
      </c>
      <c r="D4485" s="2" t="s">
        <v>18</v>
      </c>
      <c r="E4485" s="5">
        <v>-31035</v>
      </c>
      <c r="F4485" s="3" t="s">
        <v>42</v>
      </c>
      <c r="G4485" s="3" t="s">
        <v>20</v>
      </c>
      <c r="H4485" s="2" t="s">
        <v>72</v>
      </c>
      <c r="I4485" s="2" t="s">
        <v>11122</v>
      </c>
      <c r="J4485" s="3" t="str">
        <f>HYPERLINK("https://www.boe.es/gazeta/dias/1815/01/10/pdfs/GMD-1815-4.pdf#page=4","Abrir facsímil")</f>
        <v>Abrir facsímil</v>
      </c>
      <c r="K4485" s="3" t="s">
        <v>74</v>
      </c>
    </row>
    <row r="4486" spans="1:11" ht="42" customHeight="1">
      <c r="A4486" s="2" t="s">
        <v>11121</v>
      </c>
      <c r="B4486" s="2" t="s">
        <v>11121</v>
      </c>
      <c r="C4486" s="2" t="s">
        <v>17</v>
      </c>
      <c r="D4486" s="2" t="s">
        <v>18</v>
      </c>
      <c r="E4486" s="5">
        <v>-30991</v>
      </c>
      <c r="F4486" s="3" t="s">
        <v>318</v>
      </c>
      <c r="G4486" s="3" t="s">
        <v>319</v>
      </c>
      <c r="H4486" s="2" t="s">
        <v>72</v>
      </c>
      <c r="I4486" s="2" t="s">
        <v>11123</v>
      </c>
      <c r="J4486" s="3" t="str">
        <f>HYPERLINK("https://www.boe.es/gazeta/dias/1815/02/23/pdfs/GMD-1815-23.pdf#page=6","Abrir facsímil")</f>
        <v>Abrir facsímil</v>
      </c>
      <c r="K4486" s="3" t="s">
        <v>74</v>
      </c>
    </row>
    <row r="4487" spans="1:11" ht="42" customHeight="1">
      <c r="A4487" s="2" t="s">
        <v>11124</v>
      </c>
      <c r="B4487" s="2" t="s">
        <v>11125</v>
      </c>
      <c r="C4487" s="2" t="s">
        <v>31</v>
      </c>
      <c r="D4487" s="2" t="s">
        <v>32</v>
      </c>
      <c r="E4487" s="5">
        <v>-31024</v>
      </c>
      <c r="F4487" s="3" t="s">
        <v>101</v>
      </c>
      <c r="G4487" s="3" t="s">
        <v>38</v>
      </c>
      <c r="H4487" s="2" t="s">
        <v>72</v>
      </c>
      <c r="I4487" s="2" t="s">
        <v>11126</v>
      </c>
      <c r="J4487" s="3" t="str">
        <f>HYPERLINK("https://www.boe.es/gazeta/dias/1815/01/21/pdfs/GMD-1815-9.pdf#page=8","Abrir facsímil")</f>
        <v>Abrir facsímil</v>
      </c>
      <c r="K4487" s="3" t="s">
        <v>74</v>
      </c>
    </row>
    <row r="4488" spans="1:11" ht="42" customHeight="1">
      <c r="A4488" s="2" t="s">
        <v>11124</v>
      </c>
      <c r="B4488" s="2" t="s">
        <v>11125</v>
      </c>
      <c r="C4488" s="2" t="s">
        <v>17</v>
      </c>
      <c r="D4488" s="2" t="s">
        <v>18</v>
      </c>
      <c r="E4488" s="5">
        <v>-31005</v>
      </c>
      <c r="F4488" s="3" t="s">
        <v>576</v>
      </c>
      <c r="G4488" s="3" t="s">
        <v>520</v>
      </c>
      <c r="H4488" s="2" t="s">
        <v>72</v>
      </c>
      <c r="I4488" s="2" t="s">
        <v>11127</v>
      </c>
      <c r="J4488" s="3" t="str">
        <f>HYPERLINK("https://www.boe.es/gazeta/dias/1815/02/09/pdfs/GMD-1815-17.pdf#page=8","Abrir facsímil")</f>
        <v>Abrir facsímil</v>
      </c>
      <c r="K4488" s="3" t="s">
        <v>74</v>
      </c>
    </row>
    <row r="4489" spans="1:11" ht="42" customHeight="1">
      <c r="A4489" s="2" t="s">
        <v>11124</v>
      </c>
      <c r="B4489" s="2" t="s">
        <v>11125</v>
      </c>
      <c r="C4489" s="2" t="s">
        <v>49</v>
      </c>
      <c r="D4489" s="2" t="s">
        <v>50</v>
      </c>
      <c r="E4489" s="5">
        <v>-30968</v>
      </c>
      <c r="F4489" s="3" t="s">
        <v>2695</v>
      </c>
      <c r="G4489" s="3" t="s">
        <v>276</v>
      </c>
      <c r="H4489" s="2" t="s">
        <v>72</v>
      </c>
      <c r="I4489" s="2" t="s">
        <v>11128</v>
      </c>
      <c r="J4489" s="3" t="str">
        <f>HYPERLINK("https://www.boe.es/gazeta/dias/1815/03/18/pdfs/GMD-1815-33.pdf#page=12","Abrir facsímil")</f>
        <v>Abrir facsímil</v>
      </c>
      <c r="K4489" s="3" t="s">
        <v>74</v>
      </c>
    </row>
    <row r="4490" spans="1:11" ht="42" customHeight="1">
      <c r="A4490" s="2" t="s">
        <v>11124</v>
      </c>
      <c r="B4490" s="2" t="s">
        <v>11125</v>
      </c>
      <c r="C4490" s="2" t="s">
        <v>81</v>
      </c>
      <c r="D4490" s="2" t="s">
        <v>50</v>
      </c>
      <c r="E4490" s="5">
        <v>-30909</v>
      </c>
      <c r="F4490" s="3" t="s">
        <v>581</v>
      </c>
      <c r="G4490" s="3" t="s">
        <v>38</v>
      </c>
      <c r="H4490" s="2" t="s">
        <v>72</v>
      </c>
      <c r="I4490" s="2" t="s">
        <v>11129</v>
      </c>
      <c r="J4490" s="3" t="str">
        <f>HYPERLINK("https://www.boe.es/gazeta/dias/1815/05/16/pdfs/GMD-1815-59.pdf#page=8","Abrir facsímil")</f>
        <v>Abrir facsímil</v>
      </c>
      <c r="K4490" s="3" t="s">
        <v>74</v>
      </c>
    </row>
    <row r="4491" spans="1:11" ht="42" customHeight="1">
      <c r="A4491" s="2" t="s">
        <v>11124</v>
      </c>
      <c r="B4491" s="2" t="s">
        <v>11125</v>
      </c>
      <c r="C4491" s="2" t="s">
        <v>17</v>
      </c>
      <c r="D4491" s="2" t="s">
        <v>18</v>
      </c>
      <c r="E4491" s="5">
        <v>-30888</v>
      </c>
      <c r="F4491" s="3" t="s">
        <v>368</v>
      </c>
      <c r="G4491" s="3" t="s">
        <v>276</v>
      </c>
      <c r="H4491" s="2" t="s">
        <v>72</v>
      </c>
      <c r="I4491" s="2" t="s">
        <v>11130</v>
      </c>
      <c r="J4491" s="3" t="str">
        <f>HYPERLINK("https://www.boe.es/gazeta/dias/1815/06/06/pdfs/GMD-1815-68.pdf#page=12","Abrir facsímil")</f>
        <v>Abrir facsímil</v>
      </c>
      <c r="K4491" s="3" t="s">
        <v>74</v>
      </c>
    </row>
    <row r="4492" spans="1:11" ht="42" customHeight="1">
      <c r="A4492" s="2" t="s">
        <v>11124</v>
      </c>
      <c r="B4492" s="2" t="s">
        <v>11125</v>
      </c>
      <c r="C4492" s="2" t="s">
        <v>131</v>
      </c>
      <c r="D4492" s="2" t="s">
        <v>50</v>
      </c>
      <c r="E4492" s="5">
        <v>-30877</v>
      </c>
      <c r="F4492" s="3" t="s">
        <v>548</v>
      </c>
      <c r="G4492" s="3" t="s">
        <v>276</v>
      </c>
      <c r="H4492" s="2" t="s">
        <v>72</v>
      </c>
      <c r="I4492" s="2" t="s">
        <v>11131</v>
      </c>
      <c r="J4492" s="3" t="str">
        <f>HYPERLINK("https://www.boe.es/gazeta/dias/1815/06/17/pdfs/GMD-1815-73.pdf#page=12","Abrir facsímil")</f>
        <v>Abrir facsímil</v>
      </c>
      <c r="K4492" s="3" t="s">
        <v>74</v>
      </c>
    </row>
    <row r="4493" spans="1:11" ht="42" customHeight="1">
      <c r="A4493" s="2" t="s">
        <v>11124</v>
      </c>
      <c r="B4493" s="2" t="s">
        <v>11125</v>
      </c>
      <c r="C4493" s="2" t="s">
        <v>81</v>
      </c>
      <c r="D4493" s="2" t="s">
        <v>50</v>
      </c>
      <c r="E4493" s="5">
        <v>-30844</v>
      </c>
      <c r="F4493" s="3" t="s">
        <v>114</v>
      </c>
      <c r="G4493" s="3" t="s">
        <v>38</v>
      </c>
      <c r="H4493" s="2" t="s">
        <v>72</v>
      </c>
      <c r="I4493" s="2" t="s">
        <v>11132</v>
      </c>
      <c r="J4493" s="3" t="str">
        <f>HYPERLINK("https://www.boe.es/gazeta/dias/1815/07/20/pdfs/GMD-1815-89.pdf#page=8","Abrir facsímil")</f>
        <v>Abrir facsímil</v>
      </c>
      <c r="K4493" s="3" t="s">
        <v>74</v>
      </c>
    </row>
    <row r="4494" spans="1:11" ht="42" customHeight="1">
      <c r="A4494" s="2" t="s">
        <v>11124</v>
      </c>
      <c r="B4494" s="2" t="s">
        <v>11125</v>
      </c>
      <c r="C4494" s="2" t="s">
        <v>61</v>
      </c>
      <c r="D4494" s="2" t="s">
        <v>50</v>
      </c>
      <c r="E4494" s="5">
        <v>-30823</v>
      </c>
      <c r="F4494" s="3" t="s">
        <v>305</v>
      </c>
      <c r="G4494" s="3" t="s">
        <v>276</v>
      </c>
      <c r="H4494" s="2" t="s">
        <v>72</v>
      </c>
      <c r="I4494" s="2" t="s">
        <v>11133</v>
      </c>
      <c r="J4494" s="3" t="str">
        <f>HYPERLINK("https://www.boe.es/gazeta/dias/1815/08/10/pdfs/GMD-1815-98.pdf#page=12","Abrir facsímil")</f>
        <v>Abrir facsímil</v>
      </c>
      <c r="K4494" s="3" t="s">
        <v>74</v>
      </c>
    </row>
    <row r="4495" spans="1:11" ht="42" customHeight="1">
      <c r="A4495" s="2" t="s">
        <v>11124</v>
      </c>
      <c r="B4495" s="2" t="s">
        <v>11125</v>
      </c>
      <c r="C4495" s="2" t="s">
        <v>17</v>
      </c>
      <c r="D4495" s="2" t="s">
        <v>18</v>
      </c>
      <c r="E4495" s="5">
        <v>-30795</v>
      </c>
      <c r="F4495" s="3" t="s">
        <v>172</v>
      </c>
      <c r="G4495" s="3" t="s">
        <v>276</v>
      </c>
      <c r="H4495" s="2" t="s">
        <v>72</v>
      </c>
      <c r="I4495" s="2" t="s">
        <v>11134</v>
      </c>
      <c r="J4495" s="3" t="str">
        <f>HYPERLINK("https://www.boe.es/gazeta/dias/1815/09/07/pdfs/GMD-1815-111.pdf#page=12","Abrir facsímil")</f>
        <v>Abrir facsímil</v>
      </c>
      <c r="K4495" s="3" t="s">
        <v>74</v>
      </c>
    </row>
    <row r="4496" spans="1:11" ht="42" customHeight="1">
      <c r="A4496" s="2" t="s">
        <v>11124</v>
      </c>
      <c r="B4496" s="2" t="s">
        <v>11125</v>
      </c>
      <c r="C4496" s="2" t="s">
        <v>17</v>
      </c>
      <c r="D4496" s="2" t="s">
        <v>18</v>
      </c>
      <c r="E4496" s="5">
        <v>-30788</v>
      </c>
      <c r="F4496" s="3" t="s">
        <v>96</v>
      </c>
      <c r="G4496" s="3" t="s">
        <v>38</v>
      </c>
      <c r="H4496" s="2" t="s">
        <v>72</v>
      </c>
      <c r="I4496" s="2" t="s">
        <v>11135</v>
      </c>
      <c r="J4496" s="3" t="str">
        <f>HYPERLINK("https://www.boe.es/gazeta/dias/1815/09/14/pdfs/GMD-1815-114.pdf#page=8","Abrir facsímil")</f>
        <v>Abrir facsímil</v>
      </c>
      <c r="K4496" s="3" t="s">
        <v>74</v>
      </c>
    </row>
    <row r="4497" spans="1:11" ht="42" customHeight="1">
      <c r="A4497" s="2" t="s">
        <v>11124</v>
      </c>
      <c r="B4497" s="2" t="s">
        <v>11125</v>
      </c>
      <c r="C4497" s="2" t="s">
        <v>17</v>
      </c>
      <c r="D4497" s="2" t="s">
        <v>18</v>
      </c>
      <c r="E4497" s="5">
        <v>-30746</v>
      </c>
      <c r="F4497" s="3" t="s">
        <v>3203</v>
      </c>
      <c r="G4497" s="3" t="s">
        <v>7425</v>
      </c>
      <c r="H4497" s="2" t="s">
        <v>72</v>
      </c>
      <c r="I4497" s="2" t="s">
        <v>11136</v>
      </c>
      <c r="J4497" s="3" t="str">
        <f>HYPERLINK("https://www.boe.es/gazeta/dias/1815/10/26/pdfs/GMD-1815-134.pdf#page=8","Abrir facsímil")</f>
        <v>Abrir facsímil</v>
      </c>
      <c r="K4497" s="3" t="s">
        <v>74</v>
      </c>
    </row>
    <row r="4498" spans="1:11" ht="42" customHeight="1">
      <c r="A4498" s="2" t="s">
        <v>11124</v>
      </c>
      <c r="B4498" s="2" t="s">
        <v>11125</v>
      </c>
      <c r="C4498" s="2" t="s">
        <v>131</v>
      </c>
      <c r="D4498" s="2" t="s">
        <v>50</v>
      </c>
      <c r="E4498" s="5">
        <v>-30727</v>
      </c>
      <c r="F4498" s="3" t="s">
        <v>262</v>
      </c>
      <c r="G4498" s="3" t="s">
        <v>38</v>
      </c>
      <c r="H4498" s="2" t="s">
        <v>72</v>
      </c>
      <c r="I4498" s="2" t="s">
        <v>11137</v>
      </c>
      <c r="J4498" s="3" t="str">
        <f>HYPERLINK("https://www.boe.es/gazeta/dias/1815/11/14/pdfs/GMD-1815-142.pdf#page=8","Abrir facsímil")</f>
        <v>Abrir facsímil</v>
      </c>
      <c r="K4498" s="3" t="s">
        <v>74</v>
      </c>
    </row>
    <row r="4499" spans="1:11" ht="42" customHeight="1">
      <c r="A4499" s="2" t="s">
        <v>11124</v>
      </c>
      <c r="B4499" s="2" t="s">
        <v>11125</v>
      </c>
      <c r="C4499" s="2" t="s">
        <v>17</v>
      </c>
      <c r="D4499" s="2" t="s">
        <v>18</v>
      </c>
      <c r="E4499" s="5">
        <v>-30695</v>
      </c>
      <c r="F4499" s="3" t="s">
        <v>824</v>
      </c>
      <c r="G4499" s="3" t="s">
        <v>38</v>
      </c>
      <c r="H4499" s="2" t="s">
        <v>72</v>
      </c>
      <c r="I4499" s="2" t="s">
        <v>11138</v>
      </c>
      <c r="J4499" s="3" t="str">
        <f>HYPERLINK("https://www.boe.es/gazeta/dias/1815/12/16/pdfs/GMD-1815-156.pdf#page=8","Abrir facsímil")</f>
        <v>Abrir facsímil</v>
      </c>
      <c r="K4499" s="3" t="s">
        <v>74</v>
      </c>
    </row>
    <row r="4500" spans="1:11" ht="42" customHeight="1">
      <c r="A4500" s="2" t="s">
        <v>11139</v>
      </c>
      <c r="B4500" s="2" t="s">
        <v>11140</v>
      </c>
      <c r="C4500" s="2" t="s">
        <v>49</v>
      </c>
      <c r="D4500" s="2" t="s">
        <v>50</v>
      </c>
      <c r="E4500" s="5">
        <v>-30930</v>
      </c>
      <c r="F4500" s="3" t="s">
        <v>51</v>
      </c>
      <c r="G4500" s="3" t="s">
        <v>52</v>
      </c>
      <c r="H4500" s="2" t="s">
        <v>72</v>
      </c>
      <c r="I4500" s="2" t="s">
        <v>11141</v>
      </c>
      <c r="J4500" s="3" t="str">
        <f>HYPERLINK("https://www.boe.es/gazeta/dias/1815/04/25/pdfs/GMD-1815-50.pdf#page=11","Abrir facsímil")</f>
        <v>Abrir facsímil</v>
      </c>
      <c r="K4500" s="3" t="s">
        <v>74</v>
      </c>
    </row>
    <row r="4501" spans="1:11" ht="42" customHeight="1">
      <c r="A4501" s="2" t="s">
        <v>11142</v>
      </c>
      <c r="B4501" s="2" t="s">
        <v>11143</v>
      </c>
      <c r="C4501" s="2" t="s">
        <v>195</v>
      </c>
      <c r="D4501" s="2" t="s">
        <v>50</v>
      </c>
      <c r="E4501" s="5">
        <v>-30888</v>
      </c>
      <c r="F4501" s="3" t="s">
        <v>368</v>
      </c>
      <c r="G4501" s="3" t="s">
        <v>369</v>
      </c>
      <c r="H4501" s="2" t="s">
        <v>72</v>
      </c>
      <c r="I4501" s="2" t="s">
        <v>11144</v>
      </c>
      <c r="J4501" s="3" t="str">
        <f>HYPERLINK("https://www.boe.es/gazeta/dias/1815/06/06/pdfs/GMD-1815-68.pdf#page=7","Abrir facsímil")</f>
        <v>Abrir facsímil</v>
      </c>
      <c r="K4501" s="3" t="s">
        <v>74</v>
      </c>
    </row>
    <row r="4502" spans="1:11" ht="42" customHeight="1">
      <c r="A4502" s="2" t="s">
        <v>11145</v>
      </c>
      <c r="B4502" s="2" t="s">
        <v>11146</v>
      </c>
      <c r="C4502" s="2" t="s">
        <v>81</v>
      </c>
      <c r="D4502" s="2" t="s">
        <v>50</v>
      </c>
      <c r="E4502" s="5">
        <v>-30825</v>
      </c>
      <c r="F4502" s="3" t="s">
        <v>669</v>
      </c>
      <c r="G4502" s="3" t="s">
        <v>52</v>
      </c>
      <c r="H4502" s="2" t="s">
        <v>72</v>
      </c>
      <c r="I4502" s="2" t="s">
        <v>11147</v>
      </c>
      <c r="J4502" s="3" t="str">
        <f>HYPERLINK("https://www.boe.es/gazeta/dias/1815/08/08/pdfs/GMD-1815-97.pdf#page=11","Abrir facsímil")</f>
        <v>Abrir facsímil</v>
      </c>
      <c r="K4502" s="3" t="s">
        <v>74</v>
      </c>
    </row>
    <row r="4503" spans="1:11" ht="42" customHeight="1">
      <c r="A4503" s="2" t="s">
        <v>11148</v>
      </c>
      <c r="B4503" s="2" t="s">
        <v>11149</v>
      </c>
      <c r="C4503" s="2" t="s">
        <v>31</v>
      </c>
      <c r="D4503" s="2" t="s">
        <v>32</v>
      </c>
      <c r="E4503" s="5">
        <v>-30891</v>
      </c>
      <c r="F4503" s="3" t="s">
        <v>498</v>
      </c>
      <c r="G4503" s="3" t="s">
        <v>71</v>
      </c>
      <c r="H4503" s="2" t="s">
        <v>72</v>
      </c>
      <c r="I4503" s="2" t="s">
        <v>11150</v>
      </c>
      <c r="J4503" s="3" t="str">
        <f>HYPERLINK("https://www.boe.es/gazeta/dias/1815/06/03/pdfs/GMD-1815-67.pdf#page=7","Abrir facsímil")</f>
        <v>Abrir facsímil</v>
      </c>
      <c r="K4503" s="3" t="s">
        <v>74</v>
      </c>
    </row>
    <row r="4504" spans="1:11" ht="42" customHeight="1">
      <c r="A4504" s="2" t="s">
        <v>11151</v>
      </c>
      <c r="B4504" s="2" t="s">
        <v>11152</v>
      </c>
      <c r="C4504" s="2" t="s">
        <v>195</v>
      </c>
      <c r="D4504" s="2" t="s">
        <v>50</v>
      </c>
      <c r="E4504" s="5">
        <v>-30914</v>
      </c>
      <c r="F4504" s="3" t="s">
        <v>338</v>
      </c>
      <c r="G4504" s="3" t="s">
        <v>276</v>
      </c>
      <c r="H4504" s="2" t="s">
        <v>21</v>
      </c>
      <c r="I4504" s="2" t="s">
        <v>11153</v>
      </c>
      <c r="J4504" s="3" t="str">
        <f>HYPERLINK("https://www.boe.es/gazeta/dias/1815/05/11/pdfs/GMD-1815-57.pdf#page=12","Abrir facsímil")</f>
        <v>Abrir facsímil</v>
      </c>
      <c r="K4504" s="3" t="s">
        <v>23</v>
      </c>
    </row>
    <row r="4505" spans="1:11" ht="42" customHeight="1">
      <c r="A4505" s="2" t="s">
        <v>11154</v>
      </c>
      <c r="B4505" s="2" t="s">
        <v>11155</v>
      </c>
      <c r="C4505" s="2" t="s">
        <v>17</v>
      </c>
      <c r="D4505" s="2" t="s">
        <v>18</v>
      </c>
      <c r="E4505" s="5">
        <v>-31014</v>
      </c>
      <c r="F4505" s="3" t="s">
        <v>3193</v>
      </c>
      <c r="G4505" s="3" t="s">
        <v>20</v>
      </c>
      <c r="H4505" s="2" t="s">
        <v>72</v>
      </c>
      <c r="I4505" s="2" t="s">
        <v>11156</v>
      </c>
      <c r="J4505" s="3" t="str">
        <f>HYPERLINK("https://www.boe.es/gazeta/dias/1815/01/31/pdfs/GMD-1815-13.pdf#page=4","Abrir facsímil")</f>
        <v>Abrir facsímil</v>
      </c>
      <c r="K4505" s="3" t="s">
        <v>74</v>
      </c>
    </row>
    <row r="4506" spans="1:11" ht="42" customHeight="1">
      <c r="A4506" s="2" t="s">
        <v>11157</v>
      </c>
      <c r="B4506" s="2" t="s">
        <v>11158</v>
      </c>
      <c r="C4506" s="2" t="s">
        <v>31</v>
      </c>
      <c r="D4506" s="2" t="s">
        <v>32</v>
      </c>
      <c r="E4506" s="5">
        <v>-31024</v>
      </c>
      <c r="F4506" s="3" t="s">
        <v>101</v>
      </c>
      <c r="G4506" s="3" t="s">
        <v>57</v>
      </c>
      <c r="H4506" s="2" t="s">
        <v>72</v>
      </c>
      <c r="I4506" s="2" t="s">
        <v>11159</v>
      </c>
      <c r="J4506" s="3" t="str">
        <f>HYPERLINK("https://www.boe.es/gazeta/dias/1815/01/21/pdfs/GMD-1815-9.pdf#page=5","Abrir facsímil")</f>
        <v>Abrir facsímil</v>
      </c>
      <c r="K4506" s="3" t="s">
        <v>74</v>
      </c>
    </row>
    <row r="4507" spans="1:11" ht="42" customHeight="1">
      <c r="A4507" s="2" t="s">
        <v>11160</v>
      </c>
      <c r="B4507" s="2" t="s">
        <v>11161</v>
      </c>
      <c r="C4507" s="2" t="s">
        <v>49</v>
      </c>
      <c r="D4507" s="2" t="s">
        <v>50</v>
      </c>
      <c r="E4507" s="5">
        <v>-30930</v>
      </c>
      <c r="F4507" s="3" t="s">
        <v>51</v>
      </c>
      <c r="G4507" s="3" t="s">
        <v>57</v>
      </c>
      <c r="H4507" s="2" t="s">
        <v>21</v>
      </c>
      <c r="I4507" s="2" t="s">
        <v>11162</v>
      </c>
      <c r="J4507" s="3" t="str">
        <f>HYPERLINK("https://www.boe.es/gazeta/dias/1815/04/25/pdfs/GMD-1815-50.pdf#page=5","Abrir facsímil")</f>
        <v>Abrir facsímil</v>
      </c>
      <c r="K4507" s="3" t="s">
        <v>23</v>
      </c>
    </row>
    <row r="4508" spans="1:11" ht="42" customHeight="1">
      <c r="A4508" s="2" t="s">
        <v>11163</v>
      </c>
      <c r="B4508" s="2" t="s">
        <v>11164</v>
      </c>
      <c r="C4508" s="2" t="s">
        <v>31</v>
      </c>
      <c r="D4508" s="2" t="s">
        <v>32</v>
      </c>
      <c r="E4508" s="5">
        <v>-31040</v>
      </c>
      <c r="F4508" s="3" t="s">
        <v>326</v>
      </c>
      <c r="G4508" s="3" t="s">
        <v>27</v>
      </c>
      <c r="H4508" s="2" t="s">
        <v>72</v>
      </c>
      <c r="I4508" s="2" t="s">
        <v>11165</v>
      </c>
      <c r="J4508" s="3" t="str">
        <f>HYPERLINK("https://www.boe.es/gazeta/dias/1815/01/05/pdfs/GMD-1815-2.pdf#page=6","Abrir facsímil")</f>
        <v>Abrir facsímil</v>
      </c>
      <c r="K4508" s="3" t="s">
        <v>74</v>
      </c>
    </row>
    <row r="4509" spans="1:11" ht="42" customHeight="1">
      <c r="A4509" s="2" t="s">
        <v>11166</v>
      </c>
      <c r="B4509" s="2" t="s">
        <v>11167</v>
      </c>
      <c r="C4509" s="2" t="s">
        <v>31</v>
      </c>
      <c r="D4509" s="2" t="s">
        <v>32</v>
      </c>
      <c r="E4509" s="5">
        <v>-30844</v>
      </c>
      <c r="F4509" s="3" t="s">
        <v>114</v>
      </c>
      <c r="G4509" s="3" t="s">
        <v>71</v>
      </c>
      <c r="H4509" s="2" t="s">
        <v>72</v>
      </c>
      <c r="I4509" s="2" t="s">
        <v>11168</v>
      </c>
      <c r="J4509" s="3" t="str">
        <f>HYPERLINK("https://www.boe.es/gazeta/dias/1815/07/20/pdfs/GMD-1815-89.pdf#page=7","Abrir facsímil")</f>
        <v>Abrir facsímil</v>
      </c>
      <c r="K4509" s="3" t="s">
        <v>74</v>
      </c>
    </row>
    <row r="4510" spans="1:11" ht="42" customHeight="1">
      <c r="A4510" s="2" t="s">
        <v>11169</v>
      </c>
      <c r="B4510" s="2" t="s">
        <v>11170</v>
      </c>
      <c r="C4510" s="2" t="s">
        <v>31</v>
      </c>
      <c r="D4510" s="2" t="s">
        <v>32</v>
      </c>
      <c r="E4510" s="5">
        <v>-30942</v>
      </c>
      <c r="F4510" s="3" t="s">
        <v>730</v>
      </c>
      <c r="G4510" s="3" t="s">
        <v>862</v>
      </c>
      <c r="H4510" s="2" t="s">
        <v>21</v>
      </c>
      <c r="I4510" s="2" t="s">
        <v>11171</v>
      </c>
      <c r="J4510" s="3" t="str">
        <f>HYPERLINK("https://www.boe.es/gazeta/dias/1815/04/13/pdfs/GMD-1815-45.pdf#page=6","Abrir facsímil")</f>
        <v>Abrir facsímil</v>
      </c>
      <c r="K4510" s="3" t="s">
        <v>23</v>
      </c>
    </row>
    <row r="4511" spans="1:11" ht="42" customHeight="1">
      <c r="A4511" s="2" t="s">
        <v>11172</v>
      </c>
      <c r="B4511" s="2" t="s">
        <v>11173</v>
      </c>
      <c r="C4511" s="2" t="s">
        <v>195</v>
      </c>
      <c r="D4511" s="2" t="s">
        <v>50</v>
      </c>
      <c r="E4511" s="5">
        <v>-30874</v>
      </c>
      <c r="F4511" s="3" t="s">
        <v>208</v>
      </c>
      <c r="G4511" s="3" t="s">
        <v>38</v>
      </c>
      <c r="H4511" s="2" t="s">
        <v>72</v>
      </c>
      <c r="I4511" s="2" t="s">
        <v>11174</v>
      </c>
      <c r="J4511" s="3" t="str">
        <f>HYPERLINK("https://www.boe.es/gazeta/dias/1815/06/20/pdfs/GMD-1815-74.pdf#page=8","Abrir facsímil")</f>
        <v>Abrir facsímil</v>
      </c>
      <c r="K4511" s="3" t="s">
        <v>74</v>
      </c>
    </row>
    <row r="4512" spans="1:11" ht="42" customHeight="1">
      <c r="A4512" s="2" t="s">
        <v>11175</v>
      </c>
      <c r="B4512" s="2" t="s">
        <v>11175</v>
      </c>
      <c r="C4512" s="2" t="s">
        <v>31</v>
      </c>
      <c r="D4512" s="2" t="s">
        <v>32</v>
      </c>
      <c r="E4512" s="5">
        <v>-30744</v>
      </c>
      <c r="F4512" s="3" t="s">
        <v>391</v>
      </c>
      <c r="G4512" s="3" t="s">
        <v>97</v>
      </c>
      <c r="H4512" s="2" t="s">
        <v>72</v>
      </c>
      <c r="I4512" s="2" t="s">
        <v>11176</v>
      </c>
      <c r="J4512" s="3" t="str">
        <f>HYPERLINK("https://www.boe.es/gazeta/dias/1815/10/28/pdfs/GMD-1815-135.pdf#page=3","Abrir facsímil")</f>
        <v>Abrir facsímil</v>
      </c>
      <c r="K4512" s="3" t="s">
        <v>74</v>
      </c>
    </row>
    <row r="4513" spans="1:11" ht="42" customHeight="1">
      <c r="A4513" s="2" t="s">
        <v>11177</v>
      </c>
      <c r="B4513" s="2" t="s">
        <v>11178</v>
      </c>
      <c r="C4513" s="2" t="s">
        <v>31</v>
      </c>
      <c r="D4513" s="2" t="s">
        <v>32</v>
      </c>
      <c r="E4513" s="5">
        <v>-30888</v>
      </c>
      <c r="F4513" s="3" t="s">
        <v>368</v>
      </c>
      <c r="G4513" s="3" t="s">
        <v>38</v>
      </c>
      <c r="H4513" s="2" t="s">
        <v>72</v>
      </c>
      <c r="I4513" s="2" t="s">
        <v>11179</v>
      </c>
      <c r="J4513" s="3" t="str">
        <f>HYPERLINK("https://www.boe.es/gazeta/dias/1815/06/06/pdfs/GMD-1815-68.pdf#page=8","Abrir facsímil")</f>
        <v>Abrir facsímil</v>
      </c>
      <c r="K4513" s="3" t="s">
        <v>74</v>
      </c>
    </row>
    <row r="4514" spans="1:11" ht="42" customHeight="1">
      <c r="A4514" s="2" t="s">
        <v>11180</v>
      </c>
      <c r="B4514" s="2" t="s">
        <v>11181</v>
      </c>
      <c r="C4514" s="2" t="s">
        <v>31</v>
      </c>
      <c r="D4514" s="2" t="s">
        <v>32</v>
      </c>
      <c r="E4514" s="5">
        <v>-30909</v>
      </c>
      <c r="F4514" s="3" t="s">
        <v>581</v>
      </c>
      <c r="G4514" s="3" t="s">
        <v>27</v>
      </c>
      <c r="H4514" s="2" t="s">
        <v>72</v>
      </c>
      <c r="I4514" s="2" t="s">
        <v>11182</v>
      </c>
      <c r="J4514" s="3" t="str">
        <f>HYPERLINK("https://www.boe.es/gazeta/dias/1815/05/16/pdfs/GMD-1815-59.pdf#page=6","Abrir facsímil")</f>
        <v>Abrir facsímil</v>
      </c>
      <c r="K4514" s="3" t="s">
        <v>74</v>
      </c>
    </row>
    <row r="4515" spans="1:11" ht="42" customHeight="1">
      <c r="A4515" s="2" t="s">
        <v>11183</v>
      </c>
      <c r="B4515" s="2" t="s">
        <v>11184</v>
      </c>
      <c r="C4515" s="2" t="s">
        <v>49</v>
      </c>
      <c r="D4515" s="2" t="s">
        <v>50</v>
      </c>
      <c r="E4515" s="5">
        <v>-30886</v>
      </c>
      <c r="F4515" s="3" t="s">
        <v>140</v>
      </c>
      <c r="G4515" s="3" t="s">
        <v>224</v>
      </c>
      <c r="H4515" s="2" t="s">
        <v>72</v>
      </c>
      <c r="I4515" s="2" t="s">
        <v>11185</v>
      </c>
      <c r="J4515" s="3" t="str">
        <f>HYPERLINK("https://www.boe.es/gazeta/dias/1815/06/08/pdfs/GMD-1815-69.pdf#page=9","Abrir facsímil")</f>
        <v>Abrir facsímil</v>
      </c>
      <c r="K4515" s="3" t="s">
        <v>74</v>
      </c>
    </row>
    <row r="4516" spans="1:11" ht="42" customHeight="1">
      <c r="A4516" s="2" t="s">
        <v>11186</v>
      </c>
      <c r="B4516" s="2" t="s">
        <v>11186</v>
      </c>
      <c r="C4516" s="2" t="s">
        <v>61</v>
      </c>
      <c r="D4516" s="2" t="s">
        <v>50</v>
      </c>
      <c r="E4516" s="5">
        <v>-30923</v>
      </c>
      <c r="F4516" s="3" t="s">
        <v>524</v>
      </c>
      <c r="G4516" s="3" t="s">
        <v>57</v>
      </c>
      <c r="H4516" s="2" t="s">
        <v>72</v>
      </c>
      <c r="I4516" s="2" t="s">
        <v>11187</v>
      </c>
      <c r="J4516" s="3" t="str">
        <f>HYPERLINK("https://www.boe.es/gazeta/dias/1815/05/02/pdfs/GMD-1815-53.pdf#page=5","Abrir facsímil")</f>
        <v>Abrir facsímil</v>
      </c>
      <c r="K4516" s="3" t="s">
        <v>74</v>
      </c>
    </row>
    <row r="4517" spans="1:11" ht="42" customHeight="1">
      <c r="A4517" s="2" t="s">
        <v>11188</v>
      </c>
      <c r="B4517" s="2" t="s">
        <v>11188</v>
      </c>
      <c r="C4517" s="2" t="s">
        <v>31</v>
      </c>
      <c r="D4517" s="2" t="s">
        <v>32</v>
      </c>
      <c r="E4517" s="5">
        <v>-30816</v>
      </c>
      <c r="F4517" s="3" t="s">
        <v>1253</v>
      </c>
      <c r="G4517" s="3" t="s">
        <v>88</v>
      </c>
      <c r="H4517" s="2" t="s">
        <v>72</v>
      </c>
      <c r="I4517" s="2" t="s">
        <v>11189</v>
      </c>
      <c r="J4517" s="3" t="str">
        <f>HYPERLINK("https://www.boe.es/gazeta/dias/1815/08/17/pdfs/GMD-1815-101.pdf#page=10","Abrir facsímil")</f>
        <v>Abrir facsímil</v>
      </c>
      <c r="K4517" s="3" t="s">
        <v>74</v>
      </c>
    </row>
    <row r="4518" spans="1:11" ht="42" customHeight="1">
      <c r="A4518" s="2" t="s">
        <v>11190</v>
      </c>
      <c r="B4518" s="2" t="s">
        <v>11191</v>
      </c>
      <c r="C4518" s="2" t="s">
        <v>49</v>
      </c>
      <c r="D4518" s="2" t="s">
        <v>50</v>
      </c>
      <c r="E4518" s="5">
        <v>-30863</v>
      </c>
      <c r="F4518" s="3" t="s">
        <v>110</v>
      </c>
      <c r="G4518" s="3" t="s">
        <v>224</v>
      </c>
      <c r="H4518" s="2" t="s">
        <v>72</v>
      </c>
      <c r="I4518" s="2" t="s">
        <v>11192</v>
      </c>
      <c r="J4518" s="3" t="str">
        <f>HYPERLINK("https://www.boe.es/gazeta/dias/1815/07/01/pdfs/GMD-1815-79.pdf#page=9","Abrir facsímil")</f>
        <v>Abrir facsímil</v>
      </c>
      <c r="K4518" s="3" t="s">
        <v>74</v>
      </c>
    </row>
    <row r="4519" spans="1:11" ht="42" customHeight="1">
      <c r="A4519" s="2" t="s">
        <v>11193</v>
      </c>
      <c r="B4519" s="2" t="s">
        <v>11194</v>
      </c>
      <c r="C4519" s="2" t="s">
        <v>49</v>
      </c>
      <c r="D4519" s="2" t="s">
        <v>50</v>
      </c>
      <c r="E4519" s="5">
        <v>-30863</v>
      </c>
      <c r="F4519" s="3" t="s">
        <v>110</v>
      </c>
      <c r="G4519" s="3" t="s">
        <v>224</v>
      </c>
      <c r="H4519" s="2" t="s">
        <v>72</v>
      </c>
      <c r="I4519" s="2" t="s">
        <v>11195</v>
      </c>
      <c r="J4519" s="3" t="str">
        <f>HYPERLINK("https://www.boe.es/gazeta/dias/1815/07/01/pdfs/GMD-1815-79.pdf#page=9","Abrir facsímil")</f>
        <v>Abrir facsímil</v>
      </c>
      <c r="K4519" s="3" t="s">
        <v>74</v>
      </c>
    </row>
    <row r="4520" spans="1:11" ht="42" customHeight="1">
      <c r="A4520" s="2" t="s">
        <v>11196</v>
      </c>
      <c r="B4520" s="2" t="s">
        <v>11197</v>
      </c>
      <c r="C4520" s="2" t="s">
        <v>31</v>
      </c>
      <c r="D4520" s="2" t="s">
        <v>32</v>
      </c>
      <c r="E4520" s="5">
        <v>-31038</v>
      </c>
      <c r="F4520" s="3" t="s">
        <v>395</v>
      </c>
      <c r="G4520" s="3" t="s">
        <v>71</v>
      </c>
      <c r="H4520" s="2" t="s">
        <v>21</v>
      </c>
      <c r="I4520" s="2" t="s">
        <v>11198</v>
      </c>
      <c r="J4520" s="3" t="str">
        <f>HYPERLINK("https://www.boe.es/gazeta/dias/1815/01/07/pdfs/GMD-1815-3.pdf#page=7","Abrir facsímil")</f>
        <v>Abrir facsímil</v>
      </c>
      <c r="K4520" s="3" t="s">
        <v>23</v>
      </c>
    </row>
    <row r="4521" spans="1:11" ht="42" customHeight="1">
      <c r="A4521" s="2" t="s">
        <v>11199</v>
      </c>
      <c r="B4521" s="2" t="s">
        <v>11199</v>
      </c>
      <c r="C4521" s="2" t="s">
        <v>31</v>
      </c>
      <c r="D4521" s="2" t="s">
        <v>32</v>
      </c>
      <c r="E4521" s="5">
        <v>-30844</v>
      </c>
      <c r="F4521" s="3" t="s">
        <v>114</v>
      </c>
      <c r="G4521" s="3" t="s">
        <v>20</v>
      </c>
      <c r="H4521" s="2" t="s">
        <v>72</v>
      </c>
      <c r="I4521" s="2" t="s">
        <v>11200</v>
      </c>
      <c r="J4521" s="3" t="str">
        <f>HYPERLINK("https://www.boe.es/gazeta/dias/1815/07/20/pdfs/GMD-1815-89.pdf#page=4","Abrir facsímil")</f>
        <v>Abrir facsímil</v>
      </c>
      <c r="K4521" s="3" t="s">
        <v>74</v>
      </c>
    </row>
    <row r="4522" spans="1:11" ht="42" customHeight="1">
      <c r="A4522" s="2" t="s">
        <v>11199</v>
      </c>
      <c r="B4522" s="2" t="s">
        <v>11199</v>
      </c>
      <c r="C4522" s="2" t="s">
        <v>31</v>
      </c>
      <c r="D4522" s="2" t="s">
        <v>32</v>
      </c>
      <c r="E4522" s="5">
        <v>-30842</v>
      </c>
      <c r="F4522" s="3" t="s">
        <v>126</v>
      </c>
      <c r="G4522" s="3" t="s">
        <v>97</v>
      </c>
      <c r="H4522" s="2" t="s">
        <v>72</v>
      </c>
      <c r="I4522" s="2" t="s">
        <v>11201</v>
      </c>
      <c r="J4522" s="3" t="str">
        <f>HYPERLINK("https://www.boe.es/gazeta/dias/1815/07/22/pdfs/GMD-1815-90.pdf#page=3","Abrir facsímil")</f>
        <v>Abrir facsímil</v>
      </c>
      <c r="K4522" s="3" t="s">
        <v>74</v>
      </c>
    </row>
    <row r="4523" spans="1:11" ht="42" customHeight="1">
      <c r="A4523" s="2" t="s">
        <v>11202</v>
      </c>
      <c r="B4523" s="2" t="s">
        <v>11203</v>
      </c>
      <c r="C4523" s="2" t="s">
        <v>31</v>
      </c>
      <c r="D4523" s="2" t="s">
        <v>32</v>
      </c>
      <c r="E4523" s="5">
        <v>-30872</v>
      </c>
      <c r="F4523" s="3" t="s">
        <v>167</v>
      </c>
      <c r="G4523" s="3" t="s">
        <v>27</v>
      </c>
      <c r="H4523" s="2" t="s">
        <v>72</v>
      </c>
      <c r="I4523" s="2" t="s">
        <v>11204</v>
      </c>
      <c r="J4523" s="3" t="str">
        <f>HYPERLINK("https://www.boe.es/gazeta/dias/1815/06/22/pdfs/GMD-1815-75.pdf#page=6","Abrir facsímil")</f>
        <v>Abrir facsímil</v>
      </c>
      <c r="K4523" s="3" t="s">
        <v>74</v>
      </c>
    </row>
    <row r="4524" spans="1:11" ht="42" customHeight="1">
      <c r="A4524" s="2" t="s">
        <v>11205</v>
      </c>
      <c r="B4524" s="2" t="s">
        <v>11206</v>
      </c>
      <c r="C4524" s="2" t="s">
        <v>49</v>
      </c>
      <c r="D4524" s="2" t="s">
        <v>50</v>
      </c>
      <c r="E4524" s="5">
        <v>-30865</v>
      </c>
      <c r="F4524" s="3" t="s">
        <v>163</v>
      </c>
      <c r="G4524" s="3" t="s">
        <v>27</v>
      </c>
      <c r="H4524" s="2" t="s">
        <v>72</v>
      </c>
      <c r="I4524" s="2" t="s">
        <v>11207</v>
      </c>
      <c r="J4524" s="3" t="str">
        <f>HYPERLINK("https://www.boe.es/gazeta/dias/1815/06/29/pdfs/GMD-1815-78.pdf#page=6","Abrir facsímil")</f>
        <v>Abrir facsímil</v>
      </c>
      <c r="K4524" s="3" t="s">
        <v>74</v>
      </c>
    </row>
    <row r="4525" spans="1:11" ht="42" customHeight="1">
      <c r="A4525" s="2" t="s">
        <v>11205</v>
      </c>
      <c r="B4525" s="2" t="s">
        <v>11206</v>
      </c>
      <c r="C4525" s="2" t="s">
        <v>131</v>
      </c>
      <c r="D4525" s="2" t="s">
        <v>50</v>
      </c>
      <c r="E4525" s="5">
        <v>-30781</v>
      </c>
      <c r="F4525" s="3" t="s">
        <v>685</v>
      </c>
      <c r="G4525" s="3" t="s">
        <v>3332</v>
      </c>
      <c r="H4525" s="2" t="s">
        <v>72</v>
      </c>
      <c r="I4525" s="2" t="s">
        <v>11208</v>
      </c>
      <c r="J4525" s="3" t="str">
        <f>HYPERLINK("https://www.boe.es/gazeta/dias/1815/09/21/pdfs/GMD-1815-117.pdf#page=4","Abrir facsímil")</f>
        <v>Abrir facsímil</v>
      </c>
      <c r="K4525" s="3" t="s">
        <v>74</v>
      </c>
    </row>
    <row r="4526" spans="1:11" ht="42" customHeight="1">
      <c r="A4526" s="2" t="s">
        <v>11205</v>
      </c>
      <c r="B4526" s="2" t="s">
        <v>11206</v>
      </c>
      <c r="C4526" s="2" t="s">
        <v>81</v>
      </c>
      <c r="D4526" s="2" t="s">
        <v>50</v>
      </c>
      <c r="E4526" s="5">
        <v>-30781</v>
      </c>
      <c r="F4526" s="3" t="s">
        <v>685</v>
      </c>
      <c r="G4526" s="3" t="s">
        <v>57</v>
      </c>
      <c r="H4526" s="2" t="s">
        <v>72</v>
      </c>
      <c r="I4526" s="2" t="s">
        <v>11209</v>
      </c>
      <c r="J4526" s="3" t="str">
        <f>HYPERLINK("https://www.boe.es/gazeta/dias/1815/09/21/pdfs/GMD-1815-117.pdf#page=5","Abrir facsímil")</f>
        <v>Abrir facsímil</v>
      </c>
      <c r="K4526" s="3" t="s">
        <v>74</v>
      </c>
    </row>
    <row r="4527" spans="1:11" ht="42" customHeight="1">
      <c r="A4527" s="2" t="s">
        <v>11205</v>
      </c>
      <c r="B4527" s="2" t="s">
        <v>11206</v>
      </c>
      <c r="C4527" s="2" t="s">
        <v>131</v>
      </c>
      <c r="D4527" s="2" t="s">
        <v>50</v>
      </c>
      <c r="E4527" s="5">
        <v>-30781</v>
      </c>
      <c r="F4527" s="3" t="s">
        <v>685</v>
      </c>
      <c r="G4527" s="3" t="s">
        <v>27</v>
      </c>
      <c r="H4527" s="2" t="s">
        <v>72</v>
      </c>
      <c r="I4527" s="2" t="s">
        <v>11210</v>
      </c>
      <c r="J4527" s="3" t="str">
        <f>HYPERLINK("https://www.boe.es/gazeta/dias/1815/09/21/pdfs/GMD-1815-117.pdf#page=6","Abrir facsímil")</f>
        <v>Abrir facsímil</v>
      </c>
      <c r="K4527" s="3" t="s">
        <v>74</v>
      </c>
    </row>
    <row r="4528" spans="1:11" ht="42" customHeight="1">
      <c r="A4528" s="2" t="s">
        <v>11211</v>
      </c>
      <c r="B4528" s="2" t="s">
        <v>11212</v>
      </c>
      <c r="C4528" s="2" t="s">
        <v>31</v>
      </c>
      <c r="D4528" s="2" t="s">
        <v>32</v>
      </c>
      <c r="E4528" s="5">
        <v>-30846</v>
      </c>
      <c r="F4528" s="3" t="s">
        <v>858</v>
      </c>
      <c r="G4528" s="3" t="s">
        <v>38</v>
      </c>
      <c r="H4528" s="2" t="s">
        <v>72</v>
      </c>
      <c r="I4528" s="2" t="s">
        <v>11213</v>
      </c>
      <c r="J4528" s="3" t="str">
        <f>HYPERLINK("https://www.boe.es/gazeta/dias/1815/07/18/pdfs/GMD-1815-88.pdf#page=8","Abrir facsímil")</f>
        <v>Abrir facsímil</v>
      </c>
      <c r="K4528" s="3" t="s">
        <v>74</v>
      </c>
    </row>
    <row r="4529" spans="1:11" ht="42" customHeight="1">
      <c r="A4529" s="2" t="s">
        <v>11214</v>
      </c>
      <c r="B4529" s="2" t="s">
        <v>11215</v>
      </c>
      <c r="C4529" s="2" t="s">
        <v>17</v>
      </c>
      <c r="D4529" s="2" t="s">
        <v>18</v>
      </c>
      <c r="E4529" s="5">
        <v>-30846</v>
      </c>
      <c r="F4529" s="3" t="s">
        <v>858</v>
      </c>
      <c r="G4529" s="3" t="s">
        <v>38</v>
      </c>
      <c r="H4529" s="2" t="s">
        <v>72</v>
      </c>
      <c r="I4529" s="2" t="s">
        <v>11216</v>
      </c>
      <c r="J4529" s="3" t="str">
        <f>HYPERLINK("https://www.boe.es/gazeta/dias/1815/07/18/pdfs/GMD-1815-88.pdf#page=8","Abrir facsímil")</f>
        <v>Abrir facsímil</v>
      </c>
      <c r="K4529" s="3" t="s">
        <v>74</v>
      </c>
    </row>
    <row r="4530" spans="1:11" ht="42" customHeight="1">
      <c r="A4530" s="2" t="s">
        <v>11217</v>
      </c>
      <c r="B4530" s="2" t="s">
        <v>11217</v>
      </c>
      <c r="C4530" s="2" t="s">
        <v>31</v>
      </c>
      <c r="D4530" s="2" t="s">
        <v>32</v>
      </c>
      <c r="E4530" s="5">
        <v>-30905</v>
      </c>
      <c r="F4530" s="3" t="s">
        <v>901</v>
      </c>
      <c r="G4530" s="3" t="s">
        <v>410</v>
      </c>
      <c r="H4530" s="2" t="s">
        <v>72</v>
      </c>
      <c r="I4530" s="2" t="s">
        <v>11218</v>
      </c>
      <c r="J4530" s="3" t="str">
        <f>HYPERLINK("https://www.boe.es/gazeta/dias/1815/05/20/pdfs/GMD-1815-61.pdf#page=1","Abrir facsímil")</f>
        <v>Abrir facsímil</v>
      </c>
      <c r="K4530" s="3" t="s">
        <v>74</v>
      </c>
    </row>
    <row r="4531" spans="1:11" ht="42" customHeight="1">
      <c r="A4531" s="2" t="s">
        <v>11219</v>
      </c>
      <c r="B4531" s="2" t="s">
        <v>11220</v>
      </c>
      <c r="C4531" s="2" t="s">
        <v>61</v>
      </c>
      <c r="D4531" s="2" t="s">
        <v>50</v>
      </c>
      <c r="E4531" s="5">
        <v>-30713</v>
      </c>
      <c r="F4531" s="3" t="s">
        <v>895</v>
      </c>
      <c r="G4531" s="3" t="s">
        <v>38</v>
      </c>
      <c r="H4531" s="2" t="s">
        <v>72</v>
      </c>
      <c r="I4531" s="2" t="s">
        <v>11221</v>
      </c>
      <c r="J4531" s="3" t="str">
        <f>HYPERLINK("https://www.boe.es/gazeta/dias/1815/11/28/pdfs/GMD-1815-148.pdf#page=8","Abrir facsímil")</f>
        <v>Abrir facsímil</v>
      </c>
      <c r="K4531" s="3" t="s">
        <v>74</v>
      </c>
    </row>
    <row r="4532" spans="1:11" ht="42" customHeight="1">
      <c r="A4532" s="2" t="s">
        <v>11222</v>
      </c>
      <c r="B4532" s="2" t="s">
        <v>11223</v>
      </c>
      <c r="C4532" s="2" t="s">
        <v>31</v>
      </c>
      <c r="D4532" s="2" t="s">
        <v>32</v>
      </c>
      <c r="E4532" s="5">
        <v>-31038</v>
      </c>
      <c r="F4532" s="3" t="s">
        <v>395</v>
      </c>
      <c r="G4532" s="3" t="s">
        <v>396</v>
      </c>
      <c r="H4532" s="2" t="s">
        <v>72</v>
      </c>
      <c r="I4532" s="2" t="s">
        <v>11224</v>
      </c>
      <c r="J4532" s="3" t="str">
        <f>HYPERLINK("https://www.boe.es/gazeta/dias/1815/01/07/pdfs/GMD-1815-3.pdf#page=5","Abrir facsímil")</f>
        <v>Abrir facsímil</v>
      </c>
      <c r="K4532" s="3" t="s">
        <v>74</v>
      </c>
    </row>
    <row r="4533" spans="1:11" ht="42" customHeight="1">
      <c r="A4533" s="2" t="s">
        <v>11225</v>
      </c>
      <c r="B4533" s="2" t="s">
        <v>11226</v>
      </c>
      <c r="C4533" s="2" t="s">
        <v>31</v>
      </c>
      <c r="D4533" s="2" t="s">
        <v>32</v>
      </c>
      <c r="E4533" s="5">
        <v>-30737</v>
      </c>
      <c r="F4533" s="3" t="s">
        <v>1932</v>
      </c>
      <c r="G4533" s="3" t="s">
        <v>71</v>
      </c>
      <c r="H4533" s="2" t="s">
        <v>72</v>
      </c>
      <c r="I4533" s="2" t="s">
        <v>11227</v>
      </c>
      <c r="J4533" s="3" t="str">
        <f>HYPERLINK("https://www.boe.es/gazeta/dias/1815/11/04/pdfs/GMD-1815-138.pdf#page=7","Abrir facsímil")</f>
        <v>Abrir facsímil</v>
      </c>
      <c r="K4533" s="3" t="s">
        <v>74</v>
      </c>
    </row>
    <row r="4534" spans="1:11" ht="42" customHeight="1">
      <c r="A4534" s="2" t="s">
        <v>11228</v>
      </c>
      <c r="B4534" s="2" t="s">
        <v>11229</v>
      </c>
      <c r="C4534" s="2" t="s">
        <v>31</v>
      </c>
      <c r="D4534" s="2" t="s">
        <v>32</v>
      </c>
      <c r="E4534" s="5">
        <v>-30989</v>
      </c>
      <c r="F4534" s="3" t="s">
        <v>2441</v>
      </c>
      <c r="G4534" s="3" t="s">
        <v>5364</v>
      </c>
      <c r="H4534" s="2" t="s">
        <v>72</v>
      </c>
      <c r="I4534" s="2" t="s">
        <v>11230</v>
      </c>
      <c r="J4534" s="3" t="str">
        <f>HYPERLINK("https://www.boe.es/gazeta/dias/1815/02/25/pdfs/GMD-1815-24.pdf#page=8","Abrir facsímil")</f>
        <v>Abrir facsímil</v>
      </c>
      <c r="K4534" s="3" t="s">
        <v>74</v>
      </c>
    </row>
    <row r="4535" spans="1:11" ht="42" customHeight="1">
      <c r="A4535" s="2" t="s">
        <v>11231</v>
      </c>
      <c r="B4535" s="2" t="s">
        <v>11232</v>
      </c>
      <c r="C4535" s="2" t="s">
        <v>81</v>
      </c>
      <c r="D4535" s="2" t="s">
        <v>50</v>
      </c>
      <c r="E4535" s="5">
        <v>-30825</v>
      </c>
      <c r="F4535" s="3" t="s">
        <v>669</v>
      </c>
      <c r="G4535" s="3" t="s">
        <v>52</v>
      </c>
      <c r="H4535" s="2" t="s">
        <v>72</v>
      </c>
      <c r="I4535" s="2" t="s">
        <v>11233</v>
      </c>
      <c r="J4535" s="3" t="str">
        <f>HYPERLINK("https://www.boe.es/gazeta/dias/1815/08/08/pdfs/GMD-1815-97.pdf#page=11","Abrir facsímil")</f>
        <v>Abrir facsímil</v>
      </c>
      <c r="K4535" s="3" t="s">
        <v>74</v>
      </c>
    </row>
    <row r="4536" spans="1:11" ht="42" customHeight="1">
      <c r="A4536" s="2" t="s">
        <v>11234</v>
      </c>
      <c r="B4536" s="2" t="s">
        <v>11235</v>
      </c>
      <c r="C4536" s="2" t="s">
        <v>31</v>
      </c>
      <c r="D4536" s="2" t="s">
        <v>32</v>
      </c>
      <c r="E4536" s="5">
        <v>-31038</v>
      </c>
      <c r="F4536" s="3" t="s">
        <v>395</v>
      </c>
      <c r="G4536" s="3" t="s">
        <v>396</v>
      </c>
      <c r="H4536" s="2" t="s">
        <v>72</v>
      </c>
      <c r="I4536" s="2" t="s">
        <v>11236</v>
      </c>
      <c r="J4536" s="3" t="str">
        <f>HYPERLINK("https://www.boe.es/gazeta/dias/1815/01/07/pdfs/GMD-1815-3.pdf#page=5","Abrir facsímil")</f>
        <v>Abrir facsímil</v>
      </c>
      <c r="K4536" s="3" t="s">
        <v>74</v>
      </c>
    </row>
    <row r="4537" spans="1:11" ht="42" customHeight="1">
      <c r="A4537" s="2" t="s">
        <v>11237</v>
      </c>
      <c r="B4537" s="2" t="s">
        <v>11238</v>
      </c>
      <c r="C4537" s="2" t="s">
        <v>17</v>
      </c>
      <c r="D4537" s="2" t="s">
        <v>18</v>
      </c>
      <c r="E4537" s="5">
        <v>-30790</v>
      </c>
      <c r="F4537" s="3" t="s">
        <v>285</v>
      </c>
      <c r="G4537" s="3" t="s">
        <v>71</v>
      </c>
      <c r="H4537" s="2" t="s">
        <v>72</v>
      </c>
      <c r="I4537" s="2" t="s">
        <v>11239</v>
      </c>
      <c r="J4537" s="3" t="str">
        <f>HYPERLINK("https://www.boe.es/gazeta/dias/1815/09/12/pdfs/GMD-1815-113.pdf#page=7","Abrir facsímil")</f>
        <v>Abrir facsímil</v>
      </c>
      <c r="K4537" s="3" t="s">
        <v>74</v>
      </c>
    </row>
    <row r="4538" spans="1:11" ht="42" customHeight="1">
      <c r="A4538" s="2" t="s">
        <v>11240</v>
      </c>
      <c r="B4538" s="2" t="s">
        <v>11241</v>
      </c>
      <c r="C4538" s="2" t="s">
        <v>17</v>
      </c>
      <c r="D4538" s="2" t="s">
        <v>18</v>
      </c>
      <c r="E4538" s="5">
        <v>-30884</v>
      </c>
      <c r="F4538" s="3" t="s">
        <v>136</v>
      </c>
      <c r="G4538" s="3" t="s">
        <v>71</v>
      </c>
      <c r="H4538" s="2" t="s">
        <v>72</v>
      </c>
      <c r="I4538" s="2" t="s">
        <v>11242</v>
      </c>
      <c r="J4538" s="3" t="str">
        <f>HYPERLINK("https://www.boe.es/gazeta/dias/1815/06/10/pdfs/GMD-1815-70.pdf#page=7","Abrir facsímil")</f>
        <v>Abrir facsímil</v>
      </c>
      <c r="K4538" s="3" t="s">
        <v>74</v>
      </c>
    </row>
    <row r="4539" spans="1:11" ht="42" customHeight="1">
      <c r="A4539" s="2" t="s">
        <v>11243</v>
      </c>
      <c r="B4539" s="2" t="s">
        <v>11244</v>
      </c>
      <c r="C4539" s="2" t="s">
        <v>31</v>
      </c>
      <c r="D4539" s="2" t="s">
        <v>32</v>
      </c>
      <c r="E4539" s="5">
        <v>-31012</v>
      </c>
      <c r="F4539" s="3" t="s">
        <v>529</v>
      </c>
      <c r="G4539" s="3" t="s">
        <v>377</v>
      </c>
      <c r="H4539" s="2" t="s">
        <v>72</v>
      </c>
      <c r="I4539" s="2" t="s">
        <v>11245</v>
      </c>
      <c r="J4539" s="3" t="str">
        <f>HYPERLINK("https://www.boe.es/gazeta/dias/1815/02/02/pdfs/GMD-1815-14.pdf#page=2","Abrir facsímil")</f>
        <v>Abrir facsímil</v>
      </c>
      <c r="K4539" s="3" t="s">
        <v>74</v>
      </c>
    </row>
    <row r="4540" spans="1:11" ht="42" customHeight="1">
      <c r="A4540" s="2" t="s">
        <v>11246</v>
      </c>
      <c r="B4540" s="2" t="s">
        <v>11247</v>
      </c>
      <c r="C4540" s="2" t="s">
        <v>131</v>
      </c>
      <c r="D4540" s="2" t="s">
        <v>50</v>
      </c>
      <c r="E4540" s="5">
        <v>-30940</v>
      </c>
      <c r="F4540" s="3" t="s">
        <v>610</v>
      </c>
      <c r="G4540" s="3" t="s">
        <v>71</v>
      </c>
      <c r="H4540" s="2" t="s">
        <v>72</v>
      </c>
      <c r="I4540" s="2" t="s">
        <v>11248</v>
      </c>
      <c r="J4540" s="3" t="str">
        <f>HYPERLINK("https://www.boe.es/gazeta/dias/1815/04/15/pdfs/GMD-1815-46.pdf#page=7","Abrir facsímil")</f>
        <v>Abrir facsímil</v>
      </c>
      <c r="K4540" s="3" t="s">
        <v>74</v>
      </c>
    </row>
    <row r="4541" spans="1:11" ht="42" customHeight="1">
      <c r="A4541" s="2" t="s">
        <v>11249</v>
      </c>
      <c r="B4541" s="2" t="s">
        <v>11249</v>
      </c>
      <c r="C4541" s="2" t="s">
        <v>31</v>
      </c>
      <c r="D4541" s="2" t="s">
        <v>32</v>
      </c>
      <c r="E4541" s="5">
        <v>-31000</v>
      </c>
      <c r="F4541" s="3" t="s">
        <v>70</v>
      </c>
      <c r="G4541" s="3" t="s">
        <v>410</v>
      </c>
      <c r="H4541" s="2" t="s">
        <v>72</v>
      </c>
      <c r="I4541" s="2" t="s">
        <v>11250</v>
      </c>
      <c r="J4541" s="3" t="str">
        <f>HYPERLINK("https://www.boe.es/gazeta/dias/1815/02/14/pdfs/GMD-1815-19.pdf#page=1","Abrir facsímil")</f>
        <v>Abrir facsímil</v>
      </c>
      <c r="K4541" s="3" t="s">
        <v>74</v>
      </c>
    </row>
    <row r="4542" spans="1:11" ht="42" customHeight="1">
      <c r="A4542" s="2" t="s">
        <v>11251</v>
      </c>
      <c r="B4542" s="2" t="s">
        <v>11252</v>
      </c>
      <c r="C4542" s="2" t="s">
        <v>49</v>
      </c>
      <c r="D4542" s="2" t="s">
        <v>50</v>
      </c>
      <c r="E4542" s="5">
        <v>-31038</v>
      </c>
      <c r="F4542" s="3" t="s">
        <v>395</v>
      </c>
      <c r="G4542" s="3" t="s">
        <v>396</v>
      </c>
      <c r="H4542" s="2" t="s">
        <v>72</v>
      </c>
      <c r="I4542" s="2" t="s">
        <v>11253</v>
      </c>
      <c r="J4542" s="3" t="str">
        <f>HYPERLINK("https://www.boe.es/gazeta/dias/1815/01/07/pdfs/GMD-1815-3.pdf#page=5","Abrir facsímil")</f>
        <v>Abrir facsímil</v>
      </c>
      <c r="K4542" s="3" t="s">
        <v>74</v>
      </c>
    </row>
    <row r="4543" spans="1:11" ht="42" customHeight="1">
      <c r="A4543" s="2" t="s">
        <v>11254</v>
      </c>
      <c r="B4543" s="2" t="s">
        <v>11255</v>
      </c>
      <c r="C4543" s="2" t="s">
        <v>49</v>
      </c>
      <c r="D4543" s="2" t="s">
        <v>50</v>
      </c>
      <c r="E4543" s="5">
        <v>-30825</v>
      </c>
      <c r="F4543" s="3" t="s">
        <v>669</v>
      </c>
      <c r="G4543" s="3" t="s">
        <v>88</v>
      </c>
      <c r="H4543" s="2" t="s">
        <v>72</v>
      </c>
      <c r="I4543" s="2" t="s">
        <v>11256</v>
      </c>
      <c r="J4543" s="3" t="str">
        <f>HYPERLINK("https://www.boe.es/gazeta/dias/1815/08/08/pdfs/GMD-1815-97.pdf#page=10","Abrir facsímil")</f>
        <v>Abrir facsímil</v>
      </c>
      <c r="K4543" s="3" t="s">
        <v>74</v>
      </c>
    </row>
    <row r="4544" spans="1:11" ht="42" customHeight="1">
      <c r="A4544" s="2" t="s">
        <v>11257</v>
      </c>
      <c r="B4544" s="2" t="s">
        <v>11258</v>
      </c>
      <c r="C4544" s="2" t="s">
        <v>49</v>
      </c>
      <c r="D4544" s="2" t="s">
        <v>50</v>
      </c>
      <c r="E4544" s="5">
        <v>-30865</v>
      </c>
      <c r="F4544" s="3" t="s">
        <v>163</v>
      </c>
      <c r="G4544" s="3" t="s">
        <v>71</v>
      </c>
      <c r="H4544" s="2" t="s">
        <v>72</v>
      </c>
      <c r="I4544" s="2" t="s">
        <v>11259</v>
      </c>
      <c r="J4544" s="3" t="str">
        <f>HYPERLINK("https://www.boe.es/gazeta/dias/1815/06/29/pdfs/GMD-1815-78.pdf#page=7","Abrir facsímil")</f>
        <v>Abrir facsímil</v>
      </c>
      <c r="K4544" s="3" t="s">
        <v>74</v>
      </c>
    </row>
    <row r="4545" spans="1:11" ht="42" customHeight="1">
      <c r="A4545" s="2" t="s">
        <v>11260</v>
      </c>
      <c r="B4545" s="2" t="s">
        <v>11261</v>
      </c>
      <c r="C4545" s="2" t="s">
        <v>17</v>
      </c>
      <c r="D4545" s="2" t="s">
        <v>18</v>
      </c>
      <c r="E4545" s="5">
        <v>-30891</v>
      </c>
      <c r="F4545" s="3" t="s">
        <v>498</v>
      </c>
      <c r="G4545" s="3" t="s">
        <v>71</v>
      </c>
      <c r="H4545" s="2" t="s">
        <v>72</v>
      </c>
      <c r="I4545" s="2" t="s">
        <v>11262</v>
      </c>
      <c r="J4545" s="3" t="str">
        <f>HYPERLINK("https://www.boe.es/gazeta/dias/1815/06/03/pdfs/GMD-1815-67.pdf#page=7","Abrir facsímil")</f>
        <v>Abrir facsímil</v>
      </c>
      <c r="K4545" s="3" t="s">
        <v>74</v>
      </c>
    </row>
    <row r="4546" spans="1:11" ht="42" customHeight="1">
      <c r="A4546" s="2" t="s">
        <v>11260</v>
      </c>
      <c r="B4546" s="2" t="s">
        <v>11261</v>
      </c>
      <c r="C4546" s="2" t="s">
        <v>49</v>
      </c>
      <c r="D4546" s="2" t="s">
        <v>50</v>
      </c>
      <c r="E4546" s="5">
        <v>-30835</v>
      </c>
      <c r="F4546" s="3" t="s">
        <v>544</v>
      </c>
      <c r="G4546" s="3" t="s">
        <v>88</v>
      </c>
      <c r="H4546" s="2" t="s">
        <v>72</v>
      </c>
      <c r="I4546" s="2" t="s">
        <v>11263</v>
      </c>
      <c r="J4546" s="3" t="str">
        <f>HYPERLINK("https://www.boe.es/gazeta/dias/1815/07/29/pdfs/GMD-1815-93.pdf#page=10","Abrir facsímil")</f>
        <v>Abrir facsímil</v>
      </c>
      <c r="K4546" s="3" t="s">
        <v>74</v>
      </c>
    </row>
    <row r="4547" spans="1:11" ht="42" customHeight="1">
      <c r="A4547" s="2" t="s">
        <v>11260</v>
      </c>
      <c r="B4547" s="2" t="s">
        <v>11261</v>
      </c>
      <c r="C4547" s="2" t="s">
        <v>49</v>
      </c>
      <c r="D4547" s="2" t="s">
        <v>50</v>
      </c>
      <c r="E4547" s="5">
        <v>-30832</v>
      </c>
      <c r="F4547" s="3" t="s">
        <v>266</v>
      </c>
      <c r="G4547" s="3" t="s">
        <v>88</v>
      </c>
      <c r="H4547" s="2" t="s">
        <v>72</v>
      </c>
      <c r="I4547" s="2" t="s">
        <v>11264</v>
      </c>
      <c r="J4547" s="3" t="str">
        <f>HYPERLINK("https://www.boe.es/gazeta/dias/1815/08/01/pdfs/GMD-1815-94.pdf#page=10","Abrir facsímil")</f>
        <v>Abrir facsímil</v>
      </c>
      <c r="K4547" s="3" t="s">
        <v>74</v>
      </c>
    </row>
    <row r="4548" spans="1:11" ht="42" customHeight="1">
      <c r="A4548" s="2" t="s">
        <v>11265</v>
      </c>
      <c r="B4548" s="2" t="s">
        <v>11266</v>
      </c>
      <c r="C4548" s="2" t="s">
        <v>195</v>
      </c>
      <c r="D4548" s="2" t="s">
        <v>50</v>
      </c>
      <c r="E4548" s="5">
        <v>-30888</v>
      </c>
      <c r="F4548" s="3" t="s">
        <v>368</v>
      </c>
      <c r="G4548" s="3" t="s">
        <v>224</v>
      </c>
      <c r="H4548" s="2" t="s">
        <v>72</v>
      </c>
      <c r="I4548" s="2" t="s">
        <v>11267</v>
      </c>
      <c r="J4548" s="3" t="str">
        <f>HYPERLINK("https://www.boe.es/gazeta/dias/1815/06/06/pdfs/GMD-1815-68.pdf#page=9","Abrir facsímil")</f>
        <v>Abrir facsímil</v>
      </c>
      <c r="K4548" s="3" t="s">
        <v>74</v>
      </c>
    </row>
    <row r="4549" spans="1:11" ht="42" customHeight="1">
      <c r="A4549" s="2" t="s">
        <v>11268</v>
      </c>
      <c r="B4549" s="2" t="s">
        <v>11269</v>
      </c>
      <c r="C4549" s="2" t="s">
        <v>17</v>
      </c>
      <c r="D4549" s="2" t="s">
        <v>18</v>
      </c>
      <c r="E4549" s="5">
        <v>-30984</v>
      </c>
      <c r="F4549" s="3" t="s">
        <v>748</v>
      </c>
      <c r="G4549" s="3" t="s">
        <v>4039</v>
      </c>
      <c r="H4549" s="2" t="s">
        <v>72</v>
      </c>
      <c r="I4549" s="2" t="s">
        <v>11270</v>
      </c>
      <c r="J4549" s="3" t="str">
        <f>HYPERLINK("https://www.boe.es/gazeta/dias/1815/03/02/pdfs/GMD-1815-26.pdf#page=7","Abrir facsímil")</f>
        <v>Abrir facsímil</v>
      </c>
      <c r="K4549" s="3" t="s">
        <v>74</v>
      </c>
    </row>
    <row r="4550" spans="1:11" ht="42" customHeight="1">
      <c r="A4550" s="2" t="s">
        <v>11271</v>
      </c>
      <c r="B4550" s="2" t="s">
        <v>11272</v>
      </c>
      <c r="C4550" s="2" t="s">
        <v>31</v>
      </c>
      <c r="D4550" s="2" t="s">
        <v>32</v>
      </c>
      <c r="E4550" s="5">
        <v>-30977</v>
      </c>
      <c r="F4550" s="3" t="s">
        <v>37</v>
      </c>
      <c r="G4550" s="3" t="s">
        <v>71</v>
      </c>
      <c r="H4550" s="2" t="s">
        <v>72</v>
      </c>
      <c r="I4550" s="2" t="s">
        <v>11273</v>
      </c>
      <c r="J4550" s="3" t="str">
        <f>HYPERLINK("https://www.boe.es/gazeta/dias/1815/03/09/pdfs/GMD-1815-29.pdf#page=7","Abrir facsímil")</f>
        <v>Abrir facsímil</v>
      </c>
      <c r="K4550" s="3" t="s">
        <v>74</v>
      </c>
    </row>
    <row r="4551" spans="1:11" ht="42" customHeight="1">
      <c r="A4551" s="2" t="s">
        <v>11274</v>
      </c>
      <c r="B4551" s="2" t="s">
        <v>11275</v>
      </c>
      <c r="C4551" s="2" t="s">
        <v>31</v>
      </c>
      <c r="D4551" s="2" t="s">
        <v>32</v>
      </c>
      <c r="E4551" s="5">
        <v>-30695</v>
      </c>
      <c r="F4551" s="3" t="s">
        <v>824</v>
      </c>
      <c r="G4551" s="3" t="s">
        <v>3758</v>
      </c>
      <c r="H4551" s="2" t="s">
        <v>72</v>
      </c>
      <c r="I4551" s="2" t="s">
        <v>11276</v>
      </c>
      <c r="J4551" s="3" t="str">
        <f>HYPERLINK("https://www.boe.es/gazeta/dias/1815/12/16/pdfs/GMD-1815-156.pdf#page=6","Abrir facsímil")</f>
        <v>Abrir facsímil</v>
      </c>
      <c r="K4551" s="3" t="s">
        <v>74</v>
      </c>
    </row>
    <row r="4552" spans="1:11" ht="42" customHeight="1">
      <c r="A4552" s="2" t="s">
        <v>11277</v>
      </c>
      <c r="B4552" s="2" t="s">
        <v>11278</v>
      </c>
      <c r="C4552" s="2" t="s">
        <v>31</v>
      </c>
      <c r="D4552" s="2" t="s">
        <v>32</v>
      </c>
      <c r="E4552" s="5">
        <v>-31038</v>
      </c>
      <c r="F4552" s="3" t="s">
        <v>395</v>
      </c>
      <c r="G4552" s="3" t="s">
        <v>396</v>
      </c>
      <c r="H4552" s="2" t="s">
        <v>72</v>
      </c>
      <c r="I4552" s="2" t="s">
        <v>11279</v>
      </c>
      <c r="J4552" s="3" t="str">
        <f>HYPERLINK("https://www.boe.es/gazeta/dias/1815/01/07/pdfs/GMD-1815-3.pdf#page=5","Abrir facsímil")</f>
        <v>Abrir facsímil</v>
      </c>
      <c r="K4552" s="3" t="s">
        <v>74</v>
      </c>
    </row>
    <row r="4553" spans="1:11" ht="42" customHeight="1">
      <c r="A4553" s="2" t="s">
        <v>11280</v>
      </c>
      <c r="B4553" s="2" t="s">
        <v>11281</v>
      </c>
      <c r="C4553" s="2" t="s">
        <v>49</v>
      </c>
      <c r="D4553" s="2" t="s">
        <v>50</v>
      </c>
      <c r="E4553" s="5">
        <v>-30893</v>
      </c>
      <c r="F4553" s="3" t="s">
        <v>132</v>
      </c>
      <c r="G4553" s="3" t="s">
        <v>71</v>
      </c>
      <c r="H4553" s="2" t="s">
        <v>72</v>
      </c>
      <c r="I4553" s="2" t="s">
        <v>11282</v>
      </c>
      <c r="J4553" s="3" t="str">
        <f>HYPERLINK("https://www.boe.es/gazeta/dias/1815/06/01/pdfs/GMD-1815-66.pdf#page=7","Abrir facsímil")</f>
        <v>Abrir facsímil</v>
      </c>
      <c r="K4553" s="3" t="s">
        <v>74</v>
      </c>
    </row>
    <row r="4554" spans="1:11" ht="42" customHeight="1">
      <c r="A4554" s="2" t="s">
        <v>11283</v>
      </c>
      <c r="B4554" s="2" t="s">
        <v>11284</v>
      </c>
      <c r="C4554" s="2" t="s">
        <v>17</v>
      </c>
      <c r="D4554" s="2" t="s">
        <v>18</v>
      </c>
      <c r="E4554" s="5">
        <v>-30846</v>
      </c>
      <c r="F4554" s="3" t="s">
        <v>858</v>
      </c>
      <c r="G4554" s="3" t="s">
        <v>38</v>
      </c>
      <c r="H4554" s="2" t="s">
        <v>72</v>
      </c>
      <c r="I4554" s="2" t="s">
        <v>11285</v>
      </c>
      <c r="J4554" s="3" t="str">
        <f>HYPERLINK("https://www.boe.es/gazeta/dias/1815/07/18/pdfs/GMD-1815-88.pdf#page=8","Abrir facsímil")</f>
        <v>Abrir facsímil</v>
      </c>
      <c r="K4554" s="3" t="s">
        <v>74</v>
      </c>
    </row>
    <row r="4555" spans="1:11" ht="42" customHeight="1">
      <c r="A4555" s="2" t="s">
        <v>11283</v>
      </c>
      <c r="B4555" s="2" t="s">
        <v>11284</v>
      </c>
      <c r="C4555" s="2" t="s">
        <v>17</v>
      </c>
      <c r="D4555" s="2" t="s">
        <v>18</v>
      </c>
      <c r="E4555" s="5">
        <v>-30779</v>
      </c>
      <c r="F4555" s="3" t="s">
        <v>1426</v>
      </c>
      <c r="G4555" s="3" t="s">
        <v>38</v>
      </c>
      <c r="H4555" s="2" t="s">
        <v>72</v>
      </c>
      <c r="I4555" s="2" t="s">
        <v>11286</v>
      </c>
      <c r="J4555" s="3" t="str">
        <f>HYPERLINK("https://www.boe.es/gazeta/dias/1815/09/23/pdfs/GMD-1815-118.pdf#page=8","Abrir facsímil")</f>
        <v>Abrir facsímil</v>
      </c>
      <c r="K4555" s="3" t="s">
        <v>74</v>
      </c>
    </row>
    <row r="4556" spans="1:11" ht="42" customHeight="1">
      <c r="A4556" s="2" t="s">
        <v>11287</v>
      </c>
      <c r="B4556" s="2" t="s">
        <v>11288</v>
      </c>
      <c r="C4556" s="2" t="s">
        <v>31</v>
      </c>
      <c r="D4556" s="2" t="s">
        <v>32</v>
      </c>
      <c r="E4556" s="5">
        <v>-30921</v>
      </c>
      <c r="F4556" s="3" t="s">
        <v>191</v>
      </c>
      <c r="G4556" s="3" t="s">
        <v>71</v>
      </c>
      <c r="H4556" s="2" t="s">
        <v>72</v>
      </c>
      <c r="I4556" s="2" t="s">
        <v>11289</v>
      </c>
      <c r="J4556" s="3" t="str">
        <f>HYPERLINK("https://www.boe.es/gazeta/dias/1815/05/04/pdfs/GMD-1815-54.pdf#page=7","Abrir facsímil")</f>
        <v>Abrir facsímil</v>
      </c>
      <c r="K4556" s="3" t="s">
        <v>74</v>
      </c>
    </row>
    <row r="4557" spans="1:11" ht="42" customHeight="1">
      <c r="A4557" s="2" t="s">
        <v>11290</v>
      </c>
      <c r="B4557" s="2" t="s">
        <v>11291</v>
      </c>
      <c r="C4557" s="2" t="s">
        <v>49</v>
      </c>
      <c r="D4557" s="2" t="s">
        <v>50</v>
      </c>
      <c r="E4557" s="5">
        <v>-30767</v>
      </c>
      <c r="F4557" s="3" t="s">
        <v>228</v>
      </c>
      <c r="G4557" s="3" t="s">
        <v>88</v>
      </c>
      <c r="H4557" s="2" t="s">
        <v>72</v>
      </c>
      <c r="I4557" s="2" t="s">
        <v>11292</v>
      </c>
      <c r="J4557" s="3" t="str">
        <f>HYPERLINK("https://www.boe.es/gazeta/dias/1815/10/05/pdfs/GMD-1815-125.pdf#page=10","Abrir facsímil")</f>
        <v>Abrir facsímil</v>
      </c>
      <c r="K4557" s="3" t="s">
        <v>74</v>
      </c>
    </row>
    <row r="4558" spans="1:11" ht="42" customHeight="1">
      <c r="A4558" s="2" t="s">
        <v>11293</v>
      </c>
      <c r="B4558" s="2" t="s">
        <v>11294</v>
      </c>
      <c r="C4558" s="2" t="s">
        <v>49</v>
      </c>
      <c r="D4558" s="2" t="s">
        <v>50</v>
      </c>
      <c r="E4558" s="5">
        <v>-30863</v>
      </c>
      <c r="F4558" s="3" t="s">
        <v>110</v>
      </c>
      <c r="G4558" s="3" t="s">
        <v>224</v>
      </c>
      <c r="H4558" s="2" t="s">
        <v>72</v>
      </c>
      <c r="I4558" s="2" t="s">
        <v>11295</v>
      </c>
      <c r="J4558" s="3" t="str">
        <f>HYPERLINK("https://www.boe.es/gazeta/dias/1815/07/01/pdfs/GMD-1815-79.pdf#page=9","Abrir facsímil")</f>
        <v>Abrir facsímil</v>
      </c>
      <c r="K4558" s="3" t="s">
        <v>74</v>
      </c>
    </row>
    <row r="4559" spans="1:11" ht="42" customHeight="1">
      <c r="A4559" s="2" t="s">
        <v>11296</v>
      </c>
      <c r="B4559" s="2" t="s">
        <v>11297</v>
      </c>
      <c r="C4559" s="2" t="s">
        <v>17</v>
      </c>
      <c r="D4559" s="2" t="s">
        <v>18</v>
      </c>
      <c r="E4559" s="5">
        <v>-31031</v>
      </c>
      <c r="F4559" s="3" t="s">
        <v>105</v>
      </c>
      <c r="G4559" s="3" t="s">
        <v>57</v>
      </c>
      <c r="H4559" s="2" t="s">
        <v>72</v>
      </c>
      <c r="I4559" s="2" t="s">
        <v>11298</v>
      </c>
      <c r="J4559" s="3" t="str">
        <f>HYPERLINK("https://www.boe.es/gazeta/dias/1815/01/14/pdfs/GMD-1815-6.pdf#page=5","Abrir facsímil")</f>
        <v>Abrir facsímil</v>
      </c>
      <c r="K4559" s="3" t="s">
        <v>74</v>
      </c>
    </row>
    <row r="4560" spans="1:11" ht="42" customHeight="1">
      <c r="A4560" s="2" t="s">
        <v>11299</v>
      </c>
      <c r="B4560" s="2" t="s">
        <v>11300</v>
      </c>
      <c r="C4560" s="2" t="s">
        <v>17</v>
      </c>
      <c r="D4560" s="2" t="s">
        <v>18</v>
      </c>
      <c r="E4560" s="5">
        <v>-30839</v>
      </c>
      <c r="F4560" s="3" t="s">
        <v>616</v>
      </c>
      <c r="G4560" s="3" t="s">
        <v>27</v>
      </c>
      <c r="H4560" s="2" t="s">
        <v>72</v>
      </c>
      <c r="I4560" s="2" t="s">
        <v>11301</v>
      </c>
      <c r="J4560" s="3" t="str">
        <f>HYPERLINK("https://www.boe.es/gazeta/dias/1815/07/25/pdfs/GMD-1815-91.pdf#page=6","Abrir facsímil")</f>
        <v>Abrir facsímil</v>
      </c>
      <c r="K4560" s="3" t="s">
        <v>74</v>
      </c>
    </row>
    <row r="4561" spans="1:11" ht="42" customHeight="1">
      <c r="A4561" s="2" t="s">
        <v>11302</v>
      </c>
      <c r="B4561" s="2" t="s">
        <v>11303</v>
      </c>
      <c r="C4561" s="2" t="s">
        <v>31</v>
      </c>
      <c r="D4561" s="2" t="s">
        <v>32</v>
      </c>
      <c r="E4561" s="5">
        <v>-30900</v>
      </c>
      <c r="F4561" s="3" t="s">
        <v>921</v>
      </c>
      <c r="G4561" s="3" t="s">
        <v>38</v>
      </c>
      <c r="H4561" s="2" t="s">
        <v>72</v>
      </c>
      <c r="I4561" s="2" t="s">
        <v>11304</v>
      </c>
      <c r="J4561" s="3" t="str">
        <f>HYPERLINK("https://www.boe.es/gazeta/dias/1815/05/25/pdfs/GMD-1815-63.pdf#page=8","Abrir facsímil")</f>
        <v>Abrir facsímil</v>
      </c>
      <c r="K4561" s="3" t="s">
        <v>74</v>
      </c>
    </row>
    <row r="4562" spans="1:11" ht="42" customHeight="1">
      <c r="A4562" s="2" t="s">
        <v>11305</v>
      </c>
      <c r="B4562" s="2" t="s">
        <v>11306</v>
      </c>
      <c r="C4562" s="2" t="s">
        <v>31</v>
      </c>
      <c r="D4562" s="2" t="s">
        <v>32</v>
      </c>
      <c r="E4562" s="5">
        <v>-30842</v>
      </c>
      <c r="F4562" s="3" t="s">
        <v>126</v>
      </c>
      <c r="G4562" s="3" t="s">
        <v>38</v>
      </c>
      <c r="H4562" s="2" t="s">
        <v>72</v>
      </c>
      <c r="I4562" s="2" t="s">
        <v>11307</v>
      </c>
      <c r="J4562" s="3" t="str">
        <f>HYPERLINK("https://www.boe.es/gazeta/dias/1815/07/22/pdfs/GMD-1815-90.pdf#page=8","Abrir facsímil")</f>
        <v>Abrir facsímil</v>
      </c>
      <c r="K4562" s="3" t="s">
        <v>74</v>
      </c>
    </row>
    <row r="4563" spans="1:11" ht="42" customHeight="1">
      <c r="A4563" s="2" t="s">
        <v>11308</v>
      </c>
      <c r="B4563" s="2" t="s">
        <v>11308</v>
      </c>
      <c r="C4563" s="2" t="s">
        <v>31</v>
      </c>
      <c r="D4563" s="2" t="s">
        <v>32</v>
      </c>
      <c r="E4563" s="5">
        <v>-31007</v>
      </c>
      <c r="F4563" s="3" t="s">
        <v>200</v>
      </c>
      <c r="G4563" s="3" t="s">
        <v>57</v>
      </c>
      <c r="H4563" s="2" t="s">
        <v>72</v>
      </c>
      <c r="I4563" s="2" t="s">
        <v>11309</v>
      </c>
      <c r="J4563" s="3" t="str">
        <f>HYPERLINK("https://www.boe.es/gazeta/dias/1815/02/07/pdfs/GMD-1815-16.pdf#page=5","Abrir facsímil")</f>
        <v>Abrir facsímil</v>
      </c>
      <c r="K4563" s="3" t="s">
        <v>74</v>
      </c>
    </row>
    <row r="4564" spans="1:11" ht="42" customHeight="1">
      <c r="A4564" s="2" t="s">
        <v>11310</v>
      </c>
      <c r="B4564" s="2" t="s">
        <v>11311</v>
      </c>
      <c r="C4564" s="2" t="s">
        <v>49</v>
      </c>
      <c r="D4564" s="2" t="s">
        <v>50</v>
      </c>
      <c r="E4564" s="5">
        <v>-30865</v>
      </c>
      <c r="F4564" s="3" t="s">
        <v>163</v>
      </c>
      <c r="G4564" s="3" t="s">
        <v>27</v>
      </c>
      <c r="H4564" s="2" t="s">
        <v>72</v>
      </c>
      <c r="I4564" s="2" t="s">
        <v>11312</v>
      </c>
      <c r="J4564" s="3" t="str">
        <f>HYPERLINK("https://www.boe.es/gazeta/dias/1815/06/29/pdfs/GMD-1815-78.pdf#page=6","Abrir facsímil")</f>
        <v>Abrir facsímil</v>
      </c>
      <c r="K4564" s="3" t="s">
        <v>74</v>
      </c>
    </row>
    <row r="4565" spans="1:11" ht="42" customHeight="1">
      <c r="A4565" s="2" t="s">
        <v>11313</v>
      </c>
      <c r="B4565" s="2" t="s">
        <v>11314</v>
      </c>
      <c r="C4565" s="2" t="s">
        <v>49</v>
      </c>
      <c r="D4565" s="2" t="s">
        <v>50</v>
      </c>
      <c r="E4565" s="5">
        <v>-30839</v>
      </c>
      <c r="F4565" s="3" t="s">
        <v>616</v>
      </c>
      <c r="G4565" s="3" t="s">
        <v>71</v>
      </c>
      <c r="H4565" s="2" t="s">
        <v>72</v>
      </c>
      <c r="I4565" s="2" t="s">
        <v>11315</v>
      </c>
      <c r="J4565" s="3" t="str">
        <f>HYPERLINK("https://www.boe.es/gazeta/dias/1815/07/25/pdfs/GMD-1815-91.pdf#page=7","Abrir facsímil")</f>
        <v>Abrir facsímil</v>
      </c>
      <c r="K4565" s="3" t="s">
        <v>74</v>
      </c>
    </row>
    <row r="4566" spans="1:11" ht="42" customHeight="1">
      <c r="A4566" s="2" t="s">
        <v>11316</v>
      </c>
      <c r="B4566" s="2" t="s">
        <v>11317</v>
      </c>
      <c r="C4566" s="2" t="s">
        <v>31</v>
      </c>
      <c r="D4566" s="2" t="s">
        <v>32</v>
      </c>
      <c r="E4566" s="5">
        <v>-30783</v>
      </c>
      <c r="F4566" s="3" t="s">
        <v>423</v>
      </c>
      <c r="G4566" s="3" t="s">
        <v>71</v>
      </c>
      <c r="H4566" s="2" t="s">
        <v>72</v>
      </c>
      <c r="I4566" s="2" t="s">
        <v>11318</v>
      </c>
      <c r="J4566" s="3" t="str">
        <f>HYPERLINK("https://www.boe.es/gazeta/dias/1815/09/19/pdfs/GMD-1815-116.pdf#page=7","Abrir facsímil")</f>
        <v>Abrir facsímil</v>
      </c>
      <c r="K4566" s="3" t="s">
        <v>74</v>
      </c>
    </row>
    <row r="4567" spans="1:11" ht="42" customHeight="1">
      <c r="A4567" s="2" t="s">
        <v>11319</v>
      </c>
      <c r="B4567" s="2" t="s">
        <v>11320</v>
      </c>
      <c r="C4567" s="2" t="s">
        <v>31</v>
      </c>
      <c r="D4567" s="2" t="s">
        <v>32</v>
      </c>
      <c r="E4567" s="5">
        <v>-31028</v>
      </c>
      <c r="F4567" s="3" t="s">
        <v>517</v>
      </c>
      <c r="G4567" s="3" t="s">
        <v>88</v>
      </c>
      <c r="H4567" s="2" t="s">
        <v>72</v>
      </c>
      <c r="I4567" s="2" t="s">
        <v>11321</v>
      </c>
      <c r="J4567" s="3" t="str">
        <f>HYPERLINK("https://www.boe.es/gazeta/dias/1815/01/17/pdfs/GMD-1815-7.pdf#page=10","Abrir facsímil")</f>
        <v>Abrir facsímil</v>
      </c>
      <c r="K4567" s="3" t="s">
        <v>74</v>
      </c>
    </row>
    <row r="4568" spans="1:11" ht="42" customHeight="1">
      <c r="A4568" s="2" t="s">
        <v>11322</v>
      </c>
      <c r="B4568" s="2" t="s">
        <v>11323</v>
      </c>
      <c r="C4568" s="2" t="s">
        <v>31</v>
      </c>
      <c r="D4568" s="2" t="s">
        <v>32</v>
      </c>
      <c r="E4568" s="5">
        <v>-30949</v>
      </c>
      <c r="F4568" s="3" t="s">
        <v>420</v>
      </c>
      <c r="G4568" s="3" t="s">
        <v>27</v>
      </c>
      <c r="H4568" s="2" t="s">
        <v>72</v>
      </c>
      <c r="I4568" s="2" t="s">
        <v>11324</v>
      </c>
      <c r="J4568" s="3" t="str">
        <f>HYPERLINK("https://www.boe.es/gazeta/dias/1815/04/06/pdfs/GMD-1815-42.pdf#page=6","Abrir facsímil")</f>
        <v>Abrir facsímil</v>
      </c>
      <c r="K4568" s="3" t="s">
        <v>74</v>
      </c>
    </row>
    <row r="4569" spans="1:11" ht="42" customHeight="1">
      <c r="A4569" s="2" t="s">
        <v>11322</v>
      </c>
      <c r="B4569" s="2" t="s">
        <v>11323</v>
      </c>
      <c r="C4569" s="2" t="s">
        <v>31</v>
      </c>
      <c r="D4569" s="2" t="s">
        <v>32</v>
      </c>
      <c r="E4569" s="5">
        <v>-30928</v>
      </c>
      <c r="F4569" s="3" t="s">
        <v>330</v>
      </c>
      <c r="G4569" s="3" t="s">
        <v>20</v>
      </c>
      <c r="H4569" s="2" t="s">
        <v>72</v>
      </c>
      <c r="I4569" s="2" t="s">
        <v>11325</v>
      </c>
      <c r="J4569" s="3" t="str">
        <f>HYPERLINK("https://www.boe.es/gazeta/dias/1815/04/27/pdfs/GMD-1815-51.pdf#page=4","Abrir facsímil")</f>
        <v>Abrir facsímil</v>
      </c>
      <c r="K4569" s="3" t="s">
        <v>74</v>
      </c>
    </row>
    <row r="4570" spans="1:11" ht="42" customHeight="1">
      <c r="A4570" s="2" t="s">
        <v>11322</v>
      </c>
      <c r="B4570" s="2" t="s">
        <v>11323</v>
      </c>
      <c r="C4570" s="2" t="s">
        <v>31</v>
      </c>
      <c r="D4570" s="2" t="s">
        <v>32</v>
      </c>
      <c r="E4570" s="5">
        <v>-30814</v>
      </c>
      <c r="F4570" s="3" t="s">
        <v>644</v>
      </c>
      <c r="G4570" s="3" t="s">
        <v>57</v>
      </c>
      <c r="H4570" s="2" t="s">
        <v>72</v>
      </c>
      <c r="I4570" s="2" t="s">
        <v>11326</v>
      </c>
      <c r="J4570" s="3" t="str">
        <f>HYPERLINK("https://www.boe.es/gazeta/dias/1815/08/19/pdfs/GMD-1815-102.pdf#page=5","Abrir facsímil")</f>
        <v>Abrir facsímil</v>
      </c>
      <c r="K4570" s="3" t="s">
        <v>74</v>
      </c>
    </row>
    <row r="4571" spans="1:11" ht="42" customHeight="1">
      <c r="A4571" s="2" t="s">
        <v>11327</v>
      </c>
      <c r="B4571" s="2" t="s">
        <v>11327</v>
      </c>
      <c r="C4571" s="2" t="s">
        <v>31</v>
      </c>
      <c r="D4571" s="2" t="s">
        <v>32</v>
      </c>
      <c r="E4571" s="5">
        <v>-30823</v>
      </c>
      <c r="F4571" s="3" t="s">
        <v>305</v>
      </c>
      <c r="G4571" s="3" t="s">
        <v>20</v>
      </c>
      <c r="H4571" s="2" t="s">
        <v>72</v>
      </c>
      <c r="I4571" s="2" t="s">
        <v>11328</v>
      </c>
      <c r="J4571" s="3" t="str">
        <f>HYPERLINK("https://www.boe.es/gazeta/dias/1815/08/10/pdfs/GMD-1815-98.pdf#page=4","Abrir facsímil")</f>
        <v>Abrir facsímil</v>
      </c>
      <c r="K4571" s="3" t="s">
        <v>74</v>
      </c>
    </row>
    <row r="4572" spans="1:11" ht="42" customHeight="1">
      <c r="A4572" s="2" t="s">
        <v>11329</v>
      </c>
      <c r="B4572" s="2" t="s">
        <v>11330</v>
      </c>
      <c r="C4572" s="2" t="s">
        <v>49</v>
      </c>
      <c r="D4572" s="2" t="s">
        <v>50</v>
      </c>
      <c r="E4572" s="5">
        <v>-30853</v>
      </c>
      <c r="F4572" s="3" t="s">
        <v>1473</v>
      </c>
      <c r="G4572" s="3" t="s">
        <v>38</v>
      </c>
      <c r="H4572" s="2" t="s">
        <v>72</v>
      </c>
      <c r="I4572" s="2" t="s">
        <v>11331</v>
      </c>
      <c r="J4572" s="3" t="str">
        <f>HYPERLINK("https://www.boe.es/gazeta/dias/1815/07/11/pdfs/GMD-1815-85.pdf#page=8","Abrir facsímil")</f>
        <v>Abrir facsímil</v>
      </c>
      <c r="K4572" s="3" t="s">
        <v>74</v>
      </c>
    </row>
    <row r="4573" spans="1:11" ht="42" customHeight="1">
      <c r="A4573" s="2" t="s">
        <v>11332</v>
      </c>
      <c r="B4573" s="2" t="s">
        <v>11333</v>
      </c>
      <c r="C4573" s="2" t="s">
        <v>49</v>
      </c>
      <c r="D4573" s="2" t="s">
        <v>50</v>
      </c>
      <c r="E4573" s="5">
        <v>-30949</v>
      </c>
      <c r="F4573" s="3" t="s">
        <v>420</v>
      </c>
      <c r="G4573" s="3" t="s">
        <v>20</v>
      </c>
      <c r="H4573" s="2" t="s">
        <v>72</v>
      </c>
      <c r="I4573" s="2" t="s">
        <v>11334</v>
      </c>
      <c r="J4573" s="3" t="str">
        <f>HYPERLINK("https://www.boe.es/gazeta/dias/1815/04/06/pdfs/GMD-1815-42.pdf#page=4","Abrir facsímil")</f>
        <v>Abrir facsímil</v>
      </c>
      <c r="K4573" s="3" t="s">
        <v>74</v>
      </c>
    </row>
    <row r="4574" spans="1:11" ht="42" customHeight="1">
      <c r="A4574" s="2" t="s">
        <v>11335</v>
      </c>
      <c r="B4574" s="2" t="s">
        <v>11336</v>
      </c>
      <c r="C4574" s="2" t="s">
        <v>49</v>
      </c>
      <c r="D4574" s="2" t="s">
        <v>50</v>
      </c>
      <c r="E4574" s="5">
        <v>-30916</v>
      </c>
      <c r="F4574" s="3" t="s">
        <v>147</v>
      </c>
      <c r="G4574" s="3" t="s">
        <v>148</v>
      </c>
      <c r="H4574" s="2" t="s">
        <v>72</v>
      </c>
      <c r="I4574" s="2" t="s">
        <v>11337</v>
      </c>
      <c r="J4574" s="3" t="str">
        <f>HYPERLINK("https://www.boe.es/gazeta/dias/1815/05/09/pdfs/GMD-1815-56.pdf#page=7","Abrir facsímil")</f>
        <v>Abrir facsímil</v>
      </c>
      <c r="K4574" s="3" t="s">
        <v>74</v>
      </c>
    </row>
    <row r="4575" spans="1:11" ht="42" customHeight="1">
      <c r="A4575" s="2" t="s">
        <v>11338</v>
      </c>
      <c r="B4575" s="2" t="s">
        <v>11339</v>
      </c>
      <c r="C4575" s="2" t="s">
        <v>49</v>
      </c>
      <c r="D4575" s="2" t="s">
        <v>50</v>
      </c>
      <c r="E4575" s="5">
        <v>-30886</v>
      </c>
      <c r="F4575" s="3" t="s">
        <v>140</v>
      </c>
      <c r="G4575" s="3" t="s">
        <v>224</v>
      </c>
      <c r="H4575" s="2" t="s">
        <v>72</v>
      </c>
      <c r="I4575" s="2" t="s">
        <v>11340</v>
      </c>
      <c r="J4575" s="3" t="str">
        <f>HYPERLINK("https://www.boe.es/gazeta/dias/1815/06/08/pdfs/GMD-1815-69.pdf#page=9","Abrir facsímil")</f>
        <v>Abrir facsímil</v>
      </c>
      <c r="K4575" s="3" t="s">
        <v>74</v>
      </c>
    </row>
    <row r="4576" spans="1:11" ht="42" customHeight="1">
      <c r="A4576" s="2" t="s">
        <v>11341</v>
      </c>
      <c r="B4576" s="2" t="s">
        <v>11342</v>
      </c>
      <c r="C4576" s="2" t="s">
        <v>49</v>
      </c>
      <c r="D4576" s="2" t="s">
        <v>50</v>
      </c>
      <c r="E4576" s="5">
        <v>-31026</v>
      </c>
      <c r="F4576" s="3" t="s">
        <v>874</v>
      </c>
      <c r="G4576" s="3" t="s">
        <v>38</v>
      </c>
      <c r="H4576" s="2" t="s">
        <v>72</v>
      </c>
      <c r="I4576" s="2" t="s">
        <v>11343</v>
      </c>
      <c r="J4576" s="3" t="str">
        <f>HYPERLINK("https://www.boe.es/gazeta/dias/1815/01/19/pdfs/GMD-1815-8.pdf#page=8","Abrir facsímil")</f>
        <v>Abrir facsímil</v>
      </c>
      <c r="K4576" s="3" t="s">
        <v>74</v>
      </c>
    </row>
    <row r="4577" spans="1:11" ht="42" customHeight="1">
      <c r="A4577" s="2" t="s">
        <v>11344</v>
      </c>
      <c r="B4577" s="2" t="s">
        <v>11345</v>
      </c>
      <c r="C4577" s="2" t="s">
        <v>31</v>
      </c>
      <c r="D4577" s="2" t="s">
        <v>32</v>
      </c>
      <c r="E4577" s="5">
        <v>-30725</v>
      </c>
      <c r="F4577" s="3" t="s">
        <v>1535</v>
      </c>
      <c r="G4577" s="3" t="s">
        <v>5348</v>
      </c>
      <c r="H4577" s="2" t="s">
        <v>72</v>
      </c>
      <c r="I4577" s="2" t="s">
        <v>11346</v>
      </c>
      <c r="J4577" s="3" t="str">
        <f>HYPERLINK("https://www.boe.es/gazeta/dias/1815/11/16/pdfs/GMD-1815-143.pdf#page=7","Abrir facsímil")</f>
        <v>Abrir facsímil</v>
      </c>
      <c r="K4577" s="3" t="s">
        <v>74</v>
      </c>
    </row>
    <row r="4578" spans="1:11" ht="42" customHeight="1">
      <c r="A4578" s="2" t="s">
        <v>11347</v>
      </c>
      <c r="B4578" s="2" t="s">
        <v>11348</v>
      </c>
      <c r="C4578" s="2" t="s">
        <v>31</v>
      </c>
      <c r="D4578" s="2" t="s">
        <v>32</v>
      </c>
      <c r="E4578" s="5">
        <v>-30739</v>
      </c>
      <c r="F4578" s="3" t="s">
        <v>254</v>
      </c>
      <c r="G4578" s="3" t="s">
        <v>52</v>
      </c>
      <c r="H4578" s="2" t="s">
        <v>72</v>
      </c>
      <c r="I4578" s="2" t="s">
        <v>11349</v>
      </c>
      <c r="J4578" s="3" t="str">
        <f>HYPERLINK("https://www.boe.es/gazeta/dias/1815/11/02/pdfs/GMD-1815-137.pdf#page=11","Abrir facsímil")</f>
        <v>Abrir facsímil</v>
      </c>
      <c r="K4578" s="3" t="s">
        <v>74</v>
      </c>
    </row>
    <row r="4579" spans="1:11" ht="42" customHeight="1">
      <c r="A4579" s="2" t="s">
        <v>11350</v>
      </c>
      <c r="B4579" s="2" t="s">
        <v>11351</v>
      </c>
      <c r="C4579" s="2" t="s">
        <v>61</v>
      </c>
      <c r="D4579" s="2" t="s">
        <v>50</v>
      </c>
      <c r="E4579" s="5">
        <v>-31028</v>
      </c>
      <c r="F4579" s="3" t="s">
        <v>517</v>
      </c>
      <c r="G4579" s="3" t="s">
        <v>276</v>
      </c>
      <c r="H4579" s="2" t="s">
        <v>72</v>
      </c>
      <c r="I4579" s="2" t="s">
        <v>11352</v>
      </c>
      <c r="J4579" s="3" t="str">
        <f>HYPERLINK("https://www.boe.es/gazeta/dias/1815/01/17/pdfs/GMD-1815-7.pdf#page=12","Abrir facsímil")</f>
        <v>Abrir facsímil</v>
      </c>
      <c r="K4579" s="3" t="s">
        <v>74</v>
      </c>
    </row>
    <row r="4580" spans="1:11" ht="42" customHeight="1">
      <c r="A4580" s="2" t="s">
        <v>11353</v>
      </c>
      <c r="B4580" s="2" t="s">
        <v>11354</v>
      </c>
      <c r="C4580" s="2" t="s">
        <v>49</v>
      </c>
      <c r="D4580" s="2" t="s">
        <v>50</v>
      </c>
      <c r="E4580" s="5">
        <v>-30720</v>
      </c>
      <c r="F4580" s="3" t="s">
        <v>373</v>
      </c>
      <c r="G4580" s="3" t="s">
        <v>52</v>
      </c>
      <c r="H4580" s="2" t="s">
        <v>72</v>
      </c>
      <c r="I4580" s="2" t="s">
        <v>11355</v>
      </c>
      <c r="J4580" s="3" t="str">
        <f>HYPERLINK("https://www.boe.es/gazeta/dias/1815/11/21/pdfs/GMD-1815-145.pdf#page=11","Abrir facsímil")</f>
        <v>Abrir facsímil</v>
      </c>
      <c r="K4580" s="3" t="s">
        <v>74</v>
      </c>
    </row>
    <row r="4581" spans="1:11" ht="42" customHeight="1">
      <c r="A4581" s="2" t="s">
        <v>11356</v>
      </c>
      <c r="B4581" s="2" t="s">
        <v>11357</v>
      </c>
      <c r="C4581" s="2" t="s">
        <v>49</v>
      </c>
      <c r="D4581" s="2" t="s">
        <v>50</v>
      </c>
      <c r="E4581" s="5">
        <v>-30870</v>
      </c>
      <c r="F4581" s="3" t="s">
        <v>122</v>
      </c>
      <c r="G4581" s="3" t="s">
        <v>88</v>
      </c>
      <c r="H4581" s="2" t="s">
        <v>72</v>
      </c>
      <c r="I4581" s="2" t="s">
        <v>11358</v>
      </c>
      <c r="J4581" s="3" t="str">
        <f>HYPERLINK("https://www.boe.es/gazeta/dias/1815/06/24/pdfs/GMD-1815-76.pdf#page=10","Abrir facsímil")</f>
        <v>Abrir facsímil</v>
      </c>
      <c r="K4581" s="3" t="s">
        <v>74</v>
      </c>
    </row>
    <row r="4582" spans="1:11" ht="42" customHeight="1">
      <c r="A4582" s="2" t="s">
        <v>11359</v>
      </c>
      <c r="B4582" s="2" t="s">
        <v>11360</v>
      </c>
      <c r="C4582" s="2" t="s">
        <v>31</v>
      </c>
      <c r="D4582" s="2" t="s">
        <v>32</v>
      </c>
      <c r="E4582" s="5">
        <v>-30716</v>
      </c>
      <c r="F4582" s="3" t="s">
        <v>589</v>
      </c>
      <c r="G4582" s="3" t="s">
        <v>27</v>
      </c>
      <c r="H4582" s="2" t="s">
        <v>72</v>
      </c>
      <c r="I4582" s="2" t="s">
        <v>11361</v>
      </c>
      <c r="J4582" s="3" t="str">
        <f>HYPERLINK("https://www.boe.es/gazeta/dias/1815/11/25/pdfs/GMD-1815-147.pdf#page=6","Abrir facsímil")</f>
        <v>Abrir facsímil</v>
      </c>
      <c r="K4582" s="3" t="s">
        <v>74</v>
      </c>
    </row>
    <row r="4583" spans="1:11" ht="42" customHeight="1">
      <c r="A4583" s="2" t="s">
        <v>11362</v>
      </c>
      <c r="B4583" s="2" t="s">
        <v>11363</v>
      </c>
      <c r="C4583" s="2" t="s">
        <v>49</v>
      </c>
      <c r="D4583" s="2" t="s">
        <v>50</v>
      </c>
      <c r="E4583" s="5">
        <v>-30790</v>
      </c>
      <c r="F4583" s="3" t="s">
        <v>285</v>
      </c>
      <c r="G4583" s="3" t="s">
        <v>57</v>
      </c>
      <c r="H4583" s="2" t="s">
        <v>72</v>
      </c>
      <c r="I4583" s="2" t="s">
        <v>11364</v>
      </c>
      <c r="J4583" s="3" t="str">
        <f>HYPERLINK("https://www.boe.es/gazeta/dias/1815/09/12/pdfs/GMD-1815-113.pdf#page=5","Abrir facsímil")</f>
        <v>Abrir facsímil</v>
      </c>
      <c r="K4583" s="3" t="s">
        <v>74</v>
      </c>
    </row>
    <row r="4584" spans="1:11" ht="42" customHeight="1">
      <c r="A4584" s="2" t="s">
        <v>11365</v>
      </c>
      <c r="B4584" s="2" t="s">
        <v>11366</v>
      </c>
      <c r="C4584" s="2" t="s">
        <v>31</v>
      </c>
      <c r="D4584" s="2" t="s">
        <v>32</v>
      </c>
      <c r="E4584" s="5">
        <v>-31012</v>
      </c>
      <c r="F4584" s="3" t="s">
        <v>529</v>
      </c>
      <c r="G4584" s="3" t="s">
        <v>530</v>
      </c>
      <c r="H4584" s="2" t="s">
        <v>72</v>
      </c>
      <c r="I4584" s="2" t="s">
        <v>11367</v>
      </c>
      <c r="J4584" s="3" t="str">
        <f>HYPERLINK("https://www.boe.es/gazeta/dias/1815/02/02/pdfs/GMD-1815-14.pdf#page=6","Abrir facsímil")</f>
        <v>Abrir facsímil</v>
      </c>
      <c r="K4584" s="3" t="s">
        <v>74</v>
      </c>
    </row>
    <row r="4585" spans="1:11" ht="42" customHeight="1">
      <c r="A4585" s="2" t="s">
        <v>11365</v>
      </c>
      <c r="B4585" s="2" t="s">
        <v>11366</v>
      </c>
      <c r="C4585" s="2" t="s">
        <v>31</v>
      </c>
      <c r="D4585" s="2" t="s">
        <v>32</v>
      </c>
      <c r="E4585" s="5">
        <v>-30907</v>
      </c>
      <c r="F4585" s="3" t="s">
        <v>301</v>
      </c>
      <c r="G4585" s="3" t="s">
        <v>71</v>
      </c>
      <c r="H4585" s="2" t="s">
        <v>72</v>
      </c>
      <c r="I4585" s="2" t="s">
        <v>11368</v>
      </c>
      <c r="J4585" s="3" t="str">
        <f>HYPERLINK("https://www.boe.es/gazeta/dias/1815/05/18/pdfs/GMD-1815-60.pdf#page=7","Abrir facsímil")</f>
        <v>Abrir facsímil</v>
      </c>
      <c r="K4585" s="3" t="s">
        <v>74</v>
      </c>
    </row>
    <row r="4586" spans="1:11" ht="42" customHeight="1">
      <c r="A4586" s="2" t="s">
        <v>11365</v>
      </c>
      <c r="B4586" s="2" t="s">
        <v>11366</v>
      </c>
      <c r="C4586" s="2" t="s">
        <v>17</v>
      </c>
      <c r="D4586" s="2" t="s">
        <v>18</v>
      </c>
      <c r="E4586" s="5">
        <v>-30842</v>
      </c>
      <c r="F4586" s="3" t="s">
        <v>126</v>
      </c>
      <c r="G4586" s="3" t="s">
        <v>88</v>
      </c>
      <c r="H4586" s="2" t="s">
        <v>72</v>
      </c>
      <c r="I4586" s="2" t="s">
        <v>11369</v>
      </c>
      <c r="J4586" s="3" t="str">
        <f>HYPERLINK("https://www.boe.es/gazeta/dias/1815/07/22/pdfs/GMD-1815-90.pdf#page=10","Abrir facsímil")</f>
        <v>Abrir facsímil</v>
      </c>
      <c r="K4586" s="3" t="s">
        <v>74</v>
      </c>
    </row>
    <row r="4587" spans="1:11" ht="42" customHeight="1">
      <c r="A4587" s="2" t="s">
        <v>11370</v>
      </c>
      <c r="B4587" s="2" t="s">
        <v>11371</v>
      </c>
      <c r="C4587" s="2" t="s">
        <v>195</v>
      </c>
      <c r="D4587" s="2" t="s">
        <v>50</v>
      </c>
      <c r="E4587" s="5">
        <v>-30874</v>
      </c>
      <c r="F4587" s="3" t="s">
        <v>208</v>
      </c>
      <c r="G4587" s="3" t="s">
        <v>38</v>
      </c>
      <c r="H4587" s="2" t="s">
        <v>72</v>
      </c>
      <c r="I4587" s="2" t="s">
        <v>11372</v>
      </c>
      <c r="J4587" s="3" t="str">
        <f>HYPERLINK("https://www.boe.es/gazeta/dias/1815/06/20/pdfs/GMD-1815-74.pdf#page=8","Abrir facsímil")</f>
        <v>Abrir facsímil</v>
      </c>
      <c r="K4587" s="3" t="s">
        <v>74</v>
      </c>
    </row>
    <row r="4588" spans="1:11" ht="42" customHeight="1">
      <c r="A4588" s="2" t="s">
        <v>11373</v>
      </c>
      <c r="B4588" s="2" t="s">
        <v>11374</v>
      </c>
      <c r="C4588" s="2" t="s">
        <v>49</v>
      </c>
      <c r="D4588" s="2" t="s">
        <v>50</v>
      </c>
      <c r="E4588" s="5">
        <v>-30921</v>
      </c>
      <c r="F4588" s="3" t="s">
        <v>191</v>
      </c>
      <c r="G4588" s="3" t="s">
        <v>71</v>
      </c>
      <c r="H4588" s="2" t="s">
        <v>72</v>
      </c>
      <c r="I4588" s="2" t="s">
        <v>11375</v>
      </c>
      <c r="J4588" s="3" t="str">
        <f>HYPERLINK("https://www.boe.es/gazeta/dias/1815/05/04/pdfs/GMD-1815-54.pdf#page=7","Abrir facsímil")</f>
        <v>Abrir facsímil</v>
      </c>
      <c r="K4588" s="3" t="s">
        <v>74</v>
      </c>
    </row>
    <row r="4589" spans="1:11" ht="42" customHeight="1">
      <c r="A4589" s="2" t="s">
        <v>11376</v>
      </c>
      <c r="B4589" s="2" t="s">
        <v>11377</v>
      </c>
      <c r="C4589" s="2" t="s">
        <v>195</v>
      </c>
      <c r="D4589" s="2" t="s">
        <v>50</v>
      </c>
      <c r="E4589" s="5">
        <v>-30699</v>
      </c>
      <c r="F4589" s="3" t="s">
        <v>810</v>
      </c>
      <c r="G4589" s="3" t="s">
        <v>38</v>
      </c>
      <c r="H4589" s="2" t="s">
        <v>72</v>
      </c>
      <c r="I4589" s="2" t="s">
        <v>11378</v>
      </c>
      <c r="J4589" s="3" t="str">
        <f>HYPERLINK("https://www.boe.es/gazeta/dias/1815/12/12/pdfs/GMD-1815-154.pdf#page=8","Abrir facsímil")</f>
        <v>Abrir facsímil</v>
      </c>
      <c r="K4589" s="3" t="s">
        <v>74</v>
      </c>
    </row>
    <row r="4590" spans="1:11" ht="42" customHeight="1">
      <c r="A4590" s="2" t="s">
        <v>11379</v>
      </c>
      <c r="B4590" s="2" t="s">
        <v>11380</v>
      </c>
      <c r="C4590" s="2" t="s">
        <v>17</v>
      </c>
      <c r="D4590" s="2" t="s">
        <v>18</v>
      </c>
      <c r="E4590" s="5">
        <v>-30947</v>
      </c>
      <c r="F4590" s="3" t="s">
        <v>159</v>
      </c>
      <c r="G4590" s="3" t="s">
        <v>38</v>
      </c>
      <c r="H4590" s="2" t="s">
        <v>72</v>
      </c>
      <c r="I4590" s="2" t="s">
        <v>11381</v>
      </c>
      <c r="J4590" s="3" t="str">
        <f>HYPERLINK("https://www.boe.es/gazeta/dias/1815/04/08/pdfs/GMD-1815-43.pdf#page=8","Abrir facsímil")</f>
        <v>Abrir facsímil</v>
      </c>
      <c r="K4590" s="3" t="s">
        <v>74</v>
      </c>
    </row>
    <row r="4591" spans="1:11" ht="42" customHeight="1">
      <c r="A4591" s="2" t="s">
        <v>11379</v>
      </c>
      <c r="B4591" s="2" t="s">
        <v>11380</v>
      </c>
      <c r="C4591" s="2" t="s">
        <v>17</v>
      </c>
      <c r="D4591" s="2" t="s">
        <v>18</v>
      </c>
      <c r="E4591" s="5">
        <v>-30774</v>
      </c>
      <c r="F4591" s="3" t="s">
        <v>1143</v>
      </c>
      <c r="G4591" s="3" t="s">
        <v>1144</v>
      </c>
      <c r="H4591" s="2" t="s">
        <v>72</v>
      </c>
      <c r="I4591" s="2" t="s">
        <v>11382</v>
      </c>
      <c r="J4591" s="3" t="str">
        <f>HYPERLINK("https://www.boe.es/gazeta/dias/1815/09/28/pdfs/GMD-1815-121.pdf#page=8","Abrir facsímil")</f>
        <v>Abrir facsímil</v>
      </c>
      <c r="K4591" s="3" t="s">
        <v>74</v>
      </c>
    </row>
    <row r="4592" spans="1:11" ht="42" customHeight="1">
      <c r="A4592" s="2" t="s">
        <v>11379</v>
      </c>
      <c r="B4592" s="2" t="s">
        <v>11380</v>
      </c>
      <c r="C4592" s="2" t="s">
        <v>17</v>
      </c>
      <c r="D4592" s="2" t="s">
        <v>18</v>
      </c>
      <c r="E4592" s="5">
        <v>-30774</v>
      </c>
      <c r="F4592" s="3" t="s">
        <v>1143</v>
      </c>
      <c r="G4592" s="3" t="s">
        <v>71</v>
      </c>
      <c r="H4592" s="2" t="s">
        <v>72</v>
      </c>
      <c r="I4592" s="2" t="s">
        <v>11383</v>
      </c>
      <c r="J4592" s="3" t="str">
        <f>HYPERLINK("https://www.boe.es/gazeta/dias/1815/09/28/pdfs/GMD-1815-121.pdf#page=7","Abrir facsímil")</f>
        <v>Abrir facsímil</v>
      </c>
      <c r="K4592" s="3" t="s">
        <v>74</v>
      </c>
    </row>
    <row r="4593" spans="1:11" ht="42" customHeight="1">
      <c r="A4593" s="2" t="s">
        <v>11379</v>
      </c>
      <c r="B4593" s="2" t="s">
        <v>11380</v>
      </c>
      <c r="C4593" s="2" t="s">
        <v>17</v>
      </c>
      <c r="D4593" s="2" t="s">
        <v>18</v>
      </c>
      <c r="E4593" s="5">
        <v>-30739</v>
      </c>
      <c r="F4593" s="3" t="s">
        <v>254</v>
      </c>
      <c r="G4593" s="3" t="s">
        <v>52</v>
      </c>
      <c r="H4593" s="2" t="s">
        <v>72</v>
      </c>
      <c r="I4593" s="2" t="s">
        <v>11384</v>
      </c>
      <c r="J4593" s="3" t="str">
        <f>HYPERLINK("https://www.boe.es/gazeta/dias/1815/11/02/pdfs/GMD-1815-137.pdf#page=11","Abrir facsímil")</f>
        <v>Abrir facsímil</v>
      </c>
      <c r="K4593" s="3" t="s">
        <v>74</v>
      </c>
    </row>
    <row r="4594" spans="1:11" ht="42" customHeight="1">
      <c r="A4594" s="2" t="s">
        <v>11385</v>
      </c>
      <c r="B4594" s="2" t="s">
        <v>11386</v>
      </c>
      <c r="C4594" s="2" t="s">
        <v>31</v>
      </c>
      <c r="D4594" s="2" t="s">
        <v>32</v>
      </c>
      <c r="E4594" s="5">
        <v>-30944</v>
      </c>
      <c r="F4594" s="3" t="s">
        <v>412</v>
      </c>
      <c r="G4594" s="3" t="s">
        <v>27</v>
      </c>
      <c r="H4594" s="2" t="s">
        <v>72</v>
      </c>
      <c r="I4594" s="2" t="s">
        <v>11387</v>
      </c>
      <c r="J4594" s="3" t="str">
        <f>HYPERLINK("https://www.boe.es/gazeta/dias/1815/04/11/pdfs/GMD-1815-44.pdf#page=6","Abrir facsímil")</f>
        <v>Abrir facsímil</v>
      </c>
      <c r="K4594" s="3" t="s">
        <v>74</v>
      </c>
    </row>
    <row r="4595" spans="1:11" ht="42" customHeight="1">
      <c r="A4595" s="2" t="s">
        <v>11388</v>
      </c>
      <c r="B4595" s="2" t="s">
        <v>11389</v>
      </c>
      <c r="C4595" s="2" t="s">
        <v>195</v>
      </c>
      <c r="D4595" s="2" t="s">
        <v>50</v>
      </c>
      <c r="E4595" s="5">
        <v>-30699</v>
      </c>
      <c r="F4595" s="3" t="s">
        <v>810</v>
      </c>
      <c r="G4595" s="3" t="s">
        <v>38</v>
      </c>
      <c r="H4595" s="2" t="s">
        <v>72</v>
      </c>
      <c r="I4595" s="2" t="s">
        <v>11390</v>
      </c>
      <c r="J4595" s="3" t="str">
        <f>HYPERLINK("https://www.boe.es/gazeta/dias/1815/12/12/pdfs/GMD-1815-154.pdf#page=8","Abrir facsímil")</f>
        <v>Abrir facsímil</v>
      </c>
      <c r="K4595" s="3" t="s">
        <v>74</v>
      </c>
    </row>
    <row r="4596" spans="1:11" ht="42" customHeight="1">
      <c r="A4596" s="2" t="s">
        <v>11391</v>
      </c>
      <c r="B4596" s="2" t="s">
        <v>11392</v>
      </c>
      <c r="C4596" s="2" t="s">
        <v>195</v>
      </c>
      <c r="D4596" s="2" t="s">
        <v>50</v>
      </c>
      <c r="E4596" s="5">
        <v>-30888</v>
      </c>
      <c r="F4596" s="3" t="s">
        <v>368</v>
      </c>
      <c r="G4596" s="3" t="s">
        <v>224</v>
      </c>
      <c r="H4596" s="2" t="s">
        <v>21</v>
      </c>
      <c r="I4596" s="2" t="s">
        <v>11393</v>
      </c>
      <c r="J4596" s="3" t="str">
        <f>HYPERLINK("https://www.boe.es/gazeta/dias/1815/06/06/pdfs/GMD-1815-68.pdf#page=9","Abrir facsímil")</f>
        <v>Abrir facsímil</v>
      </c>
      <c r="K4596" s="3" t="s">
        <v>23</v>
      </c>
    </row>
    <row r="4597" spans="1:11" ht="42" customHeight="1">
      <c r="A4597" s="2" t="s">
        <v>11394</v>
      </c>
      <c r="B4597" s="2" t="s">
        <v>11395</v>
      </c>
      <c r="C4597" s="2" t="s">
        <v>31</v>
      </c>
      <c r="D4597" s="2" t="s">
        <v>32</v>
      </c>
      <c r="E4597" s="5">
        <v>-30769</v>
      </c>
      <c r="F4597" s="3" t="s">
        <v>1641</v>
      </c>
      <c r="G4597" s="3" t="s">
        <v>97</v>
      </c>
      <c r="H4597" s="2" t="s">
        <v>72</v>
      </c>
      <c r="I4597" s="2" t="s">
        <v>11396</v>
      </c>
      <c r="J4597" s="3" t="str">
        <f>HYPERLINK("https://www.boe.es/gazeta/dias/1815/10/03/pdfs/GMD-1815-124.pdf#page=3","Abrir facsímil")</f>
        <v>Abrir facsímil</v>
      </c>
      <c r="K4597" s="3" t="s">
        <v>74</v>
      </c>
    </row>
    <row r="4598" spans="1:11" ht="42" customHeight="1">
      <c r="A4598" s="2" t="s">
        <v>11397</v>
      </c>
      <c r="B4598" s="2" t="s">
        <v>11398</v>
      </c>
      <c r="C4598" s="2" t="s">
        <v>49</v>
      </c>
      <c r="D4598" s="2" t="s">
        <v>50</v>
      </c>
      <c r="E4598" s="5">
        <v>-30865</v>
      </c>
      <c r="F4598" s="3" t="s">
        <v>163</v>
      </c>
      <c r="G4598" s="3" t="s">
        <v>71</v>
      </c>
      <c r="H4598" s="2" t="s">
        <v>72</v>
      </c>
      <c r="I4598" s="2" t="s">
        <v>11399</v>
      </c>
      <c r="J4598" s="3" t="str">
        <f>HYPERLINK("https://www.boe.es/gazeta/dias/1815/06/29/pdfs/GMD-1815-78.pdf#page=7","Abrir facsímil")</f>
        <v>Abrir facsímil</v>
      </c>
      <c r="K4598" s="3" t="s">
        <v>74</v>
      </c>
    </row>
    <row r="4599" spans="1:11" ht="42" customHeight="1">
      <c r="A4599" s="2" t="s">
        <v>11400</v>
      </c>
      <c r="B4599" s="2" t="s">
        <v>11401</v>
      </c>
      <c r="C4599" s="2" t="s">
        <v>31</v>
      </c>
      <c r="D4599" s="2" t="s">
        <v>32</v>
      </c>
      <c r="E4599" s="5">
        <v>-31031</v>
      </c>
      <c r="F4599" s="3" t="s">
        <v>105</v>
      </c>
      <c r="G4599" s="3" t="s">
        <v>97</v>
      </c>
      <c r="H4599" s="2" t="s">
        <v>72</v>
      </c>
      <c r="I4599" s="2" t="s">
        <v>11402</v>
      </c>
      <c r="J4599" s="3" t="str">
        <f>HYPERLINK("https://www.boe.es/gazeta/dias/1815/01/14/pdfs/GMD-1815-6.pdf#page=3","Abrir facsímil")</f>
        <v>Abrir facsímil</v>
      </c>
      <c r="K4599" s="3" t="s">
        <v>74</v>
      </c>
    </row>
    <row r="4600" spans="1:11" ht="42" customHeight="1">
      <c r="A4600" s="2" t="s">
        <v>11403</v>
      </c>
      <c r="B4600" s="2" t="s">
        <v>11404</v>
      </c>
      <c r="C4600" s="2" t="s">
        <v>31</v>
      </c>
      <c r="D4600" s="2" t="s">
        <v>32</v>
      </c>
      <c r="E4600" s="5">
        <v>-31038</v>
      </c>
      <c r="F4600" s="3" t="s">
        <v>395</v>
      </c>
      <c r="G4600" s="3" t="s">
        <v>71</v>
      </c>
      <c r="H4600" s="2" t="s">
        <v>72</v>
      </c>
      <c r="I4600" s="2" t="s">
        <v>11405</v>
      </c>
      <c r="J4600" s="3" t="str">
        <f>HYPERLINK("https://www.boe.es/gazeta/dias/1815/01/07/pdfs/GMD-1815-3.pdf#page=7","Abrir facsímil")</f>
        <v>Abrir facsímil</v>
      </c>
      <c r="K4600" s="3" t="s">
        <v>74</v>
      </c>
    </row>
    <row r="4601" spans="1:11" ht="42" customHeight="1">
      <c r="A4601" s="2" t="s">
        <v>11406</v>
      </c>
      <c r="B4601" s="2" t="s">
        <v>11407</v>
      </c>
      <c r="C4601" s="2" t="s">
        <v>31</v>
      </c>
      <c r="D4601" s="2" t="s">
        <v>32</v>
      </c>
      <c r="E4601" s="5">
        <v>-31038</v>
      </c>
      <c r="F4601" s="3" t="s">
        <v>395</v>
      </c>
      <c r="G4601" s="3" t="s">
        <v>396</v>
      </c>
      <c r="H4601" s="2" t="s">
        <v>72</v>
      </c>
      <c r="I4601" s="2" t="s">
        <v>11408</v>
      </c>
      <c r="J4601" s="3" t="str">
        <f>HYPERLINK("https://www.boe.es/gazeta/dias/1815/01/07/pdfs/GMD-1815-3.pdf#page=5","Abrir facsímil")</f>
        <v>Abrir facsímil</v>
      </c>
      <c r="K4601" s="3" t="s">
        <v>74</v>
      </c>
    </row>
    <row r="4602" spans="1:11" ht="42" customHeight="1">
      <c r="A4602" s="2" t="s">
        <v>11409</v>
      </c>
      <c r="B4602" s="2" t="s">
        <v>11410</v>
      </c>
      <c r="C4602" s="2" t="s">
        <v>195</v>
      </c>
      <c r="D4602" s="2" t="s">
        <v>50</v>
      </c>
      <c r="E4602" s="5">
        <v>-30874</v>
      </c>
      <c r="F4602" s="3" t="s">
        <v>208</v>
      </c>
      <c r="G4602" s="3" t="s">
        <v>71</v>
      </c>
      <c r="H4602" s="2" t="s">
        <v>72</v>
      </c>
      <c r="I4602" s="2" t="s">
        <v>11411</v>
      </c>
      <c r="J4602" s="3" t="str">
        <f>HYPERLINK("https://www.boe.es/gazeta/dias/1815/06/20/pdfs/GMD-1815-74.pdf#page=7","Abrir facsímil")</f>
        <v>Abrir facsímil</v>
      </c>
      <c r="K4602" s="3" t="s">
        <v>74</v>
      </c>
    </row>
    <row r="4603" spans="1:11" ht="42" customHeight="1">
      <c r="A4603" s="2" t="s">
        <v>11412</v>
      </c>
      <c r="B4603" s="2" t="s">
        <v>11413</v>
      </c>
      <c r="C4603" s="2" t="s">
        <v>49</v>
      </c>
      <c r="D4603" s="2" t="s">
        <v>50</v>
      </c>
      <c r="E4603" s="5">
        <v>-31005</v>
      </c>
      <c r="F4603" s="3" t="s">
        <v>576</v>
      </c>
      <c r="G4603" s="3" t="s">
        <v>520</v>
      </c>
      <c r="H4603" s="2" t="s">
        <v>72</v>
      </c>
      <c r="I4603" s="2" t="s">
        <v>11414</v>
      </c>
      <c r="J4603" s="3" t="str">
        <f>HYPERLINK("https://www.boe.es/gazeta/dias/1815/02/09/pdfs/GMD-1815-17.pdf#page=8","Abrir facsímil")</f>
        <v>Abrir facsímil</v>
      </c>
      <c r="K4603" s="3" t="s">
        <v>74</v>
      </c>
    </row>
    <row r="4604" spans="1:11" ht="42" customHeight="1">
      <c r="A4604" s="2" t="s">
        <v>11415</v>
      </c>
      <c r="B4604" s="2" t="s">
        <v>11416</v>
      </c>
      <c r="C4604" s="2" t="s">
        <v>49</v>
      </c>
      <c r="D4604" s="2" t="s">
        <v>50</v>
      </c>
      <c r="E4604" s="5">
        <v>-30865</v>
      </c>
      <c r="F4604" s="3" t="s">
        <v>163</v>
      </c>
      <c r="G4604" s="3" t="s">
        <v>27</v>
      </c>
      <c r="H4604" s="2" t="s">
        <v>72</v>
      </c>
      <c r="I4604" s="2" t="s">
        <v>11417</v>
      </c>
      <c r="J4604" s="3" t="str">
        <f>HYPERLINK("https://www.boe.es/gazeta/dias/1815/06/29/pdfs/GMD-1815-78.pdf#page=6","Abrir facsímil")</f>
        <v>Abrir facsímil</v>
      </c>
      <c r="K4604" s="3" t="s">
        <v>74</v>
      </c>
    </row>
    <row r="4605" spans="1:11" ht="42" customHeight="1">
      <c r="A4605" s="2" t="s">
        <v>11418</v>
      </c>
      <c r="B4605" s="2" t="s">
        <v>11419</v>
      </c>
      <c r="C4605" s="2" t="s">
        <v>31</v>
      </c>
      <c r="D4605" s="2" t="s">
        <v>32</v>
      </c>
      <c r="E4605" s="5">
        <v>-30863</v>
      </c>
      <c r="F4605" s="3" t="s">
        <v>110</v>
      </c>
      <c r="G4605" s="3" t="s">
        <v>88</v>
      </c>
      <c r="H4605" s="2" t="s">
        <v>72</v>
      </c>
      <c r="I4605" s="2" t="s">
        <v>11420</v>
      </c>
      <c r="J4605" s="3" t="str">
        <f>HYPERLINK("https://www.boe.es/gazeta/dias/1815/07/01/pdfs/GMD-1815-79.pdf#page=10","Abrir facsímil")</f>
        <v>Abrir facsímil</v>
      </c>
      <c r="K4605" s="3" t="s">
        <v>74</v>
      </c>
    </row>
    <row r="4606" spans="1:11" ht="42" customHeight="1">
      <c r="A4606" s="2" t="s">
        <v>11421</v>
      </c>
      <c r="B4606" s="2" t="s">
        <v>11421</v>
      </c>
      <c r="C4606" s="2" t="s">
        <v>31</v>
      </c>
      <c r="D4606" s="2" t="s">
        <v>32</v>
      </c>
      <c r="E4606" s="5">
        <v>-30909</v>
      </c>
      <c r="F4606" s="3" t="s">
        <v>581</v>
      </c>
      <c r="G4606" s="3" t="s">
        <v>20</v>
      </c>
      <c r="H4606" s="2" t="s">
        <v>72</v>
      </c>
      <c r="I4606" s="2" t="s">
        <v>11422</v>
      </c>
      <c r="J4606" s="3" t="str">
        <f>HYPERLINK("https://www.boe.es/gazeta/dias/1815/05/16/pdfs/GMD-1815-59.pdf#page=4","Abrir facsímil")</f>
        <v>Abrir facsímil</v>
      </c>
      <c r="K4606" s="3" t="s">
        <v>74</v>
      </c>
    </row>
    <row r="4607" spans="1:11" ht="42" customHeight="1">
      <c r="A4607" s="2" t="s">
        <v>11421</v>
      </c>
      <c r="B4607" s="2" t="s">
        <v>11421</v>
      </c>
      <c r="C4607" s="2" t="s">
        <v>31</v>
      </c>
      <c r="D4607" s="2" t="s">
        <v>32</v>
      </c>
      <c r="E4607" s="5">
        <v>-30905</v>
      </c>
      <c r="F4607" s="3" t="s">
        <v>901</v>
      </c>
      <c r="G4607" s="3" t="s">
        <v>57</v>
      </c>
      <c r="H4607" s="2" t="s">
        <v>72</v>
      </c>
      <c r="I4607" s="2" t="s">
        <v>11423</v>
      </c>
      <c r="J4607" s="3" t="str">
        <f>HYPERLINK("https://www.boe.es/gazeta/dias/1815/05/20/pdfs/GMD-1815-61.pdf#page=5","Abrir facsímil")</f>
        <v>Abrir facsímil</v>
      </c>
      <c r="K4607" s="3" t="s">
        <v>74</v>
      </c>
    </row>
    <row r="4608" spans="1:11" ht="42" customHeight="1">
      <c r="A4608" s="2" t="s">
        <v>11424</v>
      </c>
      <c r="B4608" s="2" t="s">
        <v>11424</v>
      </c>
      <c r="C4608" s="2" t="s">
        <v>31</v>
      </c>
      <c r="D4608" s="2" t="s">
        <v>32</v>
      </c>
      <c r="E4608" s="5">
        <v>-31019</v>
      </c>
      <c r="F4608" s="3" t="s">
        <v>1094</v>
      </c>
      <c r="G4608" s="3" t="s">
        <v>52</v>
      </c>
      <c r="H4608" s="2" t="s">
        <v>72</v>
      </c>
      <c r="I4608" s="2" t="s">
        <v>11425</v>
      </c>
      <c r="J4608" s="3" t="str">
        <f>HYPERLINK("https://www.boe.es/gazeta/dias/1815/01/26/pdfs/GMD-1815-11.pdf#page=11","Abrir facsímil")</f>
        <v>Abrir facsímil</v>
      </c>
      <c r="K4608" s="3" t="s">
        <v>74</v>
      </c>
    </row>
    <row r="4609" spans="1:11" ht="42" customHeight="1">
      <c r="A4609" s="2" t="s">
        <v>11426</v>
      </c>
      <c r="B4609" s="2" t="s">
        <v>11426</v>
      </c>
      <c r="C4609" s="2" t="s">
        <v>31</v>
      </c>
      <c r="D4609" s="2" t="s">
        <v>32</v>
      </c>
      <c r="E4609" s="5">
        <v>-30811</v>
      </c>
      <c r="F4609" s="3" t="s">
        <v>293</v>
      </c>
      <c r="G4609" s="3" t="s">
        <v>410</v>
      </c>
      <c r="H4609" s="2" t="s">
        <v>72</v>
      </c>
      <c r="I4609" s="2" t="s">
        <v>11427</v>
      </c>
      <c r="J4609" s="3" t="str">
        <f>HYPERLINK("https://www.boe.es/gazeta/dias/1815/08/22/pdfs/GMD-1815-103.pdf#page=1","Abrir facsímil")</f>
        <v>Abrir facsímil</v>
      </c>
      <c r="K4609" s="3" t="s">
        <v>74</v>
      </c>
    </row>
    <row r="4610" spans="1:11" ht="42" customHeight="1">
      <c r="A4610" s="2" t="s">
        <v>11428</v>
      </c>
      <c r="B4610" s="2" t="s">
        <v>11429</v>
      </c>
      <c r="C4610" s="2" t="s">
        <v>49</v>
      </c>
      <c r="D4610" s="2" t="s">
        <v>50</v>
      </c>
      <c r="E4610" s="5">
        <v>-30886</v>
      </c>
      <c r="F4610" s="3" t="s">
        <v>140</v>
      </c>
      <c r="G4610" s="3" t="s">
        <v>224</v>
      </c>
      <c r="H4610" s="2" t="s">
        <v>72</v>
      </c>
      <c r="I4610" s="2" t="s">
        <v>11430</v>
      </c>
      <c r="J4610" s="3" t="str">
        <f>HYPERLINK("https://www.boe.es/gazeta/dias/1815/06/08/pdfs/GMD-1815-69.pdf#page=9","Abrir facsímil")</f>
        <v>Abrir facsímil</v>
      </c>
      <c r="K4610" s="3" t="s">
        <v>74</v>
      </c>
    </row>
    <row r="4611" spans="1:11" ht="42" customHeight="1">
      <c r="A4611" s="2" t="s">
        <v>11431</v>
      </c>
      <c r="B4611" s="2" t="s">
        <v>11432</v>
      </c>
      <c r="C4611" s="2" t="s">
        <v>31</v>
      </c>
      <c r="D4611" s="2" t="s">
        <v>32</v>
      </c>
      <c r="E4611" s="5">
        <v>-31038</v>
      </c>
      <c r="F4611" s="3" t="s">
        <v>395</v>
      </c>
      <c r="G4611" s="3" t="s">
        <v>396</v>
      </c>
      <c r="H4611" s="2" t="s">
        <v>72</v>
      </c>
      <c r="I4611" s="2" t="s">
        <v>11433</v>
      </c>
      <c r="J4611" s="3" t="str">
        <f>HYPERLINK("https://www.boe.es/gazeta/dias/1815/01/07/pdfs/GMD-1815-3.pdf#page=5","Abrir facsímil")</f>
        <v>Abrir facsímil</v>
      </c>
      <c r="K4611" s="3" t="s">
        <v>74</v>
      </c>
    </row>
    <row r="4612" spans="1:11" ht="42" customHeight="1">
      <c r="A4612" s="2" t="s">
        <v>11434</v>
      </c>
      <c r="B4612" s="2" t="s">
        <v>11435</v>
      </c>
      <c r="C4612" s="2" t="s">
        <v>195</v>
      </c>
      <c r="D4612" s="2" t="s">
        <v>50</v>
      </c>
      <c r="E4612" s="5">
        <v>-30888</v>
      </c>
      <c r="F4612" s="3" t="s">
        <v>368</v>
      </c>
      <c r="G4612" s="3" t="s">
        <v>369</v>
      </c>
      <c r="H4612" s="2" t="s">
        <v>72</v>
      </c>
      <c r="I4612" s="2" t="s">
        <v>11436</v>
      </c>
      <c r="J4612" s="3" t="str">
        <f>HYPERLINK("https://www.boe.es/gazeta/dias/1815/06/06/pdfs/GMD-1815-68.pdf#page=7","Abrir facsímil")</f>
        <v>Abrir facsímil</v>
      </c>
      <c r="K4612" s="3" t="s">
        <v>74</v>
      </c>
    </row>
    <row r="4613" spans="1:11" ht="42" customHeight="1">
      <c r="A4613" s="2" t="s">
        <v>11437</v>
      </c>
      <c r="B4613" s="2" t="s">
        <v>11438</v>
      </c>
      <c r="C4613" s="2" t="s">
        <v>31</v>
      </c>
      <c r="D4613" s="2" t="s">
        <v>32</v>
      </c>
      <c r="E4613" s="5">
        <v>-30923</v>
      </c>
      <c r="F4613" s="3" t="s">
        <v>524</v>
      </c>
      <c r="G4613" s="3" t="s">
        <v>1289</v>
      </c>
      <c r="H4613" s="2" t="s">
        <v>21</v>
      </c>
      <c r="I4613" s="2" t="s">
        <v>11439</v>
      </c>
      <c r="J4613" s="3" t="str">
        <f>HYPERLINK("https://www.boe.es/gazeta/dias/1815/05/02/pdfs/GMD-1815-53.pdf#page=11","Abrir facsímil")</f>
        <v>Abrir facsímil</v>
      </c>
      <c r="K4613" s="3" t="s">
        <v>23</v>
      </c>
    </row>
    <row r="4614" spans="1:11" ht="42" customHeight="1">
      <c r="A4614" s="2" t="s">
        <v>11440</v>
      </c>
      <c r="B4614" s="2" t="s">
        <v>11441</v>
      </c>
      <c r="C4614" s="2" t="s">
        <v>49</v>
      </c>
      <c r="D4614" s="2" t="s">
        <v>50</v>
      </c>
      <c r="E4614" s="5">
        <v>-30886</v>
      </c>
      <c r="F4614" s="3" t="s">
        <v>140</v>
      </c>
      <c r="G4614" s="3" t="s">
        <v>224</v>
      </c>
      <c r="H4614" s="2" t="s">
        <v>72</v>
      </c>
      <c r="I4614" s="2" t="s">
        <v>11442</v>
      </c>
      <c r="J4614" s="3" t="str">
        <f>HYPERLINK("https://www.boe.es/gazeta/dias/1815/06/08/pdfs/GMD-1815-69.pdf#page=9","Abrir facsímil")</f>
        <v>Abrir facsímil</v>
      </c>
      <c r="K4614" s="3" t="s">
        <v>74</v>
      </c>
    </row>
    <row r="4615" spans="1:11" ht="42" customHeight="1">
      <c r="A4615" s="2" t="s">
        <v>11443</v>
      </c>
      <c r="B4615" s="2" t="s">
        <v>11444</v>
      </c>
      <c r="C4615" s="2" t="s">
        <v>17</v>
      </c>
      <c r="D4615" s="2" t="s">
        <v>18</v>
      </c>
      <c r="E4615" s="5">
        <v>-30839</v>
      </c>
      <c r="F4615" s="3" t="s">
        <v>616</v>
      </c>
      <c r="G4615" s="3" t="s">
        <v>27</v>
      </c>
      <c r="H4615" s="2" t="s">
        <v>72</v>
      </c>
      <c r="I4615" s="2" t="s">
        <v>11445</v>
      </c>
      <c r="J4615" s="3" t="str">
        <f>HYPERLINK("https://www.boe.es/gazeta/dias/1815/07/25/pdfs/GMD-1815-91.pdf#page=6","Abrir facsímil")</f>
        <v>Abrir facsímil</v>
      </c>
      <c r="K4615" s="3" t="s">
        <v>74</v>
      </c>
    </row>
    <row r="4616" spans="1:11" ht="42" customHeight="1">
      <c r="A4616" s="2" t="s">
        <v>11446</v>
      </c>
      <c r="B4616" s="2" t="s">
        <v>11447</v>
      </c>
      <c r="C4616" s="2" t="s">
        <v>195</v>
      </c>
      <c r="D4616" s="2" t="s">
        <v>50</v>
      </c>
      <c r="E4616" s="5">
        <v>-30928</v>
      </c>
      <c r="F4616" s="3" t="s">
        <v>330</v>
      </c>
      <c r="G4616" s="3" t="s">
        <v>71</v>
      </c>
      <c r="H4616" s="2" t="s">
        <v>72</v>
      </c>
      <c r="I4616" s="2" t="s">
        <v>11448</v>
      </c>
      <c r="J4616" s="3" t="str">
        <f>HYPERLINK("https://www.boe.es/gazeta/dias/1815/04/27/pdfs/GMD-1815-51.pdf#page=7","Abrir facsímil")</f>
        <v>Abrir facsímil</v>
      </c>
      <c r="K4616" s="3" t="s">
        <v>74</v>
      </c>
    </row>
    <row r="4617" spans="1:11" ht="42" customHeight="1">
      <c r="A4617" s="2" t="s">
        <v>11449</v>
      </c>
      <c r="B4617" s="2" t="s">
        <v>11450</v>
      </c>
      <c r="C4617" s="2" t="s">
        <v>49</v>
      </c>
      <c r="D4617" s="2" t="s">
        <v>50</v>
      </c>
      <c r="E4617" s="5">
        <v>-30916</v>
      </c>
      <c r="F4617" s="3" t="s">
        <v>147</v>
      </c>
      <c r="G4617" s="3" t="s">
        <v>38</v>
      </c>
      <c r="H4617" s="2" t="s">
        <v>72</v>
      </c>
      <c r="I4617" s="2" t="s">
        <v>11451</v>
      </c>
      <c r="J4617" s="3" t="str">
        <f>HYPERLINK("https://www.boe.es/gazeta/dias/1815/05/09/pdfs/GMD-1815-56.pdf#page=8","Abrir facsímil")</f>
        <v>Abrir facsímil</v>
      </c>
      <c r="K4617" s="3" t="s">
        <v>74</v>
      </c>
    </row>
    <row r="4618" spans="1:11" ht="42" customHeight="1">
      <c r="A4618" s="2" t="s">
        <v>11452</v>
      </c>
      <c r="B4618" s="2" t="s">
        <v>11453</v>
      </c>
      <c r="C4618" s="2" t="s">
        <v>17</v>
      </c>
      <c r="D4618" s="2" t="s">
        <v>18</v>
      </c>
      <c r="E4618" s="5">
        <v>-30916</v>
      </c>
      <c r="F4618" s="3" t="s">
        <v>147</v>
      </c>
      <c r="G4618" s="3" t="s">
        <v>3394</v>
      </c>
      <c r="H4618" s="2" t="s">
        <v>72</v>
      </c>
      <c r="I4618" s="2" t="s">
        <v>11454</v>
      </c>
      <c r="J4618" s="3" t="str">
        <f>HYPERLINK("https://www.boe.es/gazeta/dias/1815/05/09/pdfs/GMD-1815-56.pdf#page=12","Abrir facsímil")</f>
        <v>Abrir facsímil</v>
      </c>
      <c r="K4618" s="3" t="s">
        <v>74</v>
      </c>
    </row>
    <row r="4619" spans="1:11" ht="42" customHeight="1">
      <c r="A4619" s="2" t="s">
        <v>11455</v>
      </c>
      <c r="B4619" s="2" t="s">
        <v>11456</v>
      </c>
      <c r="C4619" s="2" t="s">
        <v>49</v>
      </c>
      <c r="D4619" s="2" t="s">
        <v>50</v>
      </c>
      <c r="E4619" s="5">
        <v>-30886</v>
      </c>
      <c r="F4619" s="3" t="s">
        <v>140</v>
      </c>
      <c r="G4619" s="3" t="s">
        <v>224</v>
      </c>
      <c r="H4619" s="2" t="s">
        <v>72</v>
      </c>
      <c r="I4619" s="2" t="s">
        <v>11457</v>
      </c>
      <c r="J4619" s="3" t="str">
        <f>HYPERLINK("https://www.boe.es/gazeta/dias/1815/06/08/pdfs/GMD-1815-69.pdf#page=9","Abrir facsímil")</f>
        <v>Abrir facsímil</v>
      </c>
      <c r="K4619" s="3" t="s">
        <v>74</v>
      </c>
    </row>
    <row r="4620" spans="1:11" ht="42" customHeight="1">
      <c r="A4620" s="2" t="s">
        <v>11458</v>
      </c>
      <c r="B4620" s="2" t="s">
        <v>11459</v>
      </c>
      <c r="C4620" s="2" t="s">
        <v>17</v>
      </c>
      <c r="D4620" s="2" t="s">
        <v>18</v>
      </c>
      <c r="E4620" s="5">
        <v>-30968</v>
      </c>
      <c r="F4620" s="3" t="s">
        <v>2695</v>
      </c>
      <c r="G4620" s="3" t="s">
        <v>57</v>
      </c>
      <c r="H4620" s="2" t="s">
        <v>72</v>
      </c>
      <c r="I4620" s="2" t="s">
        <v>11460</v>
      </c>
      <c r="J4620" s="3" t="str">
        <f>HYPERLINK("https://www.boe.es/gazeta/dias/1815/03/18/pdfs/GMD-1815-33.pdf#page=5","Abrir facsímil")</f>
        <v>Abrir facsímil</v>
      </c>
      <c r="K4620" s="3" t="s">
        <v>74</v>
      </c>
    </row>
    <row r="4621" spans="1:11" ht="42" customHeight="1">
      <c r="A4621" s="2" t="s">
        <v>11461</v>
      </c>
      <c r="B4621" s="2" t="s">
        <v>11462</v>
      </c>
      <c r="C4621" s="2" t="s">
        <v>131</v>
      </c>
      <c r="D4621" s="2" t="s">
        <v>50</v>
      </c>
      <c r="E4621" s="5">
        <v>-30751</v>
      </c>
      <c r="F4621" s="3" t="s">
        <v>819</v>
      </c>
      <c r="G4621" s="3" t="s">
        <v>38</v>
      </c>
      <c r="H4621" s="2" t="s">
        <v>72</v>
      </c>
      <c r="I4621" s="2" t="s">
        <v>11463</v>
      </c>
      <c r="J4621" s="3" t="str">
        <f>HYPERLINK("https://www.boe.es/gazeta/dias/1815/10/21/pdfs/GMD-1815-132.pdf#page=8","Abrir facsímil")</f>
        <v>Abrir facsímil</v>
      </c>
      <c r="K4621" s="3" t="s">
        <v>74</v>
      </c>
    </row>
    <row r="4622" spans="1:11" ht="42" customHeight="1">
      <c r="A4622" s="2" t="s">
        <v>11464</v>
      </c>
      <c r="B4622" s="2" t="s">
        <v>11465</v>
      </c>
      <c r="C4622" s="2" t="s">
        <v>31</v>
      </c>
      <c r="D4622" s="2" t="s">
        <v>32</v>
      </c>
      <c r="E4622" s="5">
        <v>-30977</v>
      </c>
      <c r="F4622" s="3" t="s">
        <v>37</v>
      </c>
      <c r="G4622" s="3" t="s">
        <v>71</v>
      </c>
      <c r="H4622" s="2" t="s">
        <v>72</v>
      </c>
      <c r="I4622" s="2" t="s">
        <v>11466</v>
      </c>
      <c r="J4622" s="3" t="str">
        <f>HYPERLINK("https://www.boe.es/gazeta/dias/1815/03/09/pdfs/GMD-1815-29.pdf#page=7","Abrir facsímil")</f>
        <v>Abrir facsímil</v>
      </c>
      <c r="K4622" s="3" t="s">
        <v>74</v>
      </c>
    </row>
    <row r="4623" spans="1:11" ht="42" customHeight="1">
      <c r="A4623" s="2" t="s">
        <v>11467</v>
      </c>
      <c r="B4623" s="2" t="s">
        <v>11468</v>
      </c>
      <c r="C4623" s="2" t="s">
        <v>31</v>
      </c>
      <c r="D4623" s="2" t="s">
        <v>32</v>
      </c>
      <c r="E4623" s="5">
        <v>-30767</v>
      </c>
      <c r="F4623" s="3" t="s">
        <v>228</v>
      </c>
      <c r="G4623" s="3" t="s">
        <v>990</v>
      </c>
      <c r="H4623" s="2" t="s">
        <v>72</v>
      </c>
      <c r="I4623" s="2" t="s">
        <v>11469</v>
      </c>
      <c r="J4623" s="3" t="str">
        <f>HYPERLINK("https://www.boe.es/gazeta/dias/1815/10/05/pdfs/GMD-1815-125.pdf#page=12","Abrir facsímil")</f>
        <v>Abrir facsímil</v>
      </c>
      <c r="K4623" s="3" t="s">
        <v>74</v>
      </c>
    </row>
    <row r="4624" spans="1:11" ht="42" customHeight="1">
      <c r="A4624" s="2" t="s">
        <v>11470</v>
      </c>
      <c r="B4624" s="2" t="s">
        <v>11471</v>
      </c>
      <c r="C4624" s="2" t="s">
        <v>195</v>
      </c>
      <c r="D4624" s="2" t="s">
        <v>50</v>
      </c>
      <c r="E4624" s="5">
        <v>-30996</v>
      </c>
      <c r="F4624" s="3" t="s">
        <v>289</v>
      </c>
      <c r="G4624" s="3" t="s">
        <v>27</v>
      </c>
      <c r="H4624" s="2" t="s">
        <v>72</v>
      </c>
      <c r="I4624" s="2" t="s">
        <v>11472</v>
      </c>
      <c r="J4624" s="3" t="str">
        <f>HYPERLINK("https://www.boe.es/gazeta/dias/1815/02/18/pdfs/GMD-1815-21.pdf#page=6","Abrir facsímil")</f>
        <v>Abrir facsímil</v>
      </c>
      <c r="K4624" s="3" t="s">
        <v>74</v>
      </c>
    </row>
    <row r="4625" spans="1:11" ht="42" customHeight="1">
      <c r="A4625" s="2" t="s">
        <v>11473</v>
      </c>
      <c r="B4625" s="2" t="s">
        <v>11474</v>
      </c>
      <c r="C4625" s="2" t="s">
        <v>49</v>
      </c>
      <c r="D4625" s="2" t="s">
        <v>50</v>
      </c>
      <c r="E4625" s="5">
        <v>-30991</v>
      </c>
      <c r="F4625" s="3" t="s">
        <v>318</v>
      </c>
      <c r="G4625" s="3" t="s">
        <v>4115</v>
      </c>
      <c r="H4625" s="2" t="s">
        <v>72</v>
      </c>
      <c r="I4625" s="2" t="s">
        <v>11475</v>
      </c>
      <c r="J4625" s="3" t="str">
        <f>HYPERLINK("https://www.boe.es/gazeta/dias/1815/02/23/pdfs/GMD-1815-23.pdf#page=7","Abrir facsímil")</f>
        <v>Abrir facsímil</v>
      </c>
      <c r="K4625" s="3" t="s">
        <v>74</v>
      </c>
    </row>
    <row r="4626" spans="1:11" ht="42" customHeight="1">
      <c r="A4626" s="2" t="s">
        <v>11476</v>
      </c>
      <c r="B4626" s="2" t="s">
        <v>11477</v>
      </c>
      <c r="C4626" s="2" t="s">
        <v>31</v>
      </c>
      <c r="D4626" s="2" t="s">
        <v>32</v>
      </c>
      <c r="E4626" s="5">
        <v>-30886</v>
      </c>
      <c r="F4626" s="3" t="s">
        <v>140</v>
      </c>
      <c r="G4626" s="3" t="s">
        <v>88</v>
      </c>
      <c r="H4626" s="2" t="s">
        <v>72</v>
      </c>
      <c r="I4626" s="2" t="s">
        <v>11478</v>
      </c>
      <c r="J4626" s="3" t="str">
        <f>HYPERLINK("https://www.boe.es/gazeta/dias/1815/06/08/pdfs/GMD-1815-69.pdf#page=10","Abrir facsímil")</f>
        <v>Abrir facsímil</v>
      </c>
      <c r="K4626" s="3" t="s">
        <v>74</v>
      </c>
    </row>
    <row r="4627" spans="1:11" ht="42" customHeight="1">
      <c r="A4627" s="2" t="s">
        <v>11479</v>
      </c>
      <c r="B4627" s="2" t="s">
        <v>11480</v>
      </c>
      <c r="C4627" s="2" t="s">
        <v>17</v>
      </c>
      <c r="D4627" s="2" t="s">
        <v>18</v>
      </c>
      <c r="E4627" s="5">
        <v>-30683</v>
      </c>
      <c r="F4627" s="3" t="s">
        <v>1693</v>
      </c>
      <c r="G4627" s="3" t="s">
        <v>38</v>
      </c>
      <c r="H4627" s="2" t="s">
        <v>21</v>
      </c>
      <c r="I4627" s="2" t="s">
        <v>11481</v>
      </c>
      <c r="J4627" s="3" t="str">
        <f>HYPERLINK("https://www.boe.es/gazeta/dias/1815/12/28/pdfs/GMD-1815-161.pdf#page=8","Abrir facsímil")</f>
        <v>Abrir facsímil</v>
      </c>
      <c r="K4627" s="3" t="s">
        <v>23</v>
      </c>
    </row>
    <row r="4628" spans="1:11" ht="42" customHeight="1">
      <c r="A4628" s="2" t="s">
        <v>11482</v>
      </c>
      <c r="B4628" s="2" t="s">
        <v>11483</v>
      </c>
      <c r="C4628" s="2" t="s">
        <v>31</v>
      </c>
      <c r="D4628" s="2" t="s">
        <v>32</v>
      </c>
      <c r="E4628" s="5">
        <v>-31031</v>
      </c>
      <c r="F4628" s="3" t="s">
        <v>105</v>
      </c>
      <c r="G4628" s="3" t="s">
        <v>97</v>
      </c>
      <c r="H4628" s="2" t="s">
        <v>72</v>
      </c>
      <c r="I4628" s="2" t="s">
        <v>11484</v>
      </c>
      <c r="J4628" s="3" t="str">
        <f>HYPERLINK("https://www.boe.es/gazeta/dias/1815/01/14/pdfs/GMD-1815-6.pdf#page=3","Abrir facsímil")</f>
        <v>Abrir facsímil</v>
      </c>
      <c r="K4628" s="3" t="s">
        <v>74</v>
      </c>
    </row>
    <row r="4629" spans="1:11" ht="42" customHeight="1">
      <c r="A4629" s="2" t="s">
        <v>11485</v>
      </c>
      <c r="B4629" s="2" t="s">
        <v>11486</v>
      </c>
      <c r="C4629" s="2" t="s">
        <v>897</v>
      </c>
      <c r="D4629" s="2" t="s">
        <v>50</v>
      </c>
      <c r="E4629" s="5">
        <v>-30748</v>
      </c>
      <c r="F4629" s="3" t="s">
        <v>2077</v>
      </c>
      <c r="G4629" s="3" t="s">
        <v>38</v>
      </c>
      <c r="H4629" s="2" t="s">
        <v>72</v>
      </c>
      <c r="I4629" s="2" t="s">
        <v>11487</v>
      </c>
      <c r="J4629" s="3" t="str">
        <f>HYPERLINK("https://www.boe.es/gazeta/dias/1815/10/24/pdfs/GMD-1815-133.pdf#page=8","Abrir facsímil")</f>
        <v>Abrir facsímil</v>
      </c>
      <c r="K4629" s="3" t="s">
        <v>74</v>
      </c>
    </row>
    <row r="4630" spans="1:11" ht="42" customHeight="1">
      <c r="A4630" s="2" t="s">
        <v>11488</v>
      </c>
      <c r="B4630" s="2" t="s">
        <v>11489</v>
      </c>
      <c r="C4630" s="2" t="s">
        <v>61</v>
      </c>
      <c r="D4630" s="2" t="s">
        <v>50</v>
      </c>
      <c r="E4630" s="5">
        <v>-30977</v>
      </c>
      <c r="F4630" s="3" t="s">
        <v>37</v>
      </c>
      <c r="G4630" s="3" t="s">
        <v>5408</v>
      </c>
      <c r="H4630" s="2" t="s">
        <v>72</v>
      </c>
      <c r="I4630" s="2" t="s">
        <v>11490</v>
      </c>
      <c r="J4630" s="3" t="str">
        <f>HYPERLINK("https://www.boe.es/gazeta/dias/1815/03/09/pdfs/GMD-1815-29.pdf#page=6","Abrir facsímil")</f>
        <v>Abrir facsímil</v>
      </c>
      <c r="K4630" s="3" t="s">
        <v>74</v>
      </c>
    </row>
    <row r="4631" spans="1:11" ht="42" customHeight="1">
      <c r="A4631" s="2" t="s">
        <v>11491</v>
      </c>
      <c r="B4631" s="2" t="s">
        <v>11492</v>
      </c>
      <c r="C4631" s="2" t="s">
        <v>195</v>
      </c>
      <c r="D4631" s="2" t="s">
        <v>50</v>
      </c>
      <c r="E4631" s="5">
        <v>-30713</v>
      </c>
      <c r="F4631" s="3" t="s">
        <v>895</v>
      </c>
      <c r="G4631" s="3" t="s">
        <v>38</v>
      </c>
      <c r="H4631" s="2" t="s">
        <v>72</v>
      </c>
      <c r="I4631" s="2" t="s">
        <v>11493</v>
      </c>
      <c r="J4631" s="3" t="str">
        <f>HYPERLINK("https://www.boe.es/gazeta/dias/1815/11/28/pdfs/GMD-1815-148.pdf#page=8","Abrir facsímil")</f>
        <v>Abrir facsímil</v>
      </c>
      <c r="K4631" s="3" t="s">
        <v>74</v>
      </c>
    </row>
    <row r="4632" spans="1:11" ht="42" customHeight="1">
      <c r="A4632" s="2" t="s">
        <v>11494</v>
      </c>
      <c r="B4632" s="2" t="s">
        <v>11495</v>
      </c>
      <c r="C4632" s="2" t="s">
        <v>31</v>
      </c>
      <c r="D4632" s="2" t="s">
        <v>32</v>
      </c>
      <c r="E4632" s="5">
        <v>-30958</v>
      </c>
      <c r="F4632" s="3" t="s">
        <v>297</v>
      </c>
      <c r="G4632" s="3" t="s">
        <v>27</v>
      </c>
      <c r="H4632" s="2" t="s">
        <v>72</v>
      </c>
      <c r="I4632" s="2" t="s">
        <v>11496</v>
      </c>
      <c r="J4632" s="3" t="str">
        <f>HYPERLINK("https://www.boe.es/gazeta/dias/1815/03/28/pdfs/GMD-1815-37.pdf#page=6","Abrir facsímil")</f>
        <v>Abrir facsímil</v>
      </c>
      <c r="K4632" s="3" t="s">
        <v>74</v>
      </c>
    </row>
    <row r="4633" spans="1:11" ht="42" customHeight="1">
      <c r="A4633" s="2" t="s">
        <v>11497</v>
      </c>
      <c r="B4633" s="2" t="s">
        <v>11498</v>
      </c>
      <c r="C4633" s="2" t="s">
        <v>131</v>
      </c>
      <c r="D4633" s="2" t="s">
        <v>50</v>
      </c>
      <c r="E4633" s="5">
        <v>-30839</v>
      </c>
      <c r="F4633" s="3" t="s">
        <v>616</v>
      </c>
      <c r="G4633" s="3" t="s">
        <v>71</v>
      </c>
      <c r="H4633" s="2" t="s">
        <v>72</v>
      </c>
      <c r="I4633" s="2" t="s">
        <v>11499</v>
      </c>
      <c r="J4633" s="3" t="str">
        <f>HYPERLINK("https://www.boe.es/gazeta/dias/1815/07/25/pdfs/GMD-1815-91.pdf#page=7","Abrir facsímil")</f>
        <v>Abrir facsímil</v>
      </c>
      <c r="K4633" s="3" t="s">
        <v>74</v>
      </c>
    </row>
    <row r="4634" spans="1:11" ht="42" customHeight="1">
      <c r="A4634" s="2" t="s">
        <v>11500</v>
      </c>
      <c r="B4634" s="2" t="s">
        <v>11501</v>
      </c>
      <c r="C4634" s="2" t="s">
        <v>195</v>
      </c>
      <c r="D4634" s="2" t="s">
        <v>50</v>
      </c>
      <c r="E4634" s="5">
        <v>-31024</v>
      </c>
      <c r="F4634" s="3" t="s">
        <v>101</v>
      </c>
      <c r="G4634" s="3" t="s">
        <v>71</v>
      </c>
      <c r="H4634" s="2" t="s">
        <v>72</v>
      </c>
      <c r="I4634" s="2" t="s">
        <v>11502</v>
      </c>
      <c r="J4634" s="3" t="str">
        <f>HYPERLINK("https://www.boe.es/gazeta/dias/1815/01/21/pdfs/GMD-1815-9.pdf#page=7","Abrir facsímil")</f>
        <v>Abrir facsímil</v>
      </c>
      <c r="K4634" s="3" t="s">
        <v>74</v>
      </c>
    </row>
    <row r="4635" spans="1:11" ht="42" customHeight="1">
      <c r="A4635" s="2" t="s">
        <v>11503</v>
      </c>
      <c r="B4635" s="2" t="s">
        <v>11504</v>
      </c>
      <c r="C4635" s="2" t="s">
        <v>31</v>
      </c>
      <c r="D4635" s="2" t="s">
        <v>32</v>
      </c>
      <c r="E4635" s="5">
        <v>-30958</v>
      </c>
      <c r="F4635" s="3" t="s">
        <v>297</v>
      </c>
      <c r="G4635" s="3" t="s">
        <v>27</v>
      </c>
      <c r="H4635" s="2" t="s">
        <v>72</v>
      </c>
      <c r="I4635" s="2" t="s">
        <v>11505</v>
      </c>
      <c r="J4635" s="3" t="str">
        <f>HYPERLINK("https://www.boe.es/gazeta/dias/1815/03/28/pdfs/GMD-1815-37.pdf#page=6","Abrir facsímil")</f>
        <v>Abrir facsímil</v>
      </c>
      <c r="K4635" s="3" t="s">
        <v>74</v>
      </c>
    </row>
    <row r="4636" spans="1:11" ht="42" customHeight="1">
      <c r="A4636" s="2" t="s">
        <v>11506</v>
      </c>
      <c r="B4636" s="2" t="s">
        <v>11507</v>
      </c>
      <c r="C4636" s="2" t="s">
        <v>31</v>
      </c>
      <c r="D4636" s="2" t="s">
        <v>32</v>
      </c>
      <c r="E4636" s="5">
        <v>-30979</v>
      </c>
      <c r="F4636" s="3" t="s">
        <v>56</v>
      </c>
      <c r="G4636" s="3" t="s">
        <v>27</v>
      </c>
      <c r="H4636" s="2" t="s">
        <v>72</v>
      </c>
      <c r="I4636" s="2" t="s">
        <v>11508</v>
      </c>
      <c r="J4636" s="3" t="str">
        <f>HYPERLINK("https://www.boe.es/gazeta/dias/1815/03/07/pdfs/GMD-1815-28.pdf#page=6","Abrir facsímil")</f>
        <v>Abrir facsímil</v>
      </c>
      <c r="K4636" s="3" t="s">
        <v>74</v>
      </c>
    </row>
    <row r="4637" spans="1:11" ht="42" customHeight="1">
      <c r="A4637" s="2" t="s">
        <v>11509</v>
      </c>
      <c r="B4637" s="2" t="s">
        <v>11510</v>
      </c>
      <c r="C4637" s="2" t="s">
        <v>31</v>
      </c>
      <c r="D4637" s="2" t="s">
        <v>32</v>
      </c>
      <c r="E4637" s="5">
        <v>-30716</v>
      </c>
      <c r="F4637" s="3" t="s">
        <v>589</v>
      </c>
      <c r="G4637" s="3" t="s">
        <v>27</v>
      </c>
      <c r="H4637" s="2" t="s">
        <v>72</v>
      </c>
      <c r="I4637" s="2" t="s">
        <v>11511</v>
      </c>
      <c r="J4637" s="3" t="str">
        <f>HYPERLINK("https://www.boe.es/gazeta/dias/1815/11/25/pdfs/GMD-1815-147.pdf#page=6","Abrir facsímil")</f>
        <v>Abrir facsímil</v>
      </c>
      <c r="K4637" s="3" t="s">
        <v>74</v>
      </c>
    </row>
    <row r="4638" spans="1:11" ht="42" customHeight="1">
      <c r="A4638" s="2" t="s">
        <v>11512</v>
      </c>
      <c r="B4638" s="2" t="s">
        <v>11513</v>
      </c>
      <c r="C4638" s="2" t="s">
        <v>31</v>
      </c>
      <c r="D4638" s="2" t="s">
        <v>32</v>
      </c>
      <c r="E4638" s="5">
        <v>-31028</v>
      </c>
      <c r="F4638" s="3" t="s">
        <v>517</v>
      </c>
      <c r="G4638" s="3" t="s">
        <v>88</v>
      </c>
      <c r="H4638" s="2" t="s">
        <v>72</v>
      </c>
      <c r="I4638" s="2" t="s">
        <v>11514</v>
      </c>
      <c r="J4638" s="3" t="str">
        <f>HYPERLINK("https://www.boe.es/gazeta/dias/1815/01/17/pdfs/GMD-1815-7.pdf#page=10","Abrir facsímil")</f>
        <v>Abrir facsímil</v>
      </c>
      <c r="K4638" s="3" t="s">
        <v>74</v>
      </c>
    </row>
    <row r="4639" spans="1:11" ht="42" customHeight="1">
      <c r="A4639" s="2" t="s">
        <v>11512</v>
      </c>
      <c r="B4639" s="2" t="s">
        <v>11513</v>
      </c>
      <c r="C4639" s="2" t="s">
        <v>17</v>
      </c>
      <c r="D4639" s="2" t="s">
        <v>18</v>
      </c>
      <c r="E4639" s="5">
        <v>-30942</v>
      </c>
      <c r="F4639" s="3" t="s">
        <v>730</v>
      </c>
      <c r="G4639" s="3" t="s">
        <v>71</v>
      </c>
      <c r="H4639" s="2" t="s">
        <v>72</v>
      </c>
      <c r="I4639" s="2" t="s">
        <v>11515</v>
      </c>
      <c r="J4639" s="3" t="str">
        <f>HYPERLINK("https://www.boe.es/gazeta/dias/1815/04/13/pdfs/GMD-1815-45.pdf#page=7","Abrir facsímil")</f>
        <v>Abrir facsímil</v>
      </c>
      <c r="K4639" s="3" t="s">
        <v>74</v>
      </c>
    </row>
    <row r="4640" spans="1:11" ht="42" customHeight="1">
      <c r="A4640" s="2" t="s">
        <v>11516</v>
      </c>
      <c r="B4640" s="2" t="s">
        <v>11517</v>
      </c>
      <c r="C4640" s="2" t="s">
        <v>49</v>
      </c>
      <c r="D4640" s="2" t="s">
        <v>50</v>
      </c>
      <c r="E4640" s="5">
        <v>-30975</v>
      </c>
      <c r="F4640" s="3" t="s">
        <v>1194</v>
      </c>
      <c r="G4640" s="3" t="s">
        <v>38</v>
      </c>
      <c r="H4640" s="2" t="s">
        <v>72</v>
      </c>
      <c r="I4640" s="2" t="s">
        <v>11518</v>
      </c>
      <c r="J4640" s="3" t="str">
        <f>HYPERLINK("https://www.boe.es/gazeta/dias/1815/03/11/pdfs/GMD-1815-30.pdf#page=8","Abrir facsímil")</f>
        <v>Abrir facsímil</v>
      </c>
      <c r="K4640" s="3" t="s">
        <v>74</v>
      </c>
    </row>
    <row r="4641" spans="1:11" ht="42" customHeight="1">
      <c r="A4641" s="2" t="s">
        <v>11519</v>
      </c>
      <c r="B4641" s="2" t="s">
        <v>11520</v>
      </c>
      <c r="C4641" s="2" t="s">
        <v>61</v>
      </c>
      <c r="D4641" s="2" t="s">
        <v>50</v>
      </c>
      <c r="E4641" s="5">
        <v>-30872</v>
      </c>
      <c r="F4641" s="3" t="s">
        <v>167</v>
      </c>
      <c r="G4641" s="3" t="s">
        <v>224</v>
      </c>
      <c r="H4641" s="2" t="s">
        <v>72</v>
      </c>
      <c r="I4641" s="2" t="s">
        <v>11521</v>
      </c>
      <c r="J4641" s="3" t="str">
        <f>HYPERLINK("https://www.boe.es/gazeta/dias/1815/06/22/pdfs/GMD-1815-75.pdf#page=9","Abrir facsímil")</f>
        <v>Abrir facsímil</v>
      </c>
      <c r="K4641" s="3" t="s">
        <v>74</v>
      </c>
    </row>
    <row r="4642" spans="1:11" ht="42" customHeight="1">
      <c r="A4642" s="2" t="s">
        <v>11522</v>
      </c>
      <c r="B4642" s="2" t="s">
        <v>11523</v>
      </c>
      <c r="C4642" s="2" t="s">
        <v>61</v>
      </c>
      <c r="D4642" s="2" t="s">
        <v>50</v>
      </c>
      <c r="E4642" s="5">
        <v>-30923</v>
      </c>
      <c r="F4642" s="3" t="s">
        <v>524</v>
      </c>
      <c r="G4642" s="3" t="s">
        <v>88</v>
      </c>
      <c r="H4642" s="2" t="s">
        <v>72</v>
      </c>
      <c r="I4642" s="2" t="s">
        <v>11524</v>
      </c>
      <c r="J4642" s="3" t="str">
        <f>HYPERLINK("https://www.boe.es/gazeta/dias/1815/05/02/pdfs/GMD-1815-53.pdf#page=10","Abrir facsímil")</f>
        <v>Abrir facsímil</v>
      </c>
      <c r="K4642" s="3" t="s">
        <v>74</v>
      </c>
    </row>
    <row r="4643" spans="1:11" ht="42" customHeight="1">
      <c r="A4643" s="2" t="s">
        <v>11525</v>
      </c>
      <c r="B4643" s="2" t="s">
        <v>11526</v>
      </c>
      <c r="C4643" s="2" t="s">
        <v>49</v>
      </c>
      <c r="D4643" s="2" t="s">
        <v>50</v>
      </c>
      <c r="E4643" s="5">
        <v>-30916</v>
      </c>
      <c r="F4643" s="3" t="s">
        <v>147</v>
      </c>
      <c r="G4643" s="3" t="s">
        <v>38</v>
      </c>
      <c r="H4643" s="2" t="s">
        <v>72</v>
      </c>
      <c r="I4643" s="2" t="s">
        <v>11527</v>
      </c>
      <c r="J4643" s="3" t="str">
        <f>HYPERLINK("https://www.boe.es/gazeta/dias/1815/05/09/pdfs/GMD-1815-56.pdf#page=8","Abrir facsímil")</f>
        <v>Abrir facsímil</v>
      </c>
      <c r="K4643" s="3" t="s">
        <v>74</v>
      </c>
    </row>
    <row r="4644" spans="1:11" ht="42" customHeight="1">
      <c r="A4644" s="2" t="s">
        <v>11528</v>
      </c>
      <c r="B4644" s="2" t="s">
        <v>11529</v>
      </c>
      <c r="C4644" s="2" t="s">
        <v>195</v>
      </c>
      <c r="D4644" s="2" t="s">
        <v>50</v>
      </c>
      <c r="E4644" s="5">
        <v>-31026</v>
      </c>
      <c r="F4644" s="3" t="s">
        <v>874</v>
      </c>
      <c r="G4644" s="3" t="s">
        <v>71</v>
      </c>
      <c r="H4644" s="2" t="s">
        <v>72</v>
      </c>
      <c r="I4644" s="2" t="s">
        <v>11530</v>
      </c>
      <c r="J4644" s="3" t="str">
        <f>HYPERLINK("https://www.boe.es/gazeta/dias/1815/01/19/pdfs/GMD-1815-8.pdf#page=7","Abrir facsímil")</f>
        <v>Abrir facsímil</v>
      </c>
      <c r="K4644" s="3" t="s">
        <v>74</v>
      </c>
    </row>
    <row r="4645" spans="1:11" ht="42" customHeight="1">
      <c r="A4645" s="2" t="s">
        <v>11528</v>
      </c>
      <c r="B4645" s="2" t="s">
        <v>11529</v>
      </c>
      <c r="C4645" s="2" t="s">
        <v>31</v>
      </c>
      <c r="D4645" s="2" t="s">
        <v>32</v>
      </c>
      <c r="E4645" s="5">
        <v>-30870</v>
      </c>
      <c r="F4645" s="3" t="s">
        <v>122</v>
      </c>
      <c r="G4645" s="3" t="s">
        <v>71</v>
      </c>
      <c r="H4645" s="2" t="s">
        <v>72</v>
      </c>
      <c r="I4645" s="2" t="s">
        <v>11531</v>
      </c>
      <c r="J4645" s="3" t="str">
        <f>HYPERLINK("https://www.boe.es/gazeta/dias/1815/06/24/pdfs/GMD-1815-76.pdf#page=7","Abrir facsímil")</f>
        <v>Abrir facsímil</v>
      </c>
      <c r="K4645" s="3" t="s">
        <v>74</v>
      </c>
    </row>
    <row r="4646" spans="1:11" ht="42" customHeight="1">
      <c r="A4646" s="2" t="s">
        <v>11532</v>
      </c>
      <c r="B4646" s="2" t="s">
        <v>11533</v>
      </c>
      <c r="C4646" s="2" t="s">
        <v>49</v>
      </c>
      <c r="D4646" s="2" t="s">
        <v>50</v>
      </c>
      <c r="E4646" s="5">
        <v>-31040</v>
      </c>
      <c r="F4646" s="3" t="s">
        <v>326</v>
      </c>
      <c r="G4646" s="3" t="s">
        <v>27</v>
      </c>
      <c r="H4646" s="2" t="s">
        <v>72</v>
      </c>
      <c r="I4646" s="2" t="s">
        <v>11534</v>
      </c>
      <c r="J4646" s="3" t="str">
        <f>HYPERLINK("https://www.boe.es/gazeta/dias/1815/01/05/pdfs/GMD-1815-2.pdf#page=6","Abrir facsímil")</f>
        <v>Abrir facsímil</v>
      </c>
      <c r="K4646" s="3" t="s">
        <v>74</v>
      </c>
    </row>
    <row r="4647" spans="1:11" ht="42" customHeight="1">
      <c r="A4647" s="2" t="s">
        <v>11535</v>
      </c>
      <c r="B4647" s="2" t="s">
        <v>11536</v>
      </c>
      <c r="C4647" s="2" t="s">
        <v>49</v>
      </c>
      <c r="D4647" s="2" t="s">
        <v>50</v>
      </c>
      <c r="E4647" s="5">
        <v>-31038</v>
      </c>
      <c r="F4647" s="3" t="s">
        <v>395</v>
      </c>
      <c r="G4647" s="3" t="s">
        <v>71</v>
      </c>
      <c r="H4647" s="2" t="s">
        <v>72</v>
      </c>
      <c r="I4647" s="2" t="s">
        <v>11537</v>
      </c>
      <c r="J4647" s="3" t="str">
        <f>HYPERLINK("https://www.boe.es/gazeta/dias/1815/01/07/pdfs/GMD-1815-3.pdf#page=7","Abrir facsímil")</f>
        <v>Abrir facsímil</v>
      </c>
      <c r="K4647" s="3" t="s">
        <v>74</v>
      </c>
    </row>
    <row r="4648" spans="1:11" ht="42" customHeight="1">
      <c r="A4648" s="2" t="s">
        <v>11538</v>
      </c>
      <c r="B4648" s="2" t="s">
        <v>11539</v>
      </c>
      <c r="C4648" s="2" t="s">
        <v>31</v>
      </c>
      <c r="D4648" s="2" t="s">
        <v>32</v>
      </c>
      <c r="E4648" s="5">
        <v>-31038</v>
      </c>
      <c r="F4648" s="3" t="s">
        <v>395</v>
      </c>
      <c r="G4648" s="3" t="s">
        <v>396</v>
      </c>
      <c r="H4648" s="2" t="s">
        <v>72</v>
      </c>
      <c r="I4648" s="2" t="s">
        <v>11540</v>
      </c>
      <c r="J4648" s="3" t="str">
        <f>HYPERLINK("https://www.boe.es/gazeta/dias/1815/01/07/pdfs/GMD-1815-3.pdf#page=5","Abrir facsímil")</f>
        <v>Abrir facsímil</v>
      </c>
      <c r="K4648" s="3" t="s">
        <v>74</v>
      </c>
    </row>
    <row r="4649" spans="1:11" ht="42" customHeight="1">
      <c r="A4649" s="2" t="s">
        <v>11538</v>
      </c>
      <c r="B4649" s="2" t="s">
        <v>11539</v>
      </c>
      <c r="C4649" s="2" t="s">
        <v>31</v>
      </c>
      <c r="D4649" s="2" t="s">
        <v>32</v>
      </c>
      <c r="E4649" s="5">
        <v>-31038</v>
      </c>
      <c r="F4649" s="3" t="s">
        <v>395</v>
      </c>
      <c r="G4649" s="3" t="s">
        <v>27</v>
      </c>
      <c r="H4649" s="2" t="s">
        <v>72</v>
      </c>
      <c r="I4649" s="2" t="s">
        <v>11541</v>
      </c>
      <c r="J4649" s="3" t="str">
        <f>HYPERLINK("https://www.boe.es/gazeta/dias/1815/01/07/pdfs/GMD-1815-3.pdf#page=6","Abrir facsímil")</f>
        <v>Abrir facsímil</v>
      </c>
      <c r="K4649" s="3" t="s">
        <v>74</v>
      </c>
    </row>
    <row r="4650" spans="1:11" ht="42" customHeight="1">
      <c r="A4650" s="2" t="s">
        <v>11542</v>
      </c>
      <c r="B4650" s="2" t="s">
        <v>11543</v>
      </c>
      <c r="C4650" s="2" t="s">
        <v>31</v>
      </c>
      <c r="D4650" s="2" t="s">
        <v>32</v>
      </c>
      <c r="E4650" s="5">
        <v>-30958</v>
      </c>
      <c r="F4650" s="3" t="s">
        <v>297</v>
      </c>
      <c r="G4650" s="3" t="s">
        <v>57</v>
      </c>
      <c r="H4650" s="2" t="s">
        <v>72</v>
      </c>
      <c r="I4650" s="2" t="s">
        <v>11544</v>
      </c>
      <c r="J4650" s="3" t="str">
        <f>HYPERLINK("https://www.boe.es/gazeta/dias/1815/03/28/pdfs/GMD-1815-37.pdf#page=5","Abrir facsímil")</f>
        <v>Abrir facsímil</v>
      </c>
      <c r="K4650" s="3" t="s">
        <v>74</v>
      </c>
    </row>
    <row r="4651" spans="1:11" ht="42" customHeight="1">
      <c r="A4651" s="2" t="s">
        <v>11542</v>
      </c>
      <c r="B4651" s="2" t="s">
        <v>11543</v>
      </c>
      <c r="C4651" s="2" t="s">
        <v>49</v>
      </c>
      <c r="D4651" s="2" t="s">
        <v>50</v>
      </c>
      <c r="E4651" s="5">
        <v>-30886</v>
      </c>
      <c r="F4651" s="3" t="s">
        <v>140</v>
      </c>
      <c r="G4651" s="3" t="s">
        <v>224</v>
      </c>
      <c r="H4651" s="2" t="s">
        <v>72</v>
      </c>
      <c r="I4651" s="2" t="s">
        <v>11545</v>
      </c>
      <c r="J4651" s="3" t="str">
        <f>HYPERLINK("https://www.boe.es/gazeta/dias/1815/06/08/pdfs/GMD-1815-69.pdf#page=9","Abrir facsímil")</f>
        <v>Abrir facsímil</v>
      </c>
      <c r="K4651" s="3" t="s">
        <v>74</v>
      </c>
    </row>
    <row r="4652" spans="1:11" ht="42" customHeight="1">
      <c r="A4652" s="2" t="s">
        <v>11546</v>
      </c>
      <c r="B4652" s="2" t="s">
        <v>11547</v>
      </c>
      <c r="C4652" s="2" t="s">
        <v>49</v>
      </c>
      <c r="D4652" s="2" t="s">
        <v>50</v>
      </c>
      <c r="E4652" s="5">
        <v>-30916</v>
      </c>
      <c r="F4652" s="3" t="s">
        <v>147</v>
      </c>
      <c r="G4652" s="3" t="s">
        <v>38</v>
      </c>
      <c r="H4652" s="2" t="s">
        <v>72</v>
      </c>
      <c r="I4652" s="2" t="s">
        <v>11548</v>
      </c>
      <c r="J4652" s="3" t="str">
        <f>HYPERLINK("https://www.boe.es/gazeta/dias/1815/05/09/pdfs/GMD-1815-56.pdf#page=8","Abrir facsímil")</f>
        <v>Abrir facsímil</v>
      </c>
      <c r="K4652" s="3" t="s">
        <v>74</v>
      </c>
    </row>
    <row r="4653" spans="1:11" ht="42" customHeight="1">
      <c r="A4653" s="2" t="s">
        <v>11549</v>
      </c>
      <c r="B4653" s="2" t="s">
        <v>11550</v>
      </c>
      <c r="C4653" s="2" t="s">
        <v>31</v>
      </c>
      <c r="D4653" s="2" t="s">
        <v>32</v>
      </c>
      <c r="E4653" s="5">
        <v>-30839</v>
      </c>
      <c r="F4653" s="3" t="s">
        <v>616</v>
      </c>
      <c r="G4653" s="3" t="s">
        <v>27</v>
      </c>
      <c r="H4653" s="2" t="s">
        <v>72</v>
      </c>
      <c r="I4653" s="2" t="s">
        <v>11551</v>
      </c>
      <c r="J4653" s="3" t="str">
        <f>HYPERLINK("https://www.boe.es/gazeta/dias/1815/07/25/pdfs/GMD-1815-91.pdf#page=6","Abrir facsímil")</f>
        <v>Abrir facsímil</v>
      </c>
      <c r="K4653" s="3" t="s">
        <v>74</v>
      </c>
    </row>
    <row r="4654" spans="1:11" ht="42" customHeight="1">
      <c r="A4654" s="2" t="s">
        <v>11552</v>
      </c>
      <c r="B4654" s="2" t="s">
        <v>11553</v>
      </c>
      <c r="C4654" s="2" t="s">
        <v>131</v>
      </c>
      <c r="D4654" s="2" t="s">
        <v>50</v>
      </c>
      <c r="E4654" s="5">
        <v>-30846</v>
      </c>
      <c r="F4654" s="3" t="s">
        <v>858</v>
      </c>
      <c r="G4654" s="3" t="s">
        <v>57</v>
      </c>
      <c r="H4654" s="2" t="s">
        <v>72</v>
      </c>
      <c r="I4654" s="2" t="s">
        <v>11554</v>
      </c>
      <c r="J4654" s="3" t="str">
        <f>HYPERLINK("https://www.boe.es/gazeta/dias/1815/07/18/pdfs/GMD-1815-88.pdf#page=5","Abrir facsímil")</f>
        <v>Abrir facsímil</v>
      </c>
      <c r="K4654" s="3" t="s">
        <v>74</v>
      </c>
    </row>
    <row r="4655" spans="1:11" ht="42" customHeight="1">
      <c r="A4655" s="2" t="s">
        <v>11555</v>
      </c>
      <c r="B4655" s="2" t="s">
        <v>11556</v>
      </c>
      <c r="C4655" s="2" t="s">
        <v>17</v>
      </c>
      <c r="D4655" s="2" t="s">
        <v>18</v>
      </c>
      <c r="E4655" s="5">
        <v>-30972</v>
      </c>
      <c r="F4655" s="3" t="s">
        <v>1382</v>
      </c>
      <c r="G4655" s="3" t="s">
        <v>38</v>
      </c>
      <c r="H4655" s="2" t="s">
        <v>72</v>
      </c>
      <c r="I4655" s="2" t="s">
        <v>11557</v>
      </c>
      <c r="J4655" s="3" t="str">
        <f>HYPERLINK("https://www.boe.es/gazeta/dias/1815/03/14/pdfs/GMD-1815-31.pdf#page=8","Abrir facsímil")</f>
        <v>Abrir facsímil</v>
      </c>
      <c r="K4655" s="3" t="s">
        <v>74</v>
      </c>
    </row>
    <row r="4656" spans="1:11" ht="42" customHeight="1">
      <c r="A4656" s="2" t="s">
        <v>11558</v>
      </c>
      <c r="B4656" s="2" t="s">
        <v>11559</v>
      </c>
      <c r="C4656" s="2" t="s">
        <v>49</v>
      </c>
      <c r="D4656" s="2" t="s">
        <v>50</v>
      </c>
      <c r="E4656" s="5">
        <v>-30916</v>
      </c>
      <c r="F4656" s="3" t="s">
        <v>147</v>
      </c>
      <c r="G4656" s="3" t="s">
        <v>38</v>
      </c>
      <c r="H4656" s="2" t="s">
        <v>72</v>
      </c>
      <c r="I4656" s="2" t="s">
        <v>11560</v>
      </c>
      <c r="J4656" s="3" t="str">
        <f>HYPERLINK("https://www.boe.es/gazeta/dias/1815/05/09/pdfs/GMD-1815-56.pdf#page=8","Abrir facsímil")</f>
        <v>Abrir facsímil</v>
      </c>
      <c r="K4656" s="3" t="s">
        <v>74</v>
      </c>
    </row>
    <row r="4657" spans="1:11" ht="42" customHeight="1">
      <c r="A4657" s="2" t="s">
        <v>11561</v>
      </c>
      <c r="B4657" s="2" t="s">
        <v>11562</v>
      </c>
      <c r="C4657" s="2" t="s">
        <v>195</v>
      </c>
      <c r="D4657" s="2" t="s">
        <v>50</v>
      </c>
      <c r="E4657" s="5">
        <v>-30739</v>
      </c>
      <c r="F4657" s="3" t="s">
        <v>254</v>
      </c>
      <c r="G4657" s="3" t="s">
        <v>52</v>
      </c>
      <c r="H4657" s="2" t="s">
        <v>72</v>
      </c>
      <c r="I4657" s="2" t="s">
        <v>11563</v>
      </c>
      <c r="J4657" s="3" t="str">
        <f>HYPERLINK("https://www.boe.es/gazeta/dias/1815/11/02/pdfs/GMD-1815-137.pdf#page=11","Abrir facsímil")</f>
        <v>Abrir facsímil</v>
      </c>
      <c r="K4657" s="3" t="s">
        <v>74</v>
      </c>
    </row>
    <row r="4658" spans="1:11" ht="42" customHeight="1">
      <c r="A4658" s="2" t="s">
        <v>11564</v>
      </c>
      <c r="B4658" s="2" t="s">
        <v>11565</v>
      </c>
      <c r="C4658" s="2" t="s">
        <v>49</v>
      </c>
      <c r="D4658" s="2" t="s">
        <v>50</v>
      </c>
      <c r="E4658" s="5">
        <v>-30865</v>
      </c>
      <c r="F4658" s="3" t="s">
        <v>163</v>
      </c>
      <c r="G4658" s="3" t="s">
        <v>71</v>
      </c>
      <c r="H4658" s="2" t="s">
        <v>72</v>
      </c>
      <c r="I4658" s="2" t="s">
        <v>11566</v>
      </c>
      <c r="J4658" s="3" t="str">
        <f>HYPERLINK("https://www.boe.es/gazeta/dias/1815/06/29/pdfs/GMD-1815-78.pdf#page=7","Abrir facsímil")</f>
        <v>Abrir facsímil</v>
      </c>
      <c r="K4658" s="3" t="s">
        <v>74</v>
      </c>
    </row>
    <row r="4659" spans="1:11" ht="42" customHeight="1">
      <c r="A4659" s="2" t="s">
        <v>11567</v>
      </c>
      <c r="B4659" s="2" t="s">
        <v>11568</v>
      </c>
      <c r="C4659" s="2" t="s">
        <v>49</v>
      </c>
      <c r="D4659" s="2" t="s">
        <v>50</v>
      </c>
      <c r="E4659" s="5">
        <v>-30870</v>
      </c>
      <c r="F4659" s="3" t="s">
        <v>122</v>
      </c>
      <c r="G4659" s="3" t="s">
        <v>88</v>
      </c>
      <c r="H4659" s="2" t="s">
        <v>72</v>
      </c>
      <c r="I4659" s="2" t="s">
        <v>11569</v>
      </c>
      <c r="J4659" s="3" t="str">
        <f>HYPERLINK("https://www.boe.es/gazeta/dias/1815/06/24/pdfs/GMD-1815-76.pdf#page=10","Abrir facsímil")</f>
        <v>Abrir facsímil</v>
      </c>
      <c r="K4659" s="3" t="s">
        <v>74</v>
      </c>
    </row>
    <row r="4660" spans="1:11" ht="42" customHeight="1">
      <c r="A4660" s="2" t="s">
        <v>11567</v>
      </c>
      <c r="B4660" s="2" t="s">
        <v>11568</v>
      </c>
      <c r="C4660" s="2" t="s">
        <v>49</v>
      </c>
      <c r="D4660" s="2" t="s">
        <v>50</v>
      </c>
      <c r="E4660" s="5">
        <v>-30776</v>
      </c>
      <c r="F4660" s="3" t="s">
        <v>118</v>
      </c>
      <c r="G4660" s="3" t="s">
        <v>38</v>
      </c>
      <c r="H4660" s="2" t="s">
        <v>72</v>
      </c>
      <c r="I4660" s="2" t="s">
        <v>11570</v>
      </c>
      <c r="J4660" s="3" t="str">
        <f>HYPERLINK("https://www.boe.es/gazeta/dias/1815/09/26/pdfs/GMD-1815-119.pdf#page=8","Abrir facsímil")</f>
        <v>Abrir facsímil</v>
      </c>
      <c r="K4660" s="3" t="s">
        <v>74</v>
      </c>
    </row>
    <row r="4661" spans="1:11" ht="42" customHeight="1">
      <c r="A4661" s="2" t="s">
        <v>11571</v>
      </c>
      <c r="B4661" s="2" t="s">
        <v>11572</v>
      </c>
      <c r="C4661" s="2" t="s">
        <v>49</v>
      </c>
      <c r="D4661" s="2" t="s">
        <v>50</v>
      </c>
      <c r="E4661" s="5">
        <v>-30767</v>
      </c>
      <c r="F4661" s="3" t="s">
        <v>228</v>
      </c>
      <c r="G4661" s="3" t="s">
        <v>88</v>
      </c>
      <c r="H4661" s="2" t="s">
        <v>72</v>
      </c>
      <c r="I4661" s="2" t="s">
        <v>11573</v>
      </c>
      <c r="J4661" s="3" t="str">
        <f>HYPERLINK("https://www.boe.es/gazeta/dias/1815/10/05/pdfs/GMD-1815-125.pdf#page=10","Abrir facsímil")</f>
        <v>Abrir facsímil</v>
      </c>
      <c r="K4661" s="3" t="s">
        <v>74</v>
      </c>
    </row>
    <row r="4662" spans="1:11" ht="42" customHeight="1">
      <c r="A4662" s="2" t="s">
        <v>11574</v>
      </c>
      <c r="B4662" s="2" t="s">
        <v>11575</v>
      </c>
      <c r="C4662" s="2" t="s">
        <v>17</v>
      </c>
      <c r="D4662" s="2" t="s">
        <v>18</v>
      </c>
      <c r="E4662" s="5">
        <v>-30865</v>
      </c>
      <c r="F4662" s="3" t="s">
        <v>163</v>
      </c>
      <c r="G4662" s="3" t="s">
        <v>71</v>
      </c>
      <c r="H4662" s="2" t="s">
        <v>72</v>
      </c>
      <c r="I4662" s="2" t="s">
        <v>11576</v>
      </c>
      <c r="J4662" s="3" t="str">
        <f>HYPERLINK("https://www.boe.es/gazeta/dias/1815/06/29/pdfs/GMD-1815-78.pdf#page=7","Abrir facsímil")</f>
        <v>Abrir facsímil</v>
      </c>
      <c r="K4662" s="3" t="s">
        <v>74</v>
      </c>
    </row>
    <row r="4663" spans="1:11" ht="42" customHeight="1">
      <c r="A4663" s="2" t="s">
        <v>11577</v>
      </c>
      <c r="B4663" s="2" t="s">
        <v>11578</v>
      </c>
      <c r="C4663" s="2" t="s">
        <v>49</v>
      </c>
      <c r="D4663" s="2" t="s">
        <v>50</v>
      </c>
      <c r="E4663" s="5">
        <v>-30916</v>
      </c>
      <c r="F4663" s="3" t="s">
        <v>147</v>
      </c>
      <c r="G4663" s="3" t="s">
        <v>148</v>
      </c>
      <c r="H4663" s="2" t="s">
        <v>72</v>
      </c>
      <c r="I4663" s="2" t="s">
        <v>11579</v>
      </c>
      <c r="J4663" s="3" t="str">
        <f>HYPERLINK("https://www.boe.es/gazeta/dias/1815/05/09/pdfs/GMD-1815-56.pdf#page=7","Abrir facsímil")</f>
        <v>Abrir facsímil</v>
      </c>
      <c r="K4663" s="3" t="s">
        <v>74</v>
      </c>
    </row>
    <row r="4664" spans="1:11" ht="42" customHeight="1">
      <c r="A4664" s="2" t="s">
        <v>11577</v>
      </c>
      <c r="B4664" s="2" t="s">
        <v>11578</v>
      </c>
      <c r="C4664" s="2" t="s">
        <v>49</v>
      </c>
      <c r="D4664" s="2" t="s">
        <v>50</v>
      </c>
      <c r="E4664" s="5">
        <v>-30916</v>
      </c>
      <c r="F4664" s="3" t="s">
        <v>147</v>
      </c>
      <c r="G4664" s="3" t="s">
        <v>38</v>
      </c>
      <c r="H4664" s="2" t="s">
        <v>72</v>
      </c>
      <c r="I4664" s="2" t="s">
        <v>11580</v>
      </c>
      <c r="J4664" s="3" t="str">
        <f>HYPERLINK("https://www.boe.es/gazeta/dias/1815/05/09/pdfs/GMD-1815-56.pdf#page=8","Abrir facsímil")</f>
        <v>Abrir facsímil</v>
      </c>
      <c r="K4664" s="3" t="s">
        <v>74</v>
      </c>
    </row>
    <row r="4665" spans="1:11" ht="42" customHeight="1">
      <c r="A4665" s="2" t="s">
        <v>11581</v>
      </c>
      <c r="B4665" s="2" t="s">
        <v>11582</v>
      </c>
      <c r="C4665" s="2" t="s">
        <v>31</v>
      </c>
      <c r="D4665" s="2" t="s">
        <v>32</v>
      </c>
      <c r="E4665" s="5">
        <v>-31028</v>
      </c>
      <c r="F4665" s="3" t="s">
        <v>517</v>
      </c>
      <c r="G4665" s="3" t="s">
        <v>88</v>
      </c>
      <c r="H4665" s="2" t="s">
        <v>72</v>
      </c>
      <c r="I4665" s="2" t="s">
        <v>11583</v>
      </c>
      <c r="J4665" s="3" t="str">
        <f>HYPERLINK("https://www.boe.es/gazeta/dias/1815/01/17/pdfs/GMD-1815-7.pdf#page=10","Abrir facsímil")</f>
        <v>Abrir facsímil</v>
      </c>
      <c r="K4665" s="3" t="s">
        <v>74</v>
      </c>
    </row>
    <row r="4666" spans="1:11" ht="42" customHeight="1">
      <c r="A4666" s="2" t="s">
        <v>11584</v>
      </c>
      <c r="B4666" s="2" t="s">
        <v>11585</v>
      </c>
      <c r="C4666" s="2" t="s">
        <v>17</v>
      </c>
      <c r="D4666" s="2" t="s">
        <v>18</v>
      </c>
      <c r="E4666" s="5">
        <v>-30734</v>
      </c>
      <c r="F4666" s="3" t="s">
        <v>376</v>
      </c>
      <c r="G4666" s="3" t="s">
        <v>38</v>
      </c>
      <c r="H4666" s="2" t="s">
        <v>72</v>
      </c>
      <c r="I4666" s="2" t="s">
        <v>11586</v>
      </c>
      <c r="J4666" s="3" t="str">
        <f>HYPERLINK("https://www.boe.es/gazeta/dias/1815/11/07/pdfs/GMD-1815-139.pdf#page=8","Abrir facsímil")</f>
        <v>Abrir facsímil</v>
      </c>
      <c r="K4666" s="3" t="s">
        <v>74</v>
      </c>
    </row>
    <row r="4667" spans="1:11" ht="42" customHeight="1">
      <c r="A4667" s="2" t="s">
        <v>11587</v>
      </c>
      <c r="B4667" s="2" t="s">
        <v>11588</v>
      </c>
      <c r="C4667" s="2" t="s">
        <v>17</v>
      </c>
      <c r="D4667" s="2" t="s">
        <v>18</v>
      </c>
      <c r="E4667" s="5">
        <v>-30844</v>
      </c>
      <c r="F4667" s="3" t="s">
        <v>114</v>
      </c>
      <c r="G4667" s="3" t="s">
        <v>71</v>
      </c>
      <c r="H4667" s="2" t="s">
        <v>72</v>
      </c>
      <c r="I4667" s="2" t="s">
        <v>11589</v>
      </c>
      <c r="J4667" s="3" t="str">
        <f>HYPERLINK("https://www.boe.es/gazeta/dias/1815/07/20/pdfs/GMD-1815-89.pdf#page=7","Abrir facsímil")</f>
        <v>Abrir facsímil</v>
      </c>
      <c r="K4667" s="3" t="s">
        <v>74</v>
      </c>
    </row>
    <row r="4668" spans="1:11" ht="42" customHeight="1">
      <c r="A4668" s="2" t="s">
        <v>11590</v>
      </c>
      <c r="B4668" s="2" t="s">
        <v>11591</v>
      </c>
      <c r="C4668" s="2" t="s">
        <v>31</v>
      </c>
      <c r="D4668" s="2" t="s">
        <v>32</v>
      </c>
      <c r="E4668" s="5">
        <v>-30783</v>
      </c>
      <c r="F4668" s="3" t="s">
        <v>423</v>
      </c>
      <c r="G4668" s="3" t="s">
        <v>71</v>
      </c>
      <c r="H4668" s="2" t="s">
        <v>72</v>
      </c>
      <c r="I4668" s="2" t="s">
        <v>11592</v>
      </c>
      <c r="J4668" s="3" t="str">
        <f>HYPERLINK("https://www.boe.es/gazeta/dias/1815/09/19/pdfs/GMD-1815-116.pdf#page=7","Abrir facsímil")</f>
        <v>Abrir facsímil</v>
      </c>
      <c r="K4668" s="3" t="s">
        <v>74</v>
      </c>
    </row>
    <row r="4669" spans="1:11" ht="42" customHeight="1">
      <c r="A4669" s="2" t="s">
        <v>11593</v>
      </c>
      <c r="B4669" s="2" t="s">
        <v>11594</v>
      </c>
      <c r="C4669" s="2" t="s">
        <v>49</v>
      </c>
      <c r="D4669" s="2" t="s">
        <v>50</v>
      </c>
      <c r="E4669" s="5">
        <v>-30996</v>
      </c>
      <c r="F4669" s="3" t="s">
        <v>289</v>
      </c>
      <c r="G4669" s="3" t="s">
        <v>27</v>
      </c>
      <c r="H4669" s="2" t="s">
        <v>72</v>
      </c>
      <c r="I4669" s="2" t="s">
        <v>11595</v>
      </c>
      <c r="J4669" s="3" t="str">
        <f>HYPERLINK("https://www.boe.es/gazeta/dias/1815/02/18/pdfs/GMD-1815-21.pdf#page=6","Abrir facsímil")</f>
        <v>Abrir facsímil</v>
      </c>
      <c r="K4669" s="3" t="s">
        <v>74</v>
      </c>
    </row>
    <row r="4670" spans="1:11" ht="42" customHeight="1">
      <c r="A4670" s="2" t="s">
        <v>11596</v>
      </c>
      <c r="B4670" s="2" t="s">
        <v>11596</v>
      </c>
      <c r="C4670" s="2" t="s">
        <v>31</v>
      </c>
      <c r="D4670" s="2" t="s">
        <v>32</v>
      </c>
      <c r="E4670" s="5">
        <v>-30830</v>
      </c>
      <c r="F4670" s="3" t="s">
        <v>33</v>
      </c>
      <c r="G4670" s="3" t="s">
        <v>57</v>
      </c>
      <c r="H4670" s="2" t="s">
        <v>72</v>
      </c>
      <c r="I4670" s="2" t="s">
        <v>11597</v>
      </c>
      <c r="J4670" s="3" t="str">
        <f>HYPERLINK("https://www.boe.es/gazeta/dias/1815/08/03/pdfs/GMD-1815-95.pdf#page=5","Abrir facsímil")</f>
        <v>Abrir facsímil</v>
      </c>
      <c r="K4670" s="3" t="s">
        <v>74</v>
      </c>
    </row>
    <row r="4671" spans="1:11" ht="42" customHeight="1">
      <c r="A4671" s="2" t="s">
        <v>11598</v>
      </c>
      <c r="B4671" s="2" t="s">
        <v>11599</v>
      </c>
      <c r="C4671" s="2" t="s">
        <v>31</v>
      </c>
      <c r="D4671" s="2" t="s">
        <v>32</v>
      </c>
      <c r="E4671" s="5">
        <v>-30739</v>
      </c>
      <c r="F4671" s="3" t="s">
        <v>254</v>
      </c>
      <c r="G4671" s="3" t="s">
        <v>88</v>
      </c>
      <c r="H4671" s="2" t="s">
        <v>21</v>
      </c>
      <c r="I4671" s="2" t="s">
        <v>11600</v>
      </c>
      <c r="J4671" s="3" t="str">
        <f>HYPERLINK("https://www.boe.es/gazeta/dias/1815/11/02/pdfs/GMD-1815-137.pdf#page=10","Abrir facsímil")</f>
        <v>Abrir facsímil</v>
      </c>
      <c r="K4671" s="3" t="s">
        <v>23</v>
      </c>
    </row>
    <row r="4672" spans="1:11" ht="42" customHeight="1">
      <c r="A4672" s="2" t="s">
        <v>11601</v>
      </c>
      <c r="B4672" s="2" t="s">
        <v>11602</v>
      </c>
      <c r="C4672" s="2" t="s">
        <v>49</v>
      </c>
      <c r="D4672" s="2" t="s">
        <v>50</v>
      </c>
      <c r="E4672" s="5">
        <v>-30886</v>
      </c>
      <c r="F4672" s="3" t="s">
        <v>140</v>
      </c>
      <c r="G4672" s="3" t="s">
        <v>224</v>
      </c>
      <c r="H4672" s="2" t="s">
        <v>72</v>
      </c>
      <c r="I4672" s="2" t="s">
        <v>11603</v>
      </c>
      <c r="J4672" s="3" t="str">
        <f>HYPERLINK("https://www.boe.es/gazeta/dias/1815/06/08/pdfs/GMD-1815-69.pdf#page=9","Abrir facsímil")</f>
        <v>Abrir facsímil</v>
      </c>
      <c r="K4672" s="3" t="s">
        <v>74</v>
      </c>
    </row>
    <row r="4673" spans="1:11" ht="42" customHeight="1">
      <c r="A4673" s="2" t="s">
        <v>11604</v>
      </c>
      <c r="B4673" s="2" t="s">
        <v>11605</v>
      </c>
      <c r="C4673" s="2" t="s">
        <v>195</v>
      </c>
      <c r="D4673" s="2" t="s">
        <v>50</v>
      </c>
      <c r="E4673" s="5">
        <v>-30872</v>
      </c>
      <c r="F4673" s="3" t="s">
        <v>167</v>
      </c>
      <c r="G4673" s="3" t="s">
        <v>224</v>
      </c>
      <c r="H4673" s="2" t="s">
        <v>72</v>
      </c>
      <c r="I4673" s="2" t="s">
        <v>11606</v>
      </c>
      <c r="J4673" s="3" t="str">
        <f>HYPERLINK("https://www.boe.es/gazeta/dias/1815/06/22/pdfs/GMD-1815-75.pdf#page=9","Abrir facsímil")</f>
        <v>Abrir facsímil</v>
      </c>
      <c r="K4673" s="3" t="s">
        <v>74</v>
      </c>
    </row>
    <row r="4674" spans="1:11" ht="42" customHeight="1">
      <c r="A4674" s="2" t="s">
        <v>11607</v>
      </c>
      <c r="B4674" s="2" t="s">
        <v>11608</v>
      </c>
      <c r="C4674" s="2" t="s">
        <v>49</v>
      </c>
      <c r="D4674" s="2" t="s">
        <v>50</v>
      </c>
      <c r="E4674" s="5">
        <v>-30886</v>
      </c>
      <c r="F4674" s="3" t="s">
        <v>140</v>
      </c>
      <c r="G4674" s="3" t="s">
        <v>38</v>
      </c>
      <c r="H4674" s="2" t="s">
        <v>72</v>
      </c>
      <c r="I4674" s="2" t="s">
        <v>11609</v>
      </c>
      <c r="J4674" s="3" t="str">
        <f>HYPERLINK("https://www.boe.es/gazeta/dias/1815/06/08/pdfs/GMD-1815-69.pdf#page=8","Abrir facsímil")</f>
        <v>Abrir facsímil</v>
      </c>
      <c r="K4674" s="3" t="s">
        <v>74</v>
      </c>
    </row>
    <row r="4675" spans="1:11" ht="42" customHeight="1">
      <c r="A4675" s="2" t="s">
        <v>11610</v>
      </c>
      <c r="B4675" s="2" t="s">
        <v>11611</v>
      </c>
      <c r="C4675" s="2" t="s">
        <v>31</v>
      </c>
      <c r="D4675" s="2" t="s">
        <v>32</v>
      </c>
      <c r="E4675" s="5">
        <v>-30886</v>
      </c>
      <c r="F4675" s="3" t="s">
        <v>140</v>
      </c>
      <c r="G4675" s="3" t="s">
        <v>224</v>
      </c>
      <c r="H4675" s="2" t="s">
        <v>72</v>
      </c>
      <c r="I4675" s="2" t="s">
        <v>11612</v>
      </c>
      <c r="J4675" s="3" t="str">
        <f>HYPERLINK("https://www.boe.es/gazeta/dias/1815/06/08/pdfs/GMD-1815-69.pdf#page=9","Abrir facsímil")</f>
        <v>Abrir facsímil</v>
      </c>
      <c r="K4675" s="3" t="s">
        <v>74</v>
      </c>
    </row>
    <row r="4676" spans="1:11" ht="42" customHeight="1">
      <c r="A4676" s="2" t="s">
        <v>11613</v>
      </c>
      <c r="B4676" s="2" t="s">
        <v>11613</v>
      </c>
      <c r="C4676" s="2" t="s">
        <v>31</v>
      </c>
      <c r="D4676" s="2" t="s">
        <v>32</v>
      </c>
      <c r="E4676" s="5">
        <v>-30849</v>
      </c>
      <c r="F4676" s="3" t="s">
        <v>501</v>
      </c>
      <c r="G4676" s="3" t="s">
        <v>88</v>
      </c>
      <c r="H4676" s="2" t="s">
        <v>72</v>
      </c>
      <c r="I4676" s="2" t="s">
        <v>11614</v>
      </c>
      <c r="J4676" s="3" t="str">
        <f>HYPERLINK("https://www.boe.es/gazeta/dias/1815/07/15/pdfs/GMD-1815-87.pdf#page=10","Abrir facsímil")</f>
        <v>Abrir facsímil</v>
      </c>
      <c r="K4676" s="3" t="s">
        <v>74</v>
      </c>
    </row>
    <row r="4677" spans="1:11" ht="42" customHeight="1">
      <c r="A4677" s="2" t="s">
        <v>11615</v>
      </c>
      <c r="B4677" s="2" t="s">
        <v>11615</v>
      </c>
      <c r="C4677" s="2" t="s">
        <v>31</v>
      </c>
      <c r="D4677" s="2" t="s">
        <v>32</v>
      </c>
      <c r="E4677" s="5">
        <v>-30772</v>
      </c>
      <c r="F4677" s="3" t="s">
        <v>216</v>
      </c>
      <c r="G4677" s="3" t="s">
        <v>410</v>
      </c>
      <c r="H4677" s="2" t="s">
        <v>72</v>
      </c>
      <c r="I4677" s="2" t="s">
        <v>11616</v>
      </c>
      <c r="J4677" s="3" t="str">
        <f>HYPERLINK("https://www.boe.es/gazeta/dias/1815/09/30/pdfs/GMD-1815-123.pdf#page=1","Abrir facsímil")</f>
        <v>Abrir facsímil</v>
      </c>
      <c r="K4677" s="3" t="s">
        <v>74</v>
      </c>
    </row>
    <row r="4678" spans="1:11" ht="42" customHeight="1">
      <c r="A4678" s="2" t="s">
        <v>11617</v>
      </c>
      <c r="B4678" s="2" t="s">
        <v>11618</v>
      </c>
      <c r="C4678" s="2" t="s">
        <v>31</v>
      </c>
      <c r="D4678" s="2" t="s">
        <v>32</v>
      </c>
      <c r="E4678" s="5">
        <v>-30772</v>
      </c>
      <c r="F4678" s="3" t="s">
        <v>216</v>
      </c>
      <c r="G4678" s="3" t="s">
        <v>410</v>
      </c>
      <c r="H4678" s="2" t="s">
        <v>72</v>
      </c>
      <c r="I4678" s="2" t="s">
        <v>11619</v>
      </c>
      <c r="J4678" s="3" t="str">
        <f>HYPERLINK("https://www.boe.es/gazeta/dias/1815/09/30/pdfs/GMD-1815-123.pdf#page=1","Abrir facsímil")</f>
        <v>Abrir facsímil</v>
      </c>
      <c r="K4678" s="3" t="s">
        <v>74</v>
      </c>
    </row>
    <row r="4679" spans="1:11" ht="42" customHeight="1">
      <c r="A4679" s="2" t="s">
        <v>11620</v>
      </c>
      <c r="B4679" s="2" t="s">
        <v>11621</v>
      </c>
      <c r="C4679" s="2" t="s">
        <v>31</v>
      </c>
      <c r="D4679" s="2" t="s">
        <v>32</v>
      </c>
      <c r="E4679" s="5">
        <v>-30860</v>
      </c>
      <c r="F4679" s="3" t="s">
        <v>184</v>
      </c>
      <c r="G4679" s="3" t="s">
        <v>20</v>
      </c>
      <c r="H4679" s="2" t="s">
        <v>72</v>
      </c>
      <c r="I4679" s="2" t="s">
        <v>11622</v>
      </c>
      <c r="J4679" s="3" t="str">
        <f>HYPERLINK("https://www.boe.es/gazeta/dias/1815/07/04/pdfs/GMD-1815-81.pdf#page=4","Abrir facsímil")</f>
        <v>Abrir facsímil</v>
      </c>
      <c r="K4679" s="3" t="s">
        <v>74</v>
      </c>
    </row>
    <row r="4680" spans="1:11" ht="42" customHeight="1">
      <c r="A4680" s="2" t="s">
        <v>11623</v>
      </c>
      <c r="B4680" s="2" t="s">
        <v>11624</v>
      </c>
      <c r="C4680" s="2" t="s">
        <v>31</v>
      </c>
      <c r="D4680" s="2" t="s">
        <v>32</v>
      </c>
      <c r="E4680" s="5">
        <v>-31019</v>
      </c>
      <c r="F4680" s="3" t="s">
        <v>1094</v>
      </c>
      <c r="G4680" s="3" t="s">
        <v>27</v>
      </c>
      <c r="H4680" s="2" t="s">
        <v>72</v>
      </c>
      <c r="I4680" s="2" t="s">
        <v>11625</v>
      </c>
      <c r="J4680" s="3" t="str">
        <f>HYPERLINK("https://www.boe.es/gazeta/dias/1815/01/26/pdfs/GMD-1815-11.pdf#page=6","Abrir facsímil")</f>
        <v>Abrir facsímil</v>
      </c>
      <c r="K4680" s="3" t="s">
        <v>74</v>
      </c>
    </row>
    <row r="4681" spans="1:11" ht="42" customHeight="1">
      <c r="A4681" s="2" t="s">
        <v>11626</v>
      </c>
      <c r="B4681" s="2" t="s">
        <v>11627</v>
      </c>
      <c r="C4681" s="2" t="s">
        <v>195</v>
      </c>
      <c r="D4681" s="2" t="s">
        <v>50</v>
      </c>
      <c r="E4681" s="5">
        <v>-30888</v>
      </c>
      <c r="F4681" s="3" t="s">
        <v>368</v>
      </c>
      <c r="G4681" s="3" t="s">
        <v>224</v>
      </c>
      <c r="H4681" s="2" t="s">
        <v>21</v>
      </c>
      <c r="I4681" s="2" t="s">
        <v>11628</v>
      </c>
      <c r="J4681" s="3" t="str">
        <f>HYPERLINK("https://www.boe.es/gazeta/dias/1815/06/06/pdfs/GMD-1815-68.pdf#page=9","Abrir facsímil")</f>
        <v>Abrir facsímil</v>
      </c>
      <c r="K4681" s="3" t="s">
        <v>23</v>
      </c>
    </row>
    <row r="4682" spans="1:11" ht="42" customHeight="1">
      <c r="A4682" s="2" t="s">
        <v>11629</v>
      </c>
      <c r="B4682" s="2" t="s">
        <v>11630</v>
      </c>
      <c r="C4682" s="2" t="s">
        <v>17</v>
      </c>
      <c r="D4682" s="2" t="s">
        <v>18</v>
      </c>
      <c r="E4682" s="5">
        <v>-30928</v>
      </c>
      <c r="F4682" s="3" t="s">
        <v>330</v>
      </c>
      <c r="G4682" s="3" t="s">
        <v>71</v>
      </c>
      <c r="H4682" s="2" t="s">
        <v>21</v>
      </c>
      <c r="I4682" s="2" t="s">
        <v>11631</v>
      </c>
      <c r="J4682" s="3" t="str">
        <f>HYPERLINK("https://www.boe.es/gazeta/dias/1815/04/27/pdfs/GMD-1815-51.pdf#page=7","Abrir facsímil")</f>
        <v>Abrir facsímil</v>
      </c>
      <c r="K4682" s="3" t="s">
        <v>23</v>
      </c>
    </row>
    <row r="4683" spans="1:11" ht="42" customHeight="1">
      <c r="A4683" s="2" t="s">
        <v>11632</v>
      </c>
      <c r="B4683" s="2" t="s">
        <v>11633</v>
      </c>
      <c r="C4683" s="2" t="s">
        <v>49</v>
      </c>
      <c r="D4683" s="2" t="s">
        <v>50</v>
      </c>
      <c r="E4683" s="5">
        <v>-30893</v>
      </c>
      <c r="F4683" s="3" t="s">
        <v>132</v>
      </c>
      <c r="G4683" s="3" t="s">
        <v>71</v>
      </c>
      <c r="H4683" s="2" t="s">
        <v>72</v>
      </c>
      <c r="I4683" s="2" t="s">
        <v>11634</v>
      </c>
      <c r="J4683" s="3" t="str">
        <f>HYPERLINK("https://www.boe.es/gazeta/dias/1815/06/01/pdfs/GMD-1815-66.pdf#page=7","Abrir facsímil")</f>
        <v>Abrir facsímil</v>
      </c>
      <c r="K4683" s="3" t="s">
        <v>74</v>
      </c>
    </row>
    <row r="4684" spans="1:11" ht="42" customHeight="1">
      <c r="A4684" s="2" t="s">
        <v>11635</v>
      </c>
      <c r="B4684" s="2" t="s">
        <v>11636</v>
      </c>
      <c r="C4684" s="2" t="s">
        <v>49</v>
      </c>
      <c r="D4684" s="2" t="s">
        <v>50</v>
      </c>
      <c r="E4684" s="5">
        <v>-30832</v>
      </c>
      <c r="F4684" s="3" t="s">
        <v>266</v>
      </c>
      <c r="G4684" s="3" t="s">
        <v>224</v>
      </c>
      <c r="H4684" s="2" t="s">
        <v>21</v>
      </c>
      <c r="I4684" s="2" t="s">
        <v>11637</v>
      </c>
      <c r="J4684" s="3" t="str">
        <f>HYPERLINK("https://www.boe.es/gazeta/dias/1815/08/01/pdfs/GMD-1815-94.pdf#page=9","Abrir facsímil")</f>
        <v>Abrir facsímil</v>
      </c>
      <c r="K4684" s="3" t="s">
        <v>23</v>
      </c>
    </row>
    <row r="4685" spans="1:11" ht="42" customHeight="1">
      <c r="A4685" s="2" t="s">
        <v>11638</v>
      </c>
      <c r="B4685" s="2" t="s">
        <v>11639</v>
      </c>
      <c r="C4685" s="2" t="s">
        <v>17</v>
      </c>
      <c r="D4685" s="2" t="s">
        <v>18</v>
      </c>
      <c r="E4685" s="5">
        <v>-30762</v>
      </c>
      <c r="F4685" s="3" t="s">
        <v>19</v>
      </c>
      <c r="G4685" s="3" t="s">
        <v>2323</v>
      </c>
      <c r="H4685" s="2" t="s">
        <v>72</v>
      </c>
      <c r="I4685" s="2" t="s">
        <v>11640</v>
      </c>
      <c r="J4685" s="3" t="str">
        <f>HYPERLINK("https://www.boe.es/gazeta/dias/1815/10/10/pdfs/GMD-1815-127.pdf#page=8","Abrir facsímil")</f>
        <v>Abrir facsímil</v>
      </c>
      <c r="K4685" s="3" t="s">
        <v>74</v>
      </c>
    </row>
    <row r="4686" spans="1:11" ht="42" customHeight="1">
      <c r="A4686" s="2" t="s">
        <v>11641</v>
      </c>
      <c r="B4686" s="2" t="s">
        <v>11642</v>
      </c>
      <c r="C4686" s="2" t="s">
        <v>61</v>
      </c>
      <c r="D4686" s="2" t="s">
        <v>50</v>
      </c>
      <c r="E4686" s="5">
        <v>-31042</v>
      </c>
      <c r="F4686" s="3" t="s">
        <v>512</v>
      </c>
      <c r="G4686" s="3" t="s">
        <v>38</v>
      </c>
      <c r="H4686" s="2" t="s">
        <v>72</v>
      </c>
      <c r="I4686" s="2" t="s">
        <v>11643</v>
      </c>
      <c r="J4686" s="3" t="str">
        <f>HYPERLINK("https://www.boe.es/gazeta/dias/1815/01/03/pdfs/GMD-1815-1.pdf#page=8","Abrir facsímil")</f>
        <v>Abrir facsímil</v>
      </c>
      <c r="K4686" s="3" t="s">
        <v>74</v>
      </c>
    </row>
    <row r="4687" spans="1:11" ht="42" customHeight="1">
      <c r="A4687" s="2" t="s">
        <v>11644</v>
      </c>
      <c r="B4687" s="2" t="s">
        <v>11645</v>
      </c>
      <c r="C4687" s="2" t="s">
        <v>195</v>
      </c>
      <c r="D4687" s="2" t="s">
        <v>50</v>
      </c>
      <c r="E4687" s="5">
        <v>-30879</v>
      </c>
      <c r="F4687" s="3" t="s">
        <v>754</v>
      </c>
      <c r="G4687" s="3" t="s">
        <v>88</v>
      </c>
      <c r="H4687" s="2" t="s">
        <v>72</v>
      </c>
      <c r="I4687" s="2" t="s">
        <v>11646</v>
      </c>
      <c r="J4687" s="3" t="str">
        <f>HYPERLINK("https://www.boe.es/gazeta/dias/1815/06/15/pdfs/GMD-1815-72.pdf#page=10","Abrir facsímil")</f>
        <v>Abrir facsímil</v>
      </c>
      <c r="K4687" s="3" t="s">
        <v>74</v>
      </c>
    </row>
    <row r="4688" spans="1:11" ht="42" customHeight="1">
      <c r="A4688" s="2" t="s">
        <v>11647</v>
      </c>
      <c r="B4688" s="2" t="s">
        <v>11647</v>
      </c>
      <c r="C4688" s="2" t="s">
        <v>31</v>
      </c>
      <c r="D4688" s="2" t="s">
        <v>32</v>
      </c>
      <c r="E4688" s="5">
        <v>-30830</v>
      </c>
      <c r="F4688" s="3" t="s">
        <v>33</v>
      </c>
      <c r="G4688" s="3" t="s">
        <v>57</v>
      </c>
      <c r="H4688" s="2" t="s">
        <v>72</v>
      </c>
      <c r="I4688" s="2" t="s">
        <v>11648</v>
      </c>
      <c r="J4688" s="3" t="str">
        <f>HYPERLINK("https://www.boe.es/gazeta/dias/1815/08/03/pdfs/GMD-1815-95.pdf#page=5","Abrir facsímil")</f>
        <v>Abrir facsímil</v>
      </c>
      <c r="K4688" s="3" t="s">
        <v>74</v>
      </c>
    </row>
    <row r="4689" spans="1:11" ht="42" customHeight="1">
      <c r="A4689" s="2" t="s">
        <v>11649</v>
      </c>
      <c r="B4689" s="2" t="s">
        <v>11650</v>
      </c>
      <c r="C4689" s="2" t="s">
        <v>31</v>
      </c>
      <c r="D4689" s="2" t="s">
        <v>32</v>
      </c>
      <c r="E4689" s="5">
        <v>-30716</v>
      </c>
      <c r="F4689" s="3" t="s">
        <v>589</v>
      </c>
      <c r="G4689" s="3" t="s">
        <v>27</v>
      </c>
      <c r="H4689" s="2" t="s">
        <v>72</v>
      </c>
      <c r="I4689" s="2" t="s">
        <v>11651</v>
      </c>
      <c r="J4689" s="3" t="str">
        <f>HYPERLINK("https://www.boe.es/gazeta/dias/1815/11/25/pdfs/GMD-1815-147.pdf#page=6","Abrir facsímil")</f>
        <v>Abrir facsímil</v>
      </c>
      <c r="K4689" s="3" t="s">
        <v>74</v>
      </c>
    </row>
    <row r="4690" spans="1:11" ht="42" customHeight="1">
      <c r="A4690" s="2" t="s">
        <v>11652</v>
      </c>
      <c r="B4690" s="2" t="s">
        <v>11653</v>
      </c>
      <c r="C4690" s="2" t="s">
        <v>31</v>
      </c>
      <c r="D4690" s="2" t="s">
        <v>32</v>
      </c>
      <c r="E4690" s="5">
        <v>-31038</v>
      </c>
      <c r="F4690" s="3" t="s">
        <v>395</v>
      </c>
      <c r="G4690" s="3" t="s">
        <v>396</v>
      </c>
      <c r="H4690" s="2" t="s">
        <v>72</v>
      </c>
      <c r="I4690" s="2" t="s">
        <v>11654</v>
      </c>
      <c r="J4690" s="3" t="str">
        <f>HYPERLINK("https://www.boe.es/gazeta/dias/1815/01/07/pdfs/GMD-1815-3.pdf#page=5","Abrir facsímil")</f>
        <v>Abrir facsímil</v>
      </c>
      <c r="K4690" s="3" t="s">
        <v>74</v>
      </c>
    </row>
    <row r="4691" spans="1:11" ht="42" customHeight="1">
      <c r="A4691" s="2" t="s">
        <v>11655</v>
      </c>
      <c r="B4691" s="2" t="s">
        <v>11656</v>
      </c>
      <c r="C4691" s="2" t="s">
        <v>31</v>
      </c>
      <c r="D4691" s="2" t="s">
        <v>32</v>
      </c>
      <c r="E4691" s="5">
        <v>-30828</v>
      </c>
      <c r="F4691" s="3" t="s">
        <v>1402</v>
      </c>
      <c r="G4691" s="3" t="s">
        <v>377</v>
      </c>
      <c r="H4691" s="2" t="s">
        <v>72</v>
      </c>
      <c r="I4691" s="2" t="s">
        <v>11657</v>
      </c>
      <c r="J4691" s="3" t="str">
        <f>HYPERLINK("https://www.boe.es/gazeta/dias/1815/08/05/pdfs/GMD-1815-96.pdf#page=2","Abrir facsímil")</f>
        <v>Abrir facsímil</v>
      </c>
      <c r="K4691" s="3" t="s">
        <v>74</v>
      </c>
    </row>
    <row r="4692" spans="1:11" ht="42" customHeight="1">
      <c r="A4692" s="2" t="s">
        <v>11658</v>
      </c>
      <c r="B4692" s="2" t="s">
        <v>11659</v>
      </c>
      <c r="C4692" s="2" t="s">
        <v>31</v>
      </c>
      <c r="D4692" s="2" t="s">
        <v>32</v>
      </c>
      <c r="E4692" s="5">
        <v>-30993</v>
      </c>
      <c r="F4692" s="3" t="s">
        <v>66</v>
      </c>
      <c r="G4692" s="3" t="s">
        <v>71</v>
      </c>
      <c r="H4692" s="2" t="s">
        <v>72</v>
      </c>
      <c r="I4692" s="2" t="s">
        <v>11660</v>
      </c>
      <c r="J4692" s="3" t="str">
        <f>HYPERLINK("https://www.boe.es/gazeta/dias/1815/02/21/pdfs/GMD-1815-22.pdf#page=7","Abrir facsímil")</f>
        <v>Abrir facsímil</v>
      </c>
      <c r="K4692" s="3" t="s">
        <v>74</v>
      </c>
    </row>
    <row r="4693" spans="1:11" ht="42" customHeight="1">
      <c r="A4693" s="2" t="s">
        <v>11661</v>
      </c>
      <c r="B4693" s="2" t="s">
        <v>11662</v>
      </c>
      <c r="C4693" s="2" t="s">
        <v>31</v>
      </c>
      <c r="D4693" s="2" t="s">
        <v>32</v>
      </c>
      <c r="E4693" s="5">
        <v>-30993</v>
      </c>
      <c r="F4693" s="3" t="s">
        <v>66</v>
      </c>
      <c r="G4693" s="3" t="s">
        <v>71</v>
      </c>
      <c r="H4693" s="2" t="s">
        <v>72</v>
      </c>
      <c r="I4693" s="2" t="s">
        <v>11663</v>
      </c>
      <c r="J4693" s="3" t="str">
        <f>HYPERLINK("https://www.boe.es/gazeta/dias/1815/02/21/pdfs/GMD-1815-22.pdf#page=7","Abrir facsímil")</f>
        <v>Abrir facsímil</v>
      </c>
      <c r="K4693" s="3" t="s">
        <v>74</v>
      </c>
    </row>
    <row r="4694" spans="1:11" ht="42" customHeight="1">
      <c r="A4694" s="2" t="s">
        <v>11664</v>
      </c>
      <c r="B4694" s="2" t="s">
        <v>11665</v>
      </c>
      <c r="C4694" s="2" t="s">
        <v>195</v>
      </c>
      <c r="D4694" s="2" t="s">
        <v>50</v>
      </c>
      <c r="E4694" s="5">
        <v>-30874</v>
      </c>
      <c r="F4694" s="3" t="s">
        <v>208</v>
      </c>
      <c r="G4694" s="3" t="s">
        <v>71</v>
      </c>
      <c r="H4694" s="2" t="s">
        <v>72</v>
      </c>
      <c r="I4694" s="2" t="s">
        <v>11666</v>
      </c>
      <c r="J4694" s="3" t="str">
        <f>HYPERLINK("https://www.boe.es/gazeta/dias/1815/06/20/pdfs/GMD-1815-74.pdf#page=7","Abrir facsímil")</f>
        <v>Abrir facsímil</v>
      </c>
      <c r="K4694" s="3" t="s">
        <v>74</v>
      </c>
    </row>
    <row r="4695" spans="1:11" ht="42" customHeight="1">
      <c r="A4695" s="2" t="s">
        <v>11667</v>
      </c>
      <c r="B4695" s="2" t="s">
        <v>11667</v>
      </c>
      <c r="C4695" s="2" t="s">
        <v>31</v>
      </c>
      <c r="D4695" s="2" t="s">
        <v>32</v>
      </c>
      <c r="E4695" s="5">
        <v>-30849</v>
      </c>
      <c r="F4695" s="3" t="s">
        <v>501</v>
      </c>
      <c r="G4695" s="3" t="s">
        <v>88</v>
      </c>
      <c r="H4695" s="2" t="s">
        <v>72</v>
      </c>
      <c r="I4695" s="2" t="s">
        <v>11668</v>
      </c>
      <c r="J4695" s="3" t="str">
        <f>HYPERLINK("https://www.boe.es/gazeta/dias/1815/07/15/pdfs/GMD-1815-87.pdf#page=10","Abrir facsímil")</f>
        <v>Abrir facsímil</v>
      </c>
      <c r="K4695" s="3" t="s">
        <v>74</v>
      </c>
    </row>
    <row r="4696" spans="1:11" ht="42" customHeight="1">
      <c r="A4696" s="2" t="s">
        <v>11669</v>
      </c>
      <c r="B4696" s="2" t="s">
        <v>11670</v>
      </c>
      <c r="C4696" s="2" t="s">
        <v>195</v>
      </c>
      <c r="D4696" s="2" t="s">
        <v>50</v>
      </c>
      <c r="E4696" s="5">
        <v>-30888</v>
      </c>
      <c r="F4696" s="3" t="s">
        <v>368</v>
      </c>
      <c r="G4696" s="3" t="s">
        <v>369</v>
      </c>
      <c r="H4696" s="2" t="s">
        <v>72</v>
      </c>
      <c r="I4696" s="2" t="s">
        <v>11671</v>
      </c>
      <c r="J4696" s="3" t="str">
        <f>HYPERLINK("https://www.boe.es/gazeta/dias/1815/06/06/pdfs/GMD-1815-68.pdf#page=7","Abrir facsímil")</f>
        <v>Abrir facsímil</v>
      </c>
      <c r="K4696" s="3" t="s">
        <v>74</v>
      </c>
    </row>
    <row r="4697" spans="1:11" ht="42" customHeight="1">
      <c r="A4697" s="2" t="s">
        <v>11672</v>
      </c>
      <c r="B4697" s="2" t="s">
        <v>11673</v>
      </c>
      <c r="C4697" s="2" t="s">
        <v>31</v>
      </c>
      <c r="D4697" s="2" t="s">
        <v>32</v>
      </c>
      <c r="E4697" s="5">
        <v>-31024</v>
      </c>
      <c r="F4697" s="3" t="s">
        <v>101</v>
      </c>
      <c r="G4697" s="3" t="s">
        <v>71</v>
      </c>
      <c r="H4697" s="2" t="s">
        <v>72</v>
      </c>
      <c r="I4697" s="2" t="s">
        <v>11674</v>
      </c>
      <c r="J4697" s="3" t="str">
        <f>HYPERLINK("https://www.boe.es/gazeta/dias/1815/01/21/pdfs/GMD-1815-9.pdf#page=7","Abrir facsímil")</f>
        <v>Abrir facsímil</v>
      </c>
      <c r="K4697" s="3" t="s">
        <v>74</v>
      </c>
    </row>
    <row r="4698" spans="1:11" ht="42" customHeight="1">
      <c r="A4698" s="2" t="s">
        <v>11675</v>
      </c>
      <c r="B4698" s="2" t="s">
        <v>11675</v>
      </c>
      <c r="C4698" s="2" t="s">
        <v>49</v>
      </c>
      <c r="D4698" s="2" t="s">
        <v>50</v>
      </c>
      <c r="E4698" s="5">
        <v>-30863</v>
      </c>
      <c r="F4698" s="3" t="s">
        <v>110</v>
      </c>
      <c r="G4698" s="3" t="s">
        <v>71</v>
      </c>
      <c r="H4698" s="2" t="s">
        <v>72</v>
      </c>
      <c r="I4698" s="2" t="s">
        <v>11676</v>
      </c>
      <c r="J4698" s="3" t="str">
        <f>HYPERLINK("https://www.boe.es/gazeta/dias/1815/07/01/pdfs/GMD-1815-79.pdf#page=7","Abrir facsímil")</f>
        <v>Abrir facsímil</v>
      </c>
      <c r="K4698" s="3" t="s">
        <v>74</v>
      </c>
    </row>
    <row r="4699" spans="1:11" ht="42" customHeight="1">
      <c r="A4699" s="2" t="s">
        <v>11677</v>
      </c>
      <c r="B4699" s="2" t="s">
        <v>11678</v>
      </c>
      <c r="C4699" s="2" t="s">
        <v>49</v>
      </c>
      <c r="D4699" s="2" t="s">
        <v>50</v>
      </c>
      <c r="E4699" s="5">
        <v>-30886</v>
      </c>
      <c r="F4699" s="3" t="s">
        <v>140</v>
      </c>
      <c r="G4699" s="3" t="s">
        <v>38</v>
      </c>
      <c r="H4699" s="2" t="s">
        <v>72</v>
      </c>
      <c r="I4699" s="2" t="s">
        <v>11679</v>
      </c>
      <c r="J4699" s="3" t="str">
        <f>HYPERLINK("https://www.boe.es/gazeta/dias/1815/06/08/pdfs/GMD-1815-69.pdf#page=8","Abrir facsímil")</f>
        <v>Abrir facsímil</v>
      </c>
      <c r="K4699" s="3" t="s">
        <v>74</v>
      </c>
    </row>
    <row r="4700" spans="1:11" ht="42" customHeight="1">
      <c r="A4700" s="2" t="s">
        <v>11680</v>
      </c>
      <c r="B4700" s="2" t="s">
        <v>11681</v>
      </c>
      <c r="C4700" s="2" t="s">
        <v>61</v>
      </c>
      <c r="D4700" s="2" t="s">
        <v>50</v>
      </c>
      <c r="E4700" s="5">
        <v>-30734</v>
      </c>
      <c r="F4700" s="3" t="s">
        <v>376</v>
      </c>
      <c r="G4700" s="3" t="s">
        <v>38</v>
      </c>
      <c r="H4700" s="2" t="s">
        <v>21</v>
      </c>
      <c r="I4700" s="2" t="s">
        <v>11682</v>
      </c>
      <c r="J4700" s="3" t="str">
        <f>HYPERLINK("https://www.boe.es/gazeta/dias/1815/11/07/pdfs/GMD-1815-139.pdf#page=8","Abrir facsímil")</f>
        <v>Abrir facsímil</v>
      </c>
      <c r="K4700" s="3" t="s">
        <v>23</v>
      </c>
    </row>
    <row r="4701" spans="1:11" ht="42" customHeight="1">
      <c r="A4701" s="2" t="s">
        <v>11683</v>
      </c>
      <c r="B4701" s="2" t="s">
        <v>11683</v>
      </c>
      <c r="C4701" s="2" t="s">
        <v>31</v>
      </c>
      <c r="D4701" s="2" t="s">
        <v>32</v>
      </c>
      <c r="E4701" s="5">
        <v>-30748</v>
      </c>
      <c r="F4701" s="3" t="s">
        <v>2077</v>
      </c>
      <c r="G4701" s="3" t="s">
        <v>57</v>
      </c>
      <c r="H4701" s="2" t="s">
        <v>72</v>
      </c>
      <c r="I4701" s="2" t="s">
        <v>11684</v>
      </c>
      <c r="J4701" s="3" t="str">
        <f>HYPERLINK("https://www.boe.es/gazeta/dias/1815/10/24/pdfs/GMD-1815-133.pdf#page=5","Abrir facsímil")</f>
        <v>Abrir facsímil</v>
      </c>
      <c r="K4701" s="3" t="s">
        <v>74</v>
      </c>
    </row>
    <row r="4702" spans="1:11" ht="42" customHeight="1">
      <c r="A4702" s="2" t="s">
        <v>11685</v>
      </c>
      <c r="B4702" s="2" t="s">
        <v>11686</v>
      </c>
      <c r="C4702" s="2" t="s">
        <v>17</v>
      </c>
      <c r="D4702" s="2" t="s">
        <v>18</v>
      </c>
      <c r="E4702" s="5">
        <v>-31031</v>
      </c>
      <c r="F4702" s="3" t="s">
        <v>105</v>
      </c>
      <c r="G4702" s="3" t="s">
        <v>27</v>
      </c>
      <c r="H4702" s="2" t="s">
        <v>72</v>
      </c>
      <c r="I4702" s="2" t="s">
        <v>11687</v>
      </c>
      <c r="J4702" s="3" t="str">
        <f>HYPERLINK("https://www.boe.es/gazeta/dias/1815/01/14/pdfs/GMD-1815-6.pdf#page=6","Abrir facsímil")</f>
        <v>Abrir facsímil</v>
      </c>
      <c r="K4702" s="3" t="s">
        <v>74</v>
      </c>
    </row>
    <row r="4703" spans="1:11" ht="42" customHeight="1">
      <c r="A4703" s="2" t="s">
        <v>11685</v>
      </c>
      <c r="B4703" s="2" t="s">
        <v>11686</v>
      </c>
      <c r="C4703" s="2" t="s">
        <v>61</v>
      </c>
      <c r="D4703" s="2" t="s">
        <v>50</v>
      </c>
      <c r="E4703" s="5">
        <v>-30975</v>
      </c>
      <c r="F4703" s="3" t="s">
        <v>1194</v>
      </c>
      <c r="G4703" s="3" t="s">
        <v>71</v>
      </c>
      <c r="H4703" s="2" t="s">
        <v>72</v>
      </c>
      <c r="I4703" s="2" t="s">
        <v>11688</v>
      </c>
      <c r="J4703" s="3" t="str">
        <f>HYPERLINK("https://www.boe.es/gazeta/dias/1815/03/11/pdfs/GMD-1815-30.pdf#page=7","Abrir facsímil")</f>
        <v>Abrir facsímil</v>
      </c>
      <c r="K4703" s="3" t="s">
        <v>74</v>
      </c>
    </row>
    <row r="4704" spans="1:11" ht="42" customHeight="1">
      <c r="A4704" s="2" t="s">
        <v>11689</v>
      </c>
      <c r="B4704" s="2" t="s">
        <v>11690</v>
      </c>
      <c r="C4704" s="2" t="s">
        <v>17</v>
      </c>
      <c r="D4704" s="2" t="s">
        <v>18</v>
      </c>
      <c r="E4704" s="5">
        <v>-30695</v>
      </c>
      <c r="F4704" s="3" t="s">
        <v>824</v>
      </c>
      <c r="G4704" s="3" t="s">
        <v>3758</v>
      </c>
      <c r="H4704" s="2" t="s">
        <v>72</v>
      </c>
      <c r="I4704" s="2" t="s">
        <v>11691</v>
      </c>
      <c r="J4704" s="3" t="str">
        <f>HYPERLINK("https://www.boe.es/gazeta/dias/1815/12/16/pdfs/GMD-1815-156.pdf#page=6","Abrir facsímil")</f>
        <v>Abrir facsímil</v>
      </c>
      <c r="K4704" s="3" t="s">
        <v>74</v>
      </c>
    </row>
    <row r="4705" spans="1:11" ht="42" customHeight="1">
      <c r="A4705" s="2" t="s">
        <v>11692</v>
      </c>
      <c r="B4705" s="2" t="s">
        <v>11692</v>
      </c>
      <c r="C4705" s="2" t="s">
        <v>17</v>
      </c>
      <c r="D4705" s="2" t="s">
        <v>18</v>
      </c>
      <c r="E4705" s="5">
        <v>-30767</v>
      </c>
      <c r="F4705" s="3" t="s">
        <v>228</v>
      </c>
      <c r="G4705" s="3" t="s">
        <v>410</v>
      </c>
      <c r="H4705" s="2" t="s">
        <v>72</v>
      </c>
      <c r="I4705" s="2" t="s">
        <v>11693</v>
      </c>
      <c r="J4705" s="3" t="str">
        <f>HYPERLINK("https://www.boe.es/gazeta/dias/1815/10/05/pdfs/GMD-1815-125.pdf#page=1","Abrir facsímil")</f>
        <v>Abrir facsímil</v>
      </c>
      <c r="K4705" s="3" t="s">
        <v>74</v>
      </c>
    </row>
    <row r="4706" spans="1:11" ht="42" customHeight="1">
      <c r="A4706" s="2" t="s">
        <v>11694</v>
      </c>
      <c r="B4706" s="2" t="s">
        <v>11695</v>
      </c>
      <c r="C4706" s="2" t="s">
        <v>31</v>
      </c>
      <c r="D4706" s="2" t="s">
        <v>32</v>
      </c>
      <c r="E4706" s="5">
        <v>-31031</v>
      </c>
      <c r="F4706" s="3" t="s">
        <v>105</v>
      </c>
      <c r="G4706" s="3" t="s">
        <v>97</v>
      </c>
      <c r="H4706" s="2" t="s">
        <v>72</v>
      </c>
      <c r="I4706" s="2" t="s">
        <v>11696</v>
      </c>
      <c r="J4706" s="3" t="str">
        <f>HYPERLINK("https://www.boe.es/gazeta/dias/1815/01/14/pdfs/GMD-1815-6.pdf#page=3","Abrir facsímil")</f>
        <v>Abrir facsímil</v>
      </c>
      <c r="K4706" s="3" t="s">
        <v>74</v>
      </c>
    </row>
    <row r="4707" spans="1:11" ht="42" customHeight="1">
      <c r="A4707" s="2" t="s">
        <v>11697</v>
      </c>
      <c r="B4707" s="2" t="s">
        <v>11698</v>
      </c>
      <c r="C4707" s="2" t="s">
        <v>31</v>
      </c>
      <c r="D4707" s="2" t="s">
        <v>32</v>
      </c>
      <c r="E4707" s="5">
        <v>-30916</v>
      </c>
      <c r="F4707" s="3" t="s">
        <v>147</v>
      </c>
      <c r="G4707" s="3" t="s">
        <v>38</v>
      </c>
      <c r="H4707" s="2" t="s">
        <v>72</v>
      </c>
      <c r="I4707" s="2" t="s">
        <v>11699</v>
      </c>
      <c r="J4707" s="3" t="str">
        <f>HYPERLINK("https://www.boe.es/gazeta/dias/1815/05/09/pdfs/GMD-1815-56.pdf#page=8","Abrir facsímil")</f>
        <v>Abrir facsímil</v>
      </c>
      <c r="K4707" s="3" t="s">
        <v>74</v>
      </c>
    </row>
    <row r="4708" spans="1:11" ht="42" customHeight="1">
      <c r="A4708" s="2" t="s">
        <v>11700</v>
      </c>
      <c r="B4708" s="2" t="s">
        <v>11701</v>
      </c>
      <c r="C4708" s="2" t="s">
        <v>49</v>
      </c>
      <c r="D4708" s="2" t="s">
        <v>50</v>
      </c>
      <c r="E4708" s="5">
        <v>-30916</v>
      </c>
      <c r="F4708" s="3" t="s">
        <v>147</v>
      </c>
      <c r="G4708" s="3" t="s">
        <v>38</v>
      </c>
      <c r="H4708" s="2" t="s">
        <v>72</v>
      </c>
      <c r="I4708" s="2" t="s">
        <v>11702</v>
      </c>
      <c r="J4708" s="3" t="str">
        <f>HYPERLINK("https://www.boe.es/gazeta/dias/1815/05/09/pdfs/GMD-1815-56.pdf#page=8","Abrir facsímil")</f>
        <v>Abrir facsímil</v>
      </c>
      <c r="K4708" s="3" t="s">
        <v>74</v>
      </c>
    </row>
    <row r="4709" spans="1:11" ht="42" customHeight="1">
      <c r="A4709" s="2" t="s">
        <v>11703</v>
      </c>
      <c r="B4709" s="2" t="s">
        <v>11704</v>
      </c>
      <c r="C4709" s="2" t="s">
        <v>49</v>
      </c>
      <c r="D4709" s="2" t="s">
        <v>50</v>
      </c>
      <c r="E4709" s="5">
        <v>-30865</v>
      </c>
      <c r="F4709" s="3" t="s">
        <v>163</v>
      </c>
      <c r="G4709" s="3" t="s">
        <v>27</v>
      </c>
      <c r="H4709" s="2" t="s">
        <v>72</v>
      </c>
      <c r="I4709" s="2" t="s">
        <v>11705</v>
      </c>
      <c r="J4709" s="3" t="str">
        <f>HYPERLINK("https://www.boe.es/gazeta/dias/1815/06/29/pdfs/GMD-1815-78.pdf#page=6","Abrir facsímil")</f>
        <v>Abrir facsímil</v>
      </c>
      <c r="K4709" s="3" t="s">
        <v>74</v>
      </c>
    </row>
    <row r="4710" spans="1:11" ht="42" customHeight="1">
      <c r="A4710" s="2" t="s">
        <v>11706</v>
      </c>
      <c r="B4710" s="2" t="s">
        <v>11707</v>
      </c>
      <c r="C4710" s="2" t="s">
        <v>17</v>
      </c>
      <c r="D4710" s="2" t="s">
        <v>18</v>
      </c>
      <c r="E4710" s="5">
        <v>-31035</v>
      </c>
      <c r="F4710" s="3" t="s">
        <v>42</v>
      </c>
      <c r="G4710" s="3" t="s">
        <v>20</v>
      </c>
      <c r="H4710" s="2" t="s">
        <v>72</v>
      </c>
      <c r="I4710" s="2" t="s">
        <v>11708</v>
      </c>
      <c r="J4710" s="3" t="str">
        <f>HYPERLINK("https://www.boe.es/gazeta/dias/1815/01/10/pdfs/GMD-1815-4.pdf#page=4","Abrir facsímil")</f>
        <v>Abrir facsímil</v>
      </c>
      <c r="K4710" s="3" t="s">
        <v>74</v>
      </c>
    </row>
    <row r="4711" spans="1:11" ht="42" customHeight="1">
      <c r="A4711" s="2" t="s">
        <v>11709</v>
      </c>
      <c r="B4711" s="2" t="s">
        <v>11709</v>
      </c>
      <c r="C4711" s="2" t="s">
        <v>31</v>
      </c>
      <c r="D4711" s="2" t="s">
        <v>32</v>
      </c>
      <c r="E4711" s="5">
        <v>-30802</v>
      </c>
      <c r="F4711" s="3" t="s">
        <v>1393</v>
      </c>
      <c r="G4711" s="3" t="s">
        <v>377</v>
      </c>
      <c r="H4711" s="2" t="s">
        <v>72</v>
      </c>
      <c r="I4711" s="2" t="s">
        <v>11710</v>
      </c>
      <c r="J4711" s="3" t="str">
        <f>HYPERLINK("https://www.boe.es/gazeta/dias/1815/08/31/pdfs/GMD-1815-107.pdf#page=2","Abrir facsímil")</f>
        <v>Abrir facsímil</v>
      </c>
      <c r="K4711" s="3" t="s">
        <v>74</v>
      </c>
    </row>
    <row r="4712" spans="1:11" ht="42" customHeight="1">
      <c r="A4712" s="2" t="s">
        <v>11711</v>
      </c>
      <c r="B4712" s="2" t="s">
        <v>11711</v>
      </c>
      <c r="C4712" s="2" t="s">
        <v>31</v>
      </c>
      <c r="D4712" s="2" t="s">
        <v>32</v>
      </c>
      <c r="E4712" s="5">
        <v>-30825</v>
      </c>
      <c r="F4712" s="3" t="s">
        <v>669</v>
      </c>
      <c r="G4712" s="3" t="s">
        <v>20</v>
      </c>
      <c r="H4712" s="2" t="s">
        <v>72</v>
      </c>
      <c r="I4712" s="2" t="s">
        <v>11712</v>
      </c>
      <c r="J4712" s="3" t="str">
        <f>HYPERLINK("https://www.boe.es/gazeta/dias/1815/08/08/pdfs/GMD-1815-97.pdf#page=4","Abrir facsímil")</f>
        <v>Abrir facsímil</v>
      </c>
      <c r="K4712" s="3" t="s">
        <v>74</v>
      </c>
    </row>
    <row r="4713" spans="1:11" ht="42" customHeight="1">
      <c r="A4713" s="2" t="s">
        <v>11713</v>
      </c>
      <c r="B4713" s="2" t="s">
        <v>11714</v>
      </c>
      <c r="C4713" s="2" t="s">
        <v>49</v>
      </c>
      <c r="D4713" s="2" t="s">
        <v>50</v>
      </c>
      <c r="E4713" s="5">
        <v>-30720</v>
      </c>
      <c r="F4713" s="3" t="s">
        <v>373</v>
      </c>
      <c r="G4713" s="3" t="s">
        <v>88</v>
      </c>
      <c r="H4713" s="2" t="s">
        <v>72</v>
      </c>
      <c r="I4713" s="2" t="s">
        <v>11715</v>
      </c>
      <c r="J4713" s="3" t="str">
        <f>HYPERLINK("https://www.boe.es/gazeta/dias/1815/11/21/pdfs/GMD-1815-145.pdf#page=10","Abrir facsímil")</f>
        <v>Abrir facsímil</v>
      </c>
      <c r="K4713" s="3" t="s">
        <v>74</v>
      </c>
    </row>
    <row r="4714" spans="1:11" ht="42" customHeight="1">
      <c r="A4714" s="2" t="s">
        <v>11716</v>
      </c>
      <c r="B4714" s="2" t="s">
        <v>11717</v>
      </c>
      <c r="C4714" s="2" t="s">
        <v>31</v>
      </c>
      <c r="D4714" s="2" t="s">
        <v>32</v>
      </c>
      <c r="E4714" s="5">
        <v>-31035</v>
      </c>
      <c r="F4714" s="3" t="s">
        <v>42</v>
      </c>
      <c r="G4714" s="3" t="s">
        <v>3551</v>
      </c>
      <c r="H4714" s="2" t="s">
        <v>72</v>
      </c>
      <c r="I4714" s="2" t="s">
        <v>11718</v>
      </c>
      <c r="J4714" s="3" t="str">
        <f>HYPERLINK("https://www.boe.es/gazeta/dias/1815/01/10/pdfs/GMD-1815-4.pdf#page=8","Abrir facsímil")</f>
        <v>Abrir facsímil</v>
      </c>
      <c r="K4714" s="3" t="s">
        <v>74</v>
      </c>
    </row>
    <row r="4715" spans="1:11" ht="42" customHeight="1">
      <c r="A4715" s="2" t="s">
        <v>11719</v>
      </c>
      <c r="B4715" s="2" t="s">
        <v>11720</v>
      </c>
      <c r="C4715" s="2" t="s">
        <v>49</v>
      </c>
      <c r="D4715" s="2" t="s">
        <v>50</v>
      </c>
      <c r="E4715" s="5">
        <v>-30870</v>
      </c>
      <c r="F4715" s="3" t="s">
        <v>122</v>
      </c>
      <c r="G4715" s="3" t="s">
        <v>88</v>
      </c>
      <c r="H4715" s="2" t="s">
        <v>72</v>
      </c>
      <c r="I4715" s="2" t="s">
        <v>11721</v>
      </c>
      <c r="J4715" s="3" t="str">
        <f>HYPERLINK("https://www.boe.es/gazeta/dias/1815/06/24/pdfs/GMD-1815-76.pdf#page=10","Abrir facsímil")</f>
        <v>Abrir facsímil</v>
      </c>
      <c r="K4715" s="3" t="s">
        <v>74</v>
      </c>
    </row>
    <row r="4716" spans="1:11" ht="42" customHeight="1">
      <c r="A4716" s="2" t="s">
        <v>11722</v>
      </c>
      <c r="B4716" s="2" t="s">
        <v>11723</v>
      </c>
      <c r="C4716" s="2" t="s">
        <v>31</v>
      </c>
      <c r="D4716" s="2" t="s">
        <v>32</v>
      </c>
      <c r="E4716" s="5">
        <v>-30842</v>
      </c>
      <c r="F4716" s="3" t="s">
        <v>126</v>
      </c>
      <c r="G4716" s="3" t="s">
        <v>52</v>
      </c>
      <c r="H4716" s="2" t="s">
        <v>72</v>
      </c>
      <c r="I4716" s="2" t="s">
        <v>11724</v>
      </c>
      <c r="J4716" s="3" t="str">
        <f>HYPERLINK("https://www.boe.es/gazeta/dias/1815/07/22/pdfs/GMD-1815-90.pdf#page=11","Abrir facsímil")</f>
        <v>Abrir facsímil</v>
      </c>
      <c r="K4716" s="3" t="s">
        <v>74</v>
      </c>
    </row>
    <row r="4717" spans="1:11" ht="42" customHeight="1">
      <c r="A4717" s="2" t="s">
        <v>11725</v>
      </c>
      <c r="B4717" s="2" t="s">
        <v>11726</v>
      </c>
      <c r="C4717" s="2" t="s">
        <v>31</v>
      </c>
      <c r="D4717" s="2" t="s">
        <v>32</v>
      </c>
      <c r="E4717" s="5">
        <v>-30821</v>
      </c>
      <c r="F4717" s="3" t="s">
        <v>915</v>
      </c>
      <c r="G4717" s="3" t="s">
        <v>57</v>
      </c>
      <c r="H4717" s="2" t="s">
        <v>72</v>
      </c>
      <c r="I4717" s="2" t="s">
        <v>11727</v>
      </c>
      <c r="J4717" s="3" t="str">
        <f>HYPERLINK("https://www.boe.es/gazeta/dias/1815/08/12/pdfs/GMD-1815-99.pdf#page=5","Abrir facsímil")</f>
        <v>Abrir facsímil</v>
      </c>
      <c r="K4717" s="3" t="s">
        <v>74</v>
      </c>
    </row>
    <row r="4718" spans="1:11" ht="42" customHeight="1">
      <c r="A4718" s="2" t="s">
        <v>11728</v>
      </c>
      <c r="B4718" s="2" t="s">
        <v>11729</v>
      </c>
      <c r="C4718" s="2" t="s">
        <v>49</v>
      </c>
      <c r="D4718" s="2" t="s">
        <v>50</v>
      </c>
      <c r="E4718" s="5">
        <v>-30977</v>
      </c>
      <c r="F4718" s="3" t="s">
        <v>37</v>
      </c>
      <c r="G4718" s="3" t="s">
        <v>71</v>
      </c>
      <c r="H4718" s="2" t="s">
        <v>72</v>
      </c>
      <c r="I4718" s="2" t="s">
        <v>11730</v>
      </c>
      <c r="J4718" s="3" t="str">
        <f>HYPERLINK("https://www.boe.es/gazeta/dias/1815/03/09/pdfs/GMD-1815-29.pdf#page=7","Abrir facsímil")</f>
        <v>Abrir facsímil</v>
      </c>
      <c r="K4718" s="3" t="s">
        <v>74</v>
      </c>
    </row>
    <row r="4719" spans="1:11" ht="42" customHeight="1">
      <c r="A4719" s="2" t="s">
        <v>11731</v>
      </c>
      <c r="B4719" s="2" t="s">
        <v>11732</v>
      </c>
      <c r="C4719" s="2" t="s">
        <v>49</v>
      </c>
      <c r="D4719" s="2" t="s">
        <v>50</v>
      </c>
      <c r="E4719" s="5">
        <v>-30886</v>
      </c>
      <c r="F4719" s="3" t="s">
        <v>140</v>
      </c>
      <c r="G4719" s="3" t="s">
        <v>38</v>
      </c>
      <c r="H4719" s="2" t="s">
        <v>72</v>
      </c>
      <c r="I4719" s="2" t="s">
        <v>11733</v>
      </c>
      <c r="J4719" s="3" t="str">
        <f>HYPERLINK("https://www.boe.es/gazeta/dias/1815/06/08/pdfs/GMD-1815-69.pdf#page=8","Abrir facsímil")</f>
        <v>Abrir facsímil</v>
      </c>
      <c r="K4719" s="3" t="s">
        <v>74</v>
      </c>
    </row>
    <row r="4720" spans="1:11" ht="42" customHeight="1">
      <c r="A4720" s="2" t="s">
        <v>11734</v>
      </c>
      <c r="B4720" s="2" t="s">
        <v>11735</v>
      </c>
      <c r="C4720" s="2" t="s">
        <v>17</v>
      </c>
      <c r="D4720" s="2" t="s">
        <v>18</v>
      </c>
      <c r="E4720" s="5">
        <v>-30961</v>
      </c>
      <c r="F4720" s="3" t="s">
        <v>1176</v>
      </c>
      <c r="G4720" s="3" t="s">
        <v>57</v>
      </c>
      <c r="H4720" s="2" t="s">
        <v>21</v>
      </c>
      <c r="I4720" s="2" t="s">
        <v>11736</v>
      </c>
      <c r="J4720" s="3" t="str">
        <f>HYPERLINK("https://www.boe.es/gazeta/dias/1815/03/25/pdfs/GMD-1815-36.pdf#page=5","Abrir facsímil")</f>
        <v>Abrir facsímil</v>
      </c>
      <c r="K4720" s="3" t="s">
        <v>23</v>
      </c>
    </row>
    <row r="4721" spans="1:11" ht="42" customHeight="1">
      <c r="A4721" s="2" t="s">
        <v>11737</v>
      </c>
      <c r="B4721" s="2" t="s">
        <v>11738</v>
      </c>
      <c r="C4721" s="2" t="s">
        <v>31</v>
      </c>
      <c r="D4721" s="2" t="s">
        <v>32</v>
      </c>
      <c r="E4721" s="5">
        <v>-30916</v>
      </c>
      <c r="F4721" s="3" t="s">
        <v>147</v>
      </c>
      <c r="G4721" s="3" t="s">
        <v>148</v>
      </c>
      <c r="H4721" s="2" t="s">
        <v>72</v>
      </c>
      <c r="I4721" s="2" t="s">
        <v>11739</v>
      </c>
      <c r="J4721" s="3" t="str">
        <f>HYPERLINK("https://www.boe.es/gazeta/dias/1815/05/09/pdfs/GMD-1815-56.pdf#page=7","Abrir facsímil")</f>
        <v>Abrir facsímil</v>
      </c>
      <c r="K4721" s="3" t="s">
        <v>74</v>
      </c>
    </row>
    <row r="4722" spans="1:11" ht="42" customHeight="1">
      <c r="A4722" s="2" t="s">
        <v>11740</v>
      </c>
      <c r="B4722" s="2" t="s">
        <v>11741</v>
      </c>
      <c r="C4722" s="2" t="s">
        <v>31</v>
      </c>
      <c r="D4722" s="2" t="s">
        <v>32</v>
      </c>
      <c r="E4722" s="5">
        <v>-31024</v>
      </c>
      <c r="F4722" s="3" t="s">
        <v>101</v>
      </c>
      <c r="G4722" s="3" t="s">
        <v>71</v>
      </c>
      <c r="H4722" s="2" t="s">
        <v>72</v>
      </c>
      <c r="I4722" s="2" t="s">
        <v>11742</v>
      </c>
      <c r="J4722" s="3" t="str">
        <f>HYPERLINK("https://www.boe.es/gazeta/dias/1815/01/21/pdfs/GMD-1815-9.pdf#page=7","Abrir facsímil")</f>
        <v>Abrir facsímil</v>
      </c>
      <c r="K4722" s="3" t="s">
        <v>74</v>
      </c>
    </row>
    <row r="4723" spans="1:11" ht="42" customHeight="1">
      <c r="A4723" s="2" t="s">
        <v>11743</v>
      </c>
      <c r="B4723" s="2" t="s">
        <v>11744</v>
      </c>
      <c r="C4723" s="2" t="s">
        <v>31</v>
      </c>
      <c r="D4723" s="2" t="s">
        <v>32</v>
      </c>
      <c r="E4723" s="5">
        <v>-30916</v>
      </c>
      <c r="F4723" s="3" t="s">
        <v>147</v>
      </c>
      <c r="G4723" s="3" t="s">
        <v>38</v>
      </c>
      <c r="H4723" s="2" t="s">
        <v>72</v>
      </c>
      <c r="I4723" s="2" t="s">
        <v>11745</v>
      </c>
      <c r="J4723" s="3" t="str">
        <f>HYPERLINK("https://www.boe.es/gazeta/dias/1815/05/09/pdfs/GMD-1815-56.pdf#page=8","Abrir facsímil")</f>
        <v>Abrir facsímil</v>
      </c>
      <c r="K4723" s="3" t="s">
        <v>74</v>
      </c>
    </row>
    <row r="4724" spans="1:11" ht="42" customHeight="1">
      <c r="A4724" s="2" t="s">
        <v>11746</v>
      </c>
      <c r="B4724" s="2" t="s">
        <v>11747</v>
      </c>
      <c r="C4724" s="2" t="s">
        <v>195</v>
      </c>
      <c r="D4724" s="2" t="s">
        <v>50</v>
      </c>
      <c r="E4724" s="5">
        <v>-30727</v>
      </c>
      <c r="F4724" s="3" t="s">
        <v>262</v>
      </c>
      <c r="G4724" s="3" t="s">
        <v>38</v>
      </c>
      <c r="H4724" s="2" t="s">
        <v>72</v>
      </c>
      <c r="I4724" s="2" t="s">
        <v>11748</v>
      </c>
      <c r="J4724" s="3" t="str">
        <f>HYPERLINK("https://www.boe.es/gazeta/dias/1815/11/14/pdfs/GMD-1815-142.pdf#page=8","Abrir facsímil")</f>
        <v>Abrir facsímil</v>
      </c>
      <c r="K4724" s="3" t="s">
        <v>74</v>
      </c>
    </row>
    <row r="4725" spans="1:11" ht="42" customHeight="1">
      <c r="A4725" s="2" t="s">
        <v>11749</v>
      </c>
      <c r="B4725" s="2" t="s">
        <v>11750</v>
      </c>
      <c r="C4725" s="2" t="s">
        <v>49</v>
      </c>
      <c r="D4725" s="2" t="s">
        <v>50</v>
      </c>
      <c r="E4725" s="5">
        <v>-30865</v>
      </c>
      <c r="F4725" s="3" t="s">
        <v>163</v>
      </c>
      <c r="G4725" s="3" t="s">
        <v>27</v>
      </c>
      <c r="H4725" s="2" t="s">
        <v>72</v>
      </c>
      <c r="I4725" s="2" t="s">
        <v>11751</v>
      </c>
      <c r="J4725" s="3" t="str">
        <f>HYPERLINK("https://www.boe.es/gazeta/dias/1815/06/29/pdfs/GMD-1815-78.pdf#page=6","Abrir facsímil")</f>
        <v>Abrir facsímil</v>
      </c>
      <c r="K4725" s="3" t="s">
        <v>74</v>
      </c>
    </row>
    <row r="4726" spans="1:11" ht="42" customHeight="1">
      <c r="A4726" s="2" t="s">
        <v>11752</v>
      </c>
      <c r="B4726" s="2" t="s">
        <v>11753</v>
      </c>
      <c r="C4726" s="2" t="s">
        <v>49</v>
      </c>
      <c r="D4726" s="2" t="s">
        <v>50</v>
      </c>
      <c r="E4726" s="5">
        <v>-30914</v>
      </c>
      <c r="F4726" s="3" t="s">
        <v>338</v>
      </c>
      <c r="G4726" s="3" t="s">
        <v>276</v>
      </c>
      <c r="H4726" s="2" t="s">
        <v>72</v>
      </c>
      <c r="I4726" s="2" t="s">
        <v>11754</v>
      </c>
      <c r="J4726" s="3" t="str">
        <f>HYPERLINK("https://www.boe.es/gazeta/dias/1815/05/11/pdfs/GMD-1815-57.pdf#page=12","Abrir facsímil")</f>
        <v>Abrir facsímil</v>
      </c>
      <c r="K4726" s="3" t="s">
        <v>74</v>
      </c>
    </row>
    <row r="4727" spans="1:11" ht="42" customHeight="1">
      <c r="A4727" s="2" t="s">
        <v>11755</v>
      </c>
      <c r="B4727" s="2" t="s">
        <v>11756</v>
      </c>
      <c r="C4727" s="2" t="s">
        <v>49</v>
      </c>
      <c r="D4727" s="2" t="s">
        <v>50</v>
      </c>
      <c r="E4727" s="5">
        <v>-30804</v>
      </c>
      <c r="F4727" s="3" t="s">
        <v>891</v>
      </c>
      <c r="G4727" s="3" t="s">
        <v>38</v>
      </c>
      <c r="H4727" s="2" t="s">
        <v>21</v>
      </c>
      <c r="I4727" s="2" t="s">
        <v>11757</v>
      </c>
      <c r="J4727" s="3" t="str">
        <f>HYPERLINK("https://www.boe.es/gazeta/dias/1815/08/29/pdfs/GMD-1815-106.pdf#page=8","Abrir facsímil")</f>
        <v>Abrir facsímil</v>
      </c>
      <c r="K4727" s="3" t="s">
        <v>23</v>
      </c>
    </row>
    <row r="4728" spans="1:11" ht="42" customHeight="1">
      <c r="A4728" s="2" t="s">
        <v>11758</v>
      </c>
      <c r="B4728" s="2" t="s">
        <v>11759</v>
      </c>
      <c r="C4728" s="2" t="s">
        <v>31</v>
      </c>
      <c r="D4728" s="2" t="s">
        <v>32</v>
      </c>
      <c r="E4728" s="5">
        <v>-30818</v>
      </c>
      <c r="F4728" s="3" t="s">
        <v>334</v>
      </c>
      <c r="G4728" s="3" t="s">
        <v>52</v>
      </c>
      <c r="H4728" s="2" t="s">
        <v>72</v>
      </c>
      <c r="I4728" s="2" t="s">
        <v>11760</v>
      </c>
      <c r="J4728" s="3" t="str">
        <f>HYPERLINK("https://www.boe.es/gazeta/dias/1815/08/15/pdfs/GMD-1815-100.pdf#page=11","Abrir facsímil")</f>
        <v>Abrir facsímil</v>
      </c>
      <c r="K4728" s="3" t="s">
        <v>74</v>
      </c>
    </row>
    <row r="4729" spans="1:11" ht="42" customHeight="1">
      <c r="A4729" s="2" t="s">
        <v>11761</v>
      </c>
      <c r="B4729" s="2" t="s">
        <v>11762</v>
      </c>
      <c r="C4729" s="2" t="s">
        <v>17</v>
      </c>
      <c r="D4729" s="2" t="s">
        <v>18</v>
      </c>
      <c r="E4729" s="5">
        <v>-30713</v>
      </c>
      <c r="F4729" s="3" t="s">
        <v>895</v>
      </c>
      <c r="G4729" s="3" t="s">
        <v>71</v>
      </c>
      <c r="H4729" s="2" t="s">
        <v>72</v>
      </c>
      <c r="I4729" s="2" t="s">
        <v>11763</v>
      </c>
      <c r="J4729" s="3" t="str">
        <f>HYPERLINK("https://www.boe.es/gazeta/dias/1815/11/28/pdfs/GMD-1815-148.pdf#page=7","Abrir facsímil")</f>
        <v>Abrir facsímil</v>
      </c>
      <c r="K4729" s="3" t="s">
        <v>74</v>
      </c>
    </row>
    <row r="4730" spans="1:11" ht="42" customHeight="1">
      <c r="A4730" s="2" t="s">
        <v>11764</v>
      </c>
      <c r="B4730" s="2" t="s">
        <v>11765</v>
      </c>
      <c r="C4730" s="2" t="s">
        <v>31</v>
      </c>
      <c r="D4730" s="2" t="s">
        <v>32</v>
      </c>
      <c r="E4730" s="5">
        <v>-30884</v>
      </c>
      <c r="F4730" s="3" t="s">
        <v>136</v>
      </c>
      <c r="G4730" s="3" t="s">
        <v>57</v>
      </c>
      <c r="H4730" s="2" t="s">
        <v>72</v>
      </c>
      <c r="I4730" s="2" t="s">
        <v>11766</v>
      </c>
      <c r="J4730" s="3" t="str">
        <f>HYPERLINK("https://www.boe.es/gazeta/dias/1815/06/10/pdfs/GMD-1815-70.pdf#page=5","Abrir facsímil")</f>
        <v>Abrir facsímil</v>
      </c>
      <c r="K4730" s="3" t="s">
        <v>74</v>
      </c>
    </row>
    <row r="4731" spans="1:11" ht="42" customHeight="1">
      <c r="A4731" s="2" t="s">
        <v>11767</v>
      </c>
      <c r="B4731" s="2" t="s">
        <v>11768</v>
      </c>
      <c r="C4731" s="2" t="s">
        <v>17</v>
      </c>
      <c r="D4731" s="2" t="s">
        <v>18</v>
      </c>
      <c r="E4731" s="5">
        <v>-31017</v>
      </c>
      <c r="F4731" s="3" t="s">
        <v>456</v>
      </c>
      <c r="G4731" s="3" t="s">
        <v>20</v>
      </c>
      <c r="H4731" s="2" t="s">
        <v>72</v>
      </c>
      <c r="I4731" s="2" t="s">
        <v>11769</v>
      </c>
      <c r="J4731" s="3" t="str">
        <f>HYPERLINK("https://www.boe.es/gazeta/dias/1815/01/28/pdfs/GMD-1815-12.pdf#page=4","Abrir facsímil")</f>
        <v>Abrir facsímil</v>
      </c>
      <c r="K4731" s="3" t="s">
        <v>74</v>
      </c>
    </row>
    <row r="4732" spans="1:11" ht="42" customHeight="1">
      <c r="A4732" s="2" t="s">
        <v>11770</v>
      </c>
      <c r="B4732" s="2" t="s">
        <v>11771</v>
      </c>
      <c r="C4732" s="2" t="s">
        <v>49</v>
      </c>
      <c r="D4732" s="2" t="s">
        <v>50</v>
      </c>
      <c r="E4732" s="5">
        <v>-30923</v>
      </c>
      <c r="F4732" s="3" t="s">
        <v>524</v>
      </c>
      <c r="G4732" s="3" t="s">
        <v>27</v>
      </c>
      <c r="H4732" s="2" t="s">
        <v>72</v>
      </c>
      <c r="I4732" s="2" t="s">
        <v>11772</v>
      </c>
      <c r="J4732" s="3" t="str">
        <f>HYPERLINK("https://www.boe.es/gazeta/dias/1815/05/02/pdfs/GMD-1815-53.pdf#page=6","Abrir facsímil")</f>
        <v>Abrir facsímil</v>
      </c>
      <c r="K4732" s="3" t="s">
        <v>74</v>
      </c>
    </row>
    <row r="4733" spans="1:11" ht="42" customHeight="1">
      <c r="A4733" s="2" t="s">
        <v>11773</v>
      </c>
      <c r="B4733" s="2" t="s">
        <v>11774</v>
      </c>
      <c r="C4733" s="2" t="s">
        <v>31</v>
      </c>
      <c r="D4733" s="2" t="s">
        <v>32</v>
      </c>
      <c r="E4733" s="5">
        <v>-30982</v>
      </c>
      <c r="F4733" s="3" t="s">
        <v>220</v>
      </c>
      <c r="G4733" s="3" t="s">
        <v>20</v>
      </c>
      <c r="H4733" s="2" t="s">
        <v>72</v>
      </c>
      <c r="I4733" s="2" t="s">
        <v>11775</v>
      </c>
      <c r="J4733" s="3" t="str">
        <f>HYPERLINK("https://www.boe.es/gazeta/dias/1815/03/04/pdfs/GMD-1815-27.pdf#page=4","Abrir facsímil")</f>
        <v>Abrir facsímil</v>
      </c>
      <c r="K4733" s="3" t="s">
        <v>74</v>
      </c>
    </row>
    <row r="4734" spans="1:11" ht="42" customHeight="1">
      <c r="A4734" s="2" t="s">
        <v>11776</v>
      </c>
      <c r="B4734" s="2" t="s">
        <v>11777</v>
      </c>
      <c r="C4734" s="2" t="s">
        <v>49</v>
      </c>
      <c r="D4734" s="2" t="s">
        <v>50</v>
      </c>
      <c r="E4734" s="5">
        <v>-31010</v>
      </c>
      <c r="F4734" s="3" t="s">
        <v>1098</v>
      </c>
      <c r="G4734" s="3" t="s">
        <v>20</v>
      </c>
      <c r="H4734" s="2" t="s">
        <v>72</v>
      </c>
      <c r="I4734" s="2" t="s">
        <v>11778</v>
      </c>
      <c r="J4734" s="3" t="str">
        <f>HYPERLINK("https://www.boe.es/gazeta/dias/1815/02/04/pdfs/GMD-1815-15.pdf#page=4","Abrir facsímil")</f>
        <v>Abrir facsímil</v>
      </c>
      <c r="K4734" s="3" t="s">
        <v>74</v>
      </c>
    </row>
    <row r="4735" spans="1:11" ht="42" customHeight="1">
      <c r="A4735" s="2" t="s">
        <v>11779</v>
      </c>
      <c r="B4735" s="2" t="s">
        <v>11780</v>
      </c>
      <c r="C4735" s="2" t="s">
        <v>61</v>
      </c>
      <c r="D4735" s="2" t="s">
        <v>50</v>
      </c>
      <c r="E4735" s="5">
        <v>-30704</v>
      </c>
      <c r="F4735" s="3" t="s">
        <v>1276</v>
      </c>
      <c r="G4735" s="3" t="s">
        <v>38</v>
      </c>
      <c r="H4735" s="2" t="s">
        <v>72</v>
      </c>
      <c r="I4735" s="2" t="s">
        <v>11781</v>
      </c>
      <c r="J4735" s="3" t="str">
        <f>HYPERLINK("https://www.boe.es/gazeta/dias/1815/12/07/pdfs/GMD-1815-152.pdf#page=8","Abrir facsímil")</f>
        <v>Abrir facsímil</v>
      </c>
      <c r="K4735" s="3" t="s">
        <v>74</v>
      </c>
    </row>
    <row r="4736" spans="1:11" ht="42" customHeight="1">
      <c r="A4736" s="2" t="s">
        <v>11782</v>
      </c>
      <c r="B4736" s="2" t="s">
        <v>11783</v>
      </c>
      <c r="C4736" s="2" t="s">
        <v>31</v>
      </c>
      <c r="D4736" s="2" t="s">
        <v>32</v>
      </c>
      <c r="E4736" s="5">
        <v>-30699</v>
      </c>
      <c r="F4736" s="3" t="s">
        <v>810</v>
      </c>
      <c r="G4736" s="3" t="s">
        <v>38</v>
      </c>
      <c r="H4736" s="2" t="s">
        <v>72</v>
      </c>
      <c r="I4736" s="2" t="s">
        <v>11784</v>
      </c>
      <c r="J4736" s="3" t="str">
        <f>HYPERLINK("https://www.boe.es/gazeta/dias/1815/12/12/pdfs/GMD-1815-154.pdf#page=8","Abrir facsímil")</f>
        <v>Abrir facsímil</v>
      </c>
      <c r="K4736" s="3" t="s">
        <v>74</v>
      </c>
    </row>
    <row r="4737" spans="1:11" ht="42" customHeight="1">
      <c r="A4737" s="2" t="s">
        <v>11785</v>
      </c>
      <c r="B4737" s="2" t="s">
        <v>11786</v>
      </c>
      <c r="C4737" s="2" t="s">
        <v>31</v>
      </c>
      <c r="D4737" s="2" t="s">
        <v>32</v>
      </c>
      <c r="E4737" s="5">
        <v>-30989</v>
      </c>
      <c r="F4737" s="3" t="s">
        <v>2441</v>
      </c>
      <c r="G4737" s="3" t="s">
        <v>5364</v>
      </c>
      <c r="H4737" s="2" t="s">
        <v>72</v>
      </c>
      <c r="I4737" s="2" t="s">
        <v>11787</v>
      </c>
      <c r="J4737" s="3" t="str">
        <f>HYPERLINK("https://www.boe.es/gazeta/dias/1815/02/25/pdfs/GMD-1815-24.pdf#page=8","Abrir facsímil")</f>
        <v>Abrir facsímil</v>
      </c>
      <c r="K4737" s="3" t="s">
        <v>74</v>
      </c>
    </row>
    <row r="4738" spans="1:11" ht="42" customHeight="1">
      <c r="A4738" s="2" t="s">
        <v>11788</v>
      </c>
      <c r="B4738" s="2" t="s">
        <v>11789</v>
      </c>
      <c r="C4738" s="2" t="s">
        <v>195</v>
      </c>
      <c r="D4738" s="2" t="s">
        <v>50</v>
      </c>
      <c r="E4738" s="5">
        <v>-30872</v>
      </c>
      <c r="F4738" s="3" t="s">
        <v>167</v>
      </c>
      <c r="G4738" s="3" t="s">
        <v>224</v>
      </c>
      <c r="H4738" s="2" t="s">
        <v>72</v>
      </c>
      <c r="I4738" s="2" t="s">
        <v>11790</v>
      </c>
      <c r="J4738" s="3" t="str">
        <f>HYPERLINK("https://www.boe.es/gazeta/dias/1815/06/22/pdfs/GMD-1815-75.pdf#page=9","Abrir facsímil")</f>
        <v>Abrir facsímil</v>
      </c>
      <c r="K4738" s="3" t="s">
        <v>74</v>
      </c>
    </row>
    <row r="4739" spans="1:11" ht="42" customHeight="1">
      <c r="A4739" s="2" t="s">
        <v>11791</v>
      </c>
      <c r="B4739" s="2" t="s">
        <v>11792</v>
      </c>
      <c r="C4739" s="2" t="s">
        <v>49</v>
      </c>
      <c r="D4739" s="2" t="s">
        <v>50</v>
      </c>
      <c r="E4739" s="5">
        <v>-30865</v>
      </c>
      <c r="F4739" s="3" t="s">
        <v>163</v>
      </c>
      <c r="G4739" s="3" t="s">
        <v>71</v>
      </c>
      <c r="H4739" s="2" t="s">
        <v>72</v>
      </c>
      <c r="I4739" s="2" t="s">
        <v>11793</v>
      </c>
      <c r="J4739" s="3" t="str">
        <f>HYPERLINK("https://www.boe.es/gazeta/dias/1815/06/29/pdfs/GMD-1815-78.pdf#page=7","Abrir facsímil")</f>
        <v>Abrir facsímil</v>
      </c>
      <c r="K4739" s="3" t="s">
        <v>74</v>
      </c>
    </row>
    <row r="4740" spans="1:11" ht="42" customHeight="1">
      <c r="A4740" s="2" t="s">
        <v>11794</v>
      </c>
      <c r="B4740" s="2" t="s">
        <v>11795</v>
      </c>
      <c r="C4740" s="2" t="s">
        <v>31</v>
      </c>
      <c r="D4740" s="2" t="s">
        <v>32</v>
      </c>
      <c r="E4740" s="5">
        <v>-30832</v>
      </c>
      <c r="F4740" s="3" t="s">
        <v>266</v>
      </c>
      <c r="G4740" s="3" t="s">
        <v>276</v>
      </c>
      <c r="H4740" s="2" t="s">
        <v>72</v>
      </c>
      <c r="I4740" s="2" t="s">
        <v>11796</v>
      </c>
      <c r="J4740" s="3" t="str">
        <f>HYPERLINK("https://www.boe.es/gazeta/dias/1815/08/01/pdfs/GMD-1815-94.pdf#page=12","Abrir facsímil")</f>
        <v>Abrir facsímil</v>
      </c>
      <c r="K4740" s="3" t="s">
        <v>74</v>
      </c>
    </row>
    <row r="4741" spans="1:11" ht="42" customHeight="1">
      <c r="A4741" s="2" t="s">
        <v>11797</v>
      </c>
      <c r="B4741" s="2" t="s">
        <v>11798</v>
      </c>
      <c r="C4741" s="2" t="s">
        <v>49</v>
      </c>
      <c r="D4741" s="2" t="s">
        <v>50</v>
      </c>
      <c r="E4741" s="5">
        <v>-30863</v>
      </c>
      <c r="F4741" s="3" t="s">
        <v>110</v>
      </c>
      <c r="G4741" s="3" t="s">
        <v>224</v>
      </c>
      <c r="H4741" s="2" t="s">
        <v>72</v>
      </c>
      <c r="I4741" s="2" t="s">
        <v>11799</v>
      </c>
      <c r="J4741" s="3" t="str">
        <f>HYPERLINK("https://www.boe.es/gazeta/dias/1815/07/01/pdfs/GMD-1815-79.pdf#page=9","Abrir facsímil")</f>
        <v>Abrir facsímil</v>
      </c>
      <c r="K4741" s="3" t="s">
        <v>74</v>
      </c>
    </row>
    <row r="4742" spans="1:11" ht="42" customHeight="1">
      <c r="A4742" s="2" t="s">
        <v>11800</v>
      </c>
      <c r="B4742" s="2" t="s">
        <v>11800</v>
      </c>
      <c r="C4742" s="2" t="s">
        <v>81</v>
      </c>
      <c r="D4742" s="2" t="s">
        <v>50</v>
      </c>
      <c r="E4742" s="5">
        <v>-30825</v>
      </c>
      <c r="F4742" s="3" t="s">
        <v>669</v>
      </c>
      <c r="G4742" s="3" t="s">
        <v>88</v>
      </c>
      <c r="H4742" s="2" t="s">
        <v>72</v>
      </c>
      <c r="I4742" s="2" t="s">
        <v>11801</v>
      </c>
      <c r="J4742" s="3" t="str">
        <f>HYPERLINK("https://www.boe.es/gazeta/dias/1815/08/08/pdfs/GMD-1815-97.pdf#page=10","Abrir facsímil")</f>
        <v>Abrir facsímil</v>
      </c>
      <c r="K4742" s="3" t="s">
        <v>74</v>
      </c>
    </row>
    <row r="4743" spans="1:11" ht="42" customHeight="1">
      <c r="A4743" s="2" t="s">
        <v>11802</v>
      </c>
      <c r="B4743" s="2" t="s">
        <v>11803</v>
      </c>
      <c r="C4743" s="2" t="s">
        <v>195</v>
      </c>
      <c r="D4743" s="2" t="s">
        <v>50</v>
      </c>
      <c r="E4743" s="5">
        <v>-31042</v>
      </c>
      <c r="F4743" s="3" t="s">
        <v>512</v>
      </c>
      <c r="G4743" s="3" t="s">
        <v>38</v>
      </c>
      <c r="H4743" s="2" t="s">
        <v>72</v>
      </c>
      <c r="I4743" s="2" t="s">
        <v>11804</v>
      </c>
      <c r="J4743" s="3" t="str">
        <f>HYPERLINK("https://www.boe.es/gazeta/dias/1815/01/03/pdfs/GMD-1815-1.pdf#page=8","Abrir facsímil")</f>
        <v>Abrir facsímil</v>
      </c>
      <c r="K4743" s="3" t="s">
        <v>74</v>
      </c>
    </row>
    <row r="4744" spans="1:11" ht="42" customHeight="1">
      <c r="A4744" s="2" t="s">
        <v>11805</v>
      </c>
      <c r="B4744" s="2" t="s">
        <v>11805</v>
      </c>
      <c r="C4744" s="2" t="s">
        <v>31</v>
      </c>
      <c r="D4744" s="2" t="s">
        <v>32</v>
      </c>
      <c r="E4744" s="5">
        <v>-30758</v>
      </c>
      <c r="F4744" s="3" t="s">
        <v>1964</v>
      </c>
      <c r="G4744" s="3" t="s">
        <v>377</v>
      </c>
      <c r="H4744" s="2" t="s">
        <v>72</v>
      </c>
      <c r="I4744" s="2" t="s">
        <v>11806</v>
      </c>
      <c r="J4744" s="3" t="str">
        <f>HYPERLINK("https://www.boe.es/gazeta/dias/1815/10/14/pdfs/GMD-1815-129.pdf#page=2","Abrir facsímil")</f>
        <v>Abrir facsímil</v>
      </c>
      <c r="K4744" s="3" t="s">
        <v>74</v>
      </c>
    </row>
    <row r="4745" spans="1:11" ht="42" customHeight="1">
      <c r="A4745" s="2" t="s">
        <v>11807</v>
      </c>
      <c r="B4745" s="2" t="s">
        <v>11808</v>
      </c>
      <c r="C4745" s="2" t="s">
        <v>49</v>
      </c>
      <c r="D4745" s="2" t="s">
        <v>50</v>
      </c>
      <c r="E4745" s="5">
        <v>-30767</v>
      </c>
      <c r="F4745" s="3" t="s">
        <v>228</v>
      </c>
      <c r="G4745" s="3" t="s">
        <v>88</v>
      </c>
      <c r="H4745" s="2" t="s">
        <v>72</v>
      </c>
      <c r="I4745" s="2" t="s">
        <v>11809</v>
      </c>
      <c r="J4745" s="3" t="str">
        <f>HYPERLINK("https://www.boe.es/gazeta/dias/1815/10/05/pdfs/GMD-1815-125.pdf#page=10","Abrir facsímil")</f>
        <v>Abrir facsímil</v>
      </c>
      <c r="K4745" s="3" t="s">
        <v>74</v>
      </c>
    </row>
    <row r="4746" spans="1:11" ht="42" customHeight="1">
      <c r="A4746" s="2" t="s">
        <v>11810</v>
      </c>
      <c r="B4746" s="2" t="s">
        <v>11811</v>
      </c>
      <c r="C4746" s="2" t="s">
        <v>61</v>
      </c>
      <c r="D4746" s="2" t="s">
        <v>50</v>
      </c>
      <c r="E4746" s="5">
        <v>-30975</v>
      </c>
      <c r="F4746" s="3" t="s">
        <v>1194</v>
      </c>
      <c r="G4746" s="3" t="s">
        <v>38</v>
      </c>
      <c r="H4746" s="2" t="s">
        <v>21</v>
      </c>
      <c r="I4746" s="2" t="s">
        <v>11812</v>
      </c>
      <c r="J4746" s="3" t="str">
        <f>HYPERLINK("https://www.boe.es/gazeta/dias/1815/03/11/pdfs/GMD-1815-30.pdf#page=8","Abrir facsímil")</f>
        <v>Abrir facsímil</v>
      </c>
      <c r="K4746" s="3" t="s">
        <v>23</v>
      </c>
    </row>
    <row r="4747" spans="1:11" ht="42" customHeight="1">
      <c r="A4747" s="2" t="s">
        <v>11813</v>
      </c>
      <c r="B4747" s="2" t="s">
        <v>11814</v>
      </c>
      <c r="C4747" s="2" t="s">
        <v>31</v>
      </c>
      <c r="D4747" s="2" t="s">
        <v>32</v>
      </c>
      <c r="E4747" s="5">
        <v>-31028</v>
      </c>
      <c r="F4747" s="3" t="s">
        <v>517</v>
      </c>
      <c r="G4747" s="3" t="s">
        <v>27</v>
      </c>
      <c r="H4747" s="2" t="s">
        <v>21</v>
      </c>
      <c r="I4747" s="2" t="s">
        <v>11815</v>
      </c>
      <c r="J4747" s="3" t="str">
        <f>HYPERLINK("https://www.boe.es/gazeta/dias/1815/01/17/pdfs/GMD-1815-7.pdf#page=6","Abrir facsímil")</f>
        <v>Abrir facsímil</v>
      </c>
      <c r="K4747" s="3" t="s">
        <v>23</v>
      </c>
    </row>
    <row r="4748" spans="1:11" ht="42" customHeight="1">
      <c r="A4748" s="2" t="s">
        <v>11816</v>
      </c>
      <c r="B4748" s="2" t="s">
        <v>11817</v>
      </c>
      <c r="C4748" s="2" t="s">
        <v>17</v>
      </c>
      <c r="D4748" s="2" t="s">
        <v>18</v>
      </c>
      <c r="E4748" s="5">
        <v>-30697</v>
      </c>
      <c r="F4748" s="3" t="s">
        <v>381</v>
      </c>
      <c r="G4748" s="3" t="s">
        <v>5896</v>
      </c>
      <c r="H4748" s="2" t="s">
        <v>21</v>
      </c>
      <c r="I4748" s="2" t="s">
        <v>11818</v>
      </c>
      <c r="J4748" s="3" t="str">
        <f>HYPERLINK("https://www.boe.es/gazeta/dias/1815/12/14/pdfs/GMD-1815-155.pdf#page=6","Abrir facsímil")</f>
        <v>Abrir facsímil</v>
      </c>
      <c r="K4748" s="3" t="s">
        <v>23</v>
      </c>
    </row>
    <row r="4749" spans="1:11" ht="42" customHeight="1">
      <c r="A4749" s="2" t="s">
        <v>11819</v>
      </c>
      <c r="B4749" s="2" t="s">
        <v>11820</v>
      </c>
      <c r="C4749" s="2" t="s">
        <v>49</v>
      </c>
      <c r="D4749" s="2" t="s">
        <v>50</v>
      </c>
      <c r="E4749" s="5">
        <v>-30849</v>
      </c>
      <c r="F4749" s="3" t="s">
        <v>501</v>
      </c>
      <c r="G4749" s="3" t="s">
        <v>71</v>
      </c>
      <c r="H4749" s="2" t="s">
        <v>21</v>
      </c>
      <c r="I4749" s="2" t="s">
        <v>11821</v>
      </c>
      <c r="J4749" s="3" t="str">
        <f>HYPERLINK("https://www.boe.es/gazeta/dias/1815/07/15/pdfs/GMD-1815-87.pdf#page=7","Abrir facsímil")</f>
        <v>Abrir facsímil</v>
      </c>
      <c r="K4749" s="3" t="s">
        <v>23</v>
      </c>
    </row>
    <row r="4750" spans="1:11" ht="42" customHeight="1">
      <c r="A4750" s="2" t="s">
        <v>11822</v>
      </c>
      <c r="B4750" s="2" t="s">
        <v>11823</v>
      </c>
      <c r="C4750" s="2" t="s">
        <v>131</v>
      </c>
      <c r="D4750" s="2" t="s">
        <v>50</v>
      </c>
      <c r="E4750" s="5">
        <v>-30965</v>
      </c>
      <c r="F4750" s="3" t="s">
        <v>1679</v>
      </c>
      <c r="G4750" s="3" t="s">
        <v>38</v>
      </c>
      <c r="H4750" s="2" t="s">
        <v>72</v>
      </c>
      <c r="I4750" s="2" t="s">
        <v>11824</v>
      </c>
      <c r="J4750" s="3" t="str">
        <f>HYPERLINK("https://www.boe.es/gazeta/dias/1815/03/21/pdfs/GMD-1815-34.pdf#page=8","Abrir facsímil")</f>
        <v>Abrir facsímil</v>
      </c>
      <c r="K4750" s="3" t="s">
        <v>74</v>
      </c>
    </row>
    <row r="4751" spans="1:11" ht="42" customHeight="1">
      <c r="A4751" s="2" t="s">
        <v>11825</v>
      </c>
      <c r="B4751" s="2" t="s">
        <v>11826</v>
      </c>
      <c r="C4751" s="2" t="s">
        <v>31</v>
      </c>
      <c r="D4751" s="2" t="s">
        <v>32</v>
      </c>
      <c r="E4751" s="5">
        <v>-31038</v>
      </c>
      <c r="F4751" s="3" t="s">
        <v>395</v>
      </c>
      <c r="G4751" s="3" t="s">
        <v>396</v>
      </c>
      <c r="H4751" s="2" t="s">
        <v>72</v>
      </c>
      <c r="I4751" s="2" t="s">
        <v>11827</v>
      </c>
      <c r="J4751" s="3" t="str">
        <f>HYPERLINK("https://www.boe.es/gazeta/dias/1815/01/07/pdfs/GMD-1815-3.pdf#page=5","Abrir facsímil")</f>
        <v>Abrir facsímil</v>
      </c>
      <c r="K4751" s="3" t="s">
        <v>74</v>
      </c>
    </row>
    <row r="4752" spans="1:11" ht="42" customHeight="1">
      <c r="A4752" s="2" t="s">
        <v>11828</v>
      </c>
      <c r="B4752" s="2" t="s">
        <v>11829</v>
      </c>
      <c r="C4752" s="2" t="s">
        <v>897</v>
      </c>
      <c r="D4752" s="2" t="s">
        <v>50</v>
      </c>
      <c r="E4752" s="5">
        <v>-30942</v>
      </c>
      <c r="F4752" s="3" t="s">
        <v>730</v>
      </c>
      <c r="G4752" s="3" t="s">
        <v>38</v>
      </c>
      <c r="H4752" s="2" t="s">
        <v>21</v>
      </c>
      <c r="I4752" s="2" t="s">
        <v>11830</v>
      </c>
      <c r="J4752" s="3" t="str">
        <f>HYPERLINK("https://www.boe.es/gazeta/dias/1815/04/13/pdfs/GMD-1815-45.pdf#page=8","Abrir facsímil")</f>
        <v>Abrir facsímil</v>
      </c>
      <c r="K4752" s="3" t="s">
        <v>23</v>
      </c>
    </row>
    <row r="4753" spans="1:11" ht="42" customHeight="1">
      <c r="A4753" s="2" t="s">
        <v>11831</v>
      </c>
      <c r="B4753" s="2" t="s">
        <v>11832</v>
      </c>
      <c r="C4753" s="2" t="s">
        <v>49</v>
      </c>
      <c r="D4753" s="2" t="s">
        <v>50</v>
      </c>
      <c r="E4753" s="5">
        <v>-30870</v>
      </c>
      <c r="F4753" s="3" t="s">
        <v>122</v>
      </c>
      <c r="G4753" s="3" t="s">
        <v>88</v>
      </c>
      <c r="H4753" s="2" t="s">
        <v>72</v>
      </c>
      <c r="I4753" s="2" t="s">
        <v>11833</v>
      </c>
      <c r="J4753" s="3" t="str">
        <f>HYPERLINK("https://www.boe.es/gazeta/dias/1815/06/24/pdfs/GMD-1815-76.pdf#page=10","Abrir facsímil")</f>
        <v>Abrir facsímil</v>
      </c>
      <c r="K4753" s="3" t="s">
        <v>74</v>
      </c>
    </row>
    <row r="4754" spans="1:11" ht="42" customHeight="1">
      <c r="A4754" s="2" t="s">
        <v>11834</v>
      </c>
      <c r="B4754" s="2" t="s">
        <v>11834</v>
      </c>
      <c r="C4754" s="2" t="s">
        <v>31</v>
      </c>
      <c r="D4754" s="2" t="s">
        <v>179</v>
      </c>
      <c r="E4754" s="5">
        <v>-30954</v>
      </c>
      <c r="F4754" s="3" t="s">
        <v>9580</v>
      </c>
      <c r="G4754" s="3" t="s">
        <v>377</v>
      </c>
      <c r="H4754" s="2" t="s">
        <v>72</v>
      </c>
      <c r="I4754" s="2" t="s">
        <v>11835</v>
      </c>
      <c r="J4754" s="3" t="str">
        <f>HYPERLINK("https://www.boe.es/gazeta/dias/1815/04/01/pdfs/GMD-1815-40E.pdf#page=2","Abrir facsímil")</f>
        <v>Abrir facsímil</v>
      </c>
      <c r="K4754" s="3" t="s">
        <v>74</v>
      </c>
    </row>
    <row r="4755" spans="1:11" ht="42" customHeight="1">
      <c r="A4755" s="2" t="s">
        <v>11836</v>
      </c>
      <c r="B4755" s="2" t="s">
        <v>11836</v>
      </c>
      <c r="C4755" s="2" t="s">
        <v>31</v>
      </c>
      <c r="D4755" s="2" t="s">
        <v>32</v>
      </c>
      <c r="E4755" s="5">
        <v>-30867</v>
      </c>
      <c r="F4755" s="3" t="s">
        <v>3179</v>
      </c>
      <c r="G4755" s="3" t="s">
        <v>377</v>
      </c>
      <c r="H4755" s="2" t="s">
        <v>72</v>
      </c>
      <c r="I4755" s="2" t="s">
        <v>11837</v>
      </c>
      <c r="J4755" s="3" t="str">
        <f>HYPERLINK("https://www.boe.es/gazeta/dias/1815/06/27/pdfs/GMD-1815-77.pdf#page=2","Abrir facsímil")</f>
        <v>Abrir facsímil</v>
      </c>
      <c r="K4755" s="3" t="s">
        <v>74</v>
      </c>
    </row>
    <row r="4756" spans="1:11" ht="42" customHeight="1">
      <c r="A4756" s="2" t="s">
        <v>11838</v>
      </c>
      <c r="B4756" s="2" t="s">
        <v>11838</v>
      </c>
      <c r="C4756" s="2" t="s">
        <v>31</v>
      </c>
      <c r="D4756" s="2" t="s">
        <v>32</v>
      </c>
      <c r="E4756" s="5">
        <v>-30926</v>
      </c>
      <c r="F4756" s="3" t="s">
        <v>2018</v>
      </c>
      <c r="G4756" s="3" t="s">
        <v>377</v>
      </c>
      <c r="H4756" s="2" t="s">
        <v>72</v>
      </c>
      <c r="I4756" s="2" t="s">
        <v>11839</v>
      </c>
      <c r="J4756" s="3" t="str">
        <f>HYPERLINK("https://www.boe.es/gazeta/dias/1815/04/29/pdfs/GMD-1815-52.pdf#page=2","Abrir facsímil")</f>
        <v>Abrir facsímil</v>
      </c>
      <c r="K4756" s="3" t="s">
        <v>74</v>
      </c>
    </row>
    <row r="4757" spans="1:11" ht="42" customHeight="1">
      <c r="A4757" s="2" t="s">
        <v>11838</v>
      </c>
      <c r="B4757" s="2" t="s">
        <v>11838</v>
      </c>
      <c r="C4757" s="2" t="s">
        <v>31</v>
      </c>
      <c r="D4757" s="2" t="s">
        <v>32</v>
      </c>
      <c r="E4757" s="5">
        <v>-30891</v>
      </c>
      <c r="F4757" s="3" t="s">
        <v>498</v>
      </c>
      <c r="G4757" s="3" t="s">
        <v>377</v>
      </c>
      <c r="H4757" s="2" t="s">
        <v>72</v>
      </c>
      <c r="I4757" s="2" t="s">
        <v>11840</v>
      </c>
      <c r="J4757" s="3" t="str">
        <f>HYPERLINK("https://www.boe.es/gazeta/dias/1815/06/03/pdfs/GMD-1815-67.pdf#page=2","Abrir facsímil")</f>
        <v>Abrir facsímil</v>
      </c>
      <c r="K4757" s="3" t="s">
        <v>74</v>
      </c>
    </row>
    <row r="4758" spans="1:11" ht="42" customHeight="1">
      <c r="A4758" s="2" t="s">
        <v>11838</v>
      </c>
      <c r="B4758" s="2" t="s">
        <v>11838</v>
      </c>
      <c r="C4758" s="2" t="s">
        <v>31</v>
      </c>
      <c r="D4758" s="2" t="s">
        <v>32</v>
      </c>
      <c r="E4758" s="5">
        <v>-30732</v>
      </c>
      <c r="F4758" s="3" t="s">
        <v>554</v>
      </c>
      <c r="G4758" s="3" t="s">
        <v>11841</v>
      </c>
      <c r="H4758" s="2" t="s">
        <v>72</v>
      </c>
      <c r="I4758" s="2" t="s">
        <v>11842</v>
      </c>
      <c r="J4758" s="3" t="str">
        <f>HYPERLINK("https://www.boe.es/gazeta/dias/1815/11/09/pdfs/GMD-1815-140.pdf#page=3","Abrir facsímil")</f>
        <v>Abrir facsímil</v>
      </c>
      <c r="K4758" s="3" t="s">
        <v>74</v>
      </c>
    </row>
    <row r="4759" spans="1:11" ht="42" customHeight="1">
      <c r="A4759" s="2" t="s">
        <v>11843</v>
      </c>
      <c r="B4759" s="2" t="s">
        <v>11843</v>
      </c>
      <c r="C4759" s="2" t="s">
        <v>31</v>
      </c>
      <c r="D4759" s="2" t="s">
        <v>32</v>
      </c>
      <c r="E4759" s="5">
        <v>-30755</v>
      </c>
      <c r="F4759" s="3" t="s">
        <v>598</v>
      </c>
      <c r="G4759" s="3" t="s">
        <v>377</v>
      </c>
      <c r="H4759" s="2" t="s">
        <v>72</v>
      </c>
      <c r="I4759" s="2" t="s">
        <v>11844</v>
      </c>
      <c r="J4759" s="3" t="str">
        <f>HYPERLINK("https://www.boe.es/gazeta/dias/1815/10/17/pdfs/GMD-1815-130.pdf#page=2","Abrir facsímil")</f>
        <v>Abrir facsímil</v>
      </c>
      <c r="K4759" s="3" t="s">
        <v>74</v>
      </c>
    </row>
    <row r="4760" spans="1:11" ht="42" customHeight="1">
      <c r="A4760" s="2" t="s">
        <v>11845</v>
      </c>
      <c r="B4760" s="2" t="s">
        <v>11846</v>
      </c>
      <c r="C4760" s="2" t="s">
        <v>31</v>
      </c>
      <c r="D4760" s="2" t="s">
        <v>32</v>
      </c>
      <c r="E4760" s="5">
        <v>-30872</v>
      </c>
      <c r="F4760" s="3" t="s">
        <v>167</v>
      </c>
      <c r="G4760" s="3" t="s">
        <v>224</v>
      </c>
      <c r="H4760" s="2" t="s">
        <v>72</v>
      </c>
      <c r="I4760" s="2" t="s">
        <v>11847</v>
      </c>
      <c r="J4760" s="3" t="str">
        <f>HYPERLINK("https://www.boe.es/gazeta/dias/1815/06/22/pdfs/GMD-1815-75.pdf#page=9","Abrir facsímil")</f>
        <v>Abrir facsímil</v>
      </c>
      <c r="K4760" s="3" t="s">
        <v>74</v>
      </c>
    </row>
    <row r="4761" spans="1:11" ht="42" customHeight="1">
      <c r="A4761" s="2" t="s">
        <v>11848</v>
      </c>
      <c r="B4761" s="2" t="s">
        <v>11849</v>
      </c>
      <c r="C4761" s="2" t="s">
        <v>195</v>
      </c>
      <c r="D4761" s="2" t="s">
        <v>50</v>
      </c>
      <c r="E4761" s="5">
        <v>-30921</v>
      </c>
      <c r="F4761" s="3" t="s">
        <v>191</v>
      </c>
      <c r="G4761" s="3" t="s">
        <v>27</v>
      </c>
      <c r="H4761" s="2" t="s">
        <v>72</v>
      </c>
      <c r="I4761" s="2" t="s">
        <v>11850</v>
      </c>
      <c r="J4761" s="3" t="str">
        <f>HYPERLINK("https://www.boe.es/gazeta/dias/1815/05/04/pdfs/GMD-1815-54.pdf#page=6","Abrir facsímil")</f>
        <v>Abrir facsímil</v>
      </c>
      <c r="K4761" s="3" t="s">
        <v>74</v>
      </c>
    </row>
    <row r="4762" spans="1:11" ht="42" customHeight="1">
      <c r="A4762" s="2" t="s">
        <v>11851</v>
      </c>
      <c r="B4762" s="2" t="s">
        <v>11852</v>
      </c>
      <c r="C4762" s="2" t="s">
        <v>195</v>
      </c>
      <c r="D4762" s="2" t="s">
        <v>50</v>
      </c>
      <c r="E4762" s="5">
        <v>-30874</v>
      </c>
      <c r="F4762" s="3" t="s">
        <v>208</v>
      </c>
      <c r="G4762" s="3" t="s">
        <v>38</v>
      </c>
      <c r="H4762" s="2" t="s">
        <v>72</v>
      </c>
      <c r="I4762" s="2" t="s">
        <v>11853</v>
      </c>
      <c r="J4762" s="3" t="str">
        <f>HYPERLINK("https://www.boe.es/gazeta/dias/1815/06/20/pdfs/GMD-1815-74.pdf#page=8","Abrir facsímil")</f>
        <v>Abrir facsímil</v>
      </c>
      <c r="K4762" s="3" t="s">
        <v>74</v>
      </c>
    </row>
    <row r="4763" spans="1:11" ht="42" customHeight="1">
      <c r="A4763" s="2" t="s">
        <v>11854</v>
      </c>
      <c r="B4763" s="2" t="s">
        <v>11855</v>
      </c>
      <c r="C4763" s="2" t="s">
        <v>31</v>
      </c>
      <c r="D4763" s="2" t="s">
        <v>32</v>
      </c>
      <c r="E4763" s="5">
        <v>-30979</v>
      </c>
      <c r="F4763" s="3" t="s">
        <v>56</v>
      </c>
      <c r="G4763" s="3" t="s">
        <v>57</v>
      </c>
      <c r="H4763" s="2" t="s">
        <v>72</v>
      </c>
      <c r="I4763" s="2" t="s">
        <v>11856</v>
      </c>
      <c r="J4763" s="3" t="str">
        <f>HYPERLINK("https://www.boe.es/gazeta/dias/1815/03/07/pdfs/GMD-1815-28.pdf#page=5","Abrir facsímil")</f>
        <v>Abrir facsímil</v>
      </c>
      <c r="K4763" s="3" t="s">
        <v>74</v>
      </c>
    </row>
    <row r="4764" spans="1:11" ht="42" customHeight="1">
      <c r="A4764" s="2" t="s">
        <v>11857</v>
      </c>
      <c r="B4764" s="2" t="s">
        <v>11858</v>
      </c>
      <c r="C4764" s="2" t="s">
        <v>31</v>
      </c>
      <c r="D4764" s="2" t="s">
        <v>32</v>
      </c>
      <c r="E4764" s="5">
        <v>-30916</v>
      </c>
      <c r="F4764" s="3" t="s">
        <v>147</v>
      </c>
      <c r="G4764" s="3" t="s">
        <v>38</v>
      </c>
      <c r="H4764" s="2" t="s">
        <v>72</v>
      </c>
      <c r="I4764" s="2" t="s">
        <v>11859</v>
      </c>
      <c r="J4764" s="3" t="str">
        <f>HYPERLINK("https://www.boe.es/gazeta/dias/1815/05/09/pdfs/GMD-1815-56.pdf#page=8","Abrir facsímil")</f>
        <v>Abrir facsímil</v>
      </c>
      <c r="K4764" s="3" t="s">
        <v>74</v>
      </c>
    </row>
    <row r="4765" spans="1:11" ht="42" customHeight="1">
      <c r="A4765" s="2" t="s">
        <v>11860</v>
      </c>
      <c r="B4765" s="2" t="s">
        <v>11861</v>
      </c>
      <c r="C4765" s="2" t="s">
        <v>49</v>
      </c>
      <c r="D4765" s="2" t="s">
        <v>50</v>
      </c>
      <c r="E4765" s="5">
        <v>-30921</v>
      </c>
      <c r="F4765" s="3" t="s">
        <v>191</v>
      </c>
      <c r="G4765" s="3" t="s">
        <v>71</v>
      </c>
      <c r="H4765" s="2" t="s">
        <v>72</v>
      </c>
      <c r="I4765" s="2" t="s">
        <v>11862</v>
      </c>
      <c r="J4765" s="3" t="str">
        <f>HYPERLINK("https://www.boe.es/gazeta/dias/1815/05/04/pdfs/GMD-1815-54.pdf#page=7","Abrir facsímil")</f>
        <v>Abrir facsímil</v>
      </c>
      <c r="K4765" s="3" t="s">
        <v>74</v>
      </c>
    </row>
    <row r="4766" spans="1:11" ht="42" customHeight="1">
      <c r="A4766" s="2" t="s">
        <v>11863</v>
      </c>
      <c r="B4766" s="2" t="s">
        <v>11864</v>
      </c>
      <c r="C4766" s="2" t="s">
        <v>49</v>
      </c>
      <c r="D4766" s="2" t="s">
        <v>50</v>
      </c>
      <c r="E4766" s="5">
        <v>-30921</v>
      </c>
      <c r="F4766" s="3" t="s">
        <v>191</v>
      </c>
      <c r="G4766" s="3" t="s">
        <v>71</v>
      </c>
      <c r="H4766" s="2" t="s">
        <v>72</v>
      </c>
      <c r="I4766" s="2" t="s">
        <v>11865</v>
      </c>
      <c r="J4766" s="3" t="str">
        <f>HYPERLINK("https://www.boe.es/gazeta/dias/1815/05/04/pdfs/GMD-1815-54.pdf#page=7","Abrir facsímil")</f>
        <v>Abrir facsímil</v>
      </c>
      <c r="K4766" s="3" t="s">
        <v>74</v>
      </c>
    </row>
    <row r="4767" spans="1:11" ht="42" customHeight="1">
      <c r="A4767" s="2" t="s">
        <v>11866</v>
      </c>
      <c r="B4767" s="2" t="s">
        <v>11867</v>
      </c>
      <c r="C4767" s="2" t="s">
        <v>49</v>
      </c>
      <c r="D4767" s="2" t="s">
        <v>50</v>
      </c>
      <c r="E4767" s="5">
        <v>-30767</v>
      </c>
      <c r="F4767" s="3" t="s">
        <v>228</v>
      </c>
      <c r="G4767" s="3" t="s">
        <v>88</v>
      </c>
      <c r="H4767" s="2" t="s">
        <v>72</v>
      </c>
      <c r="I4767" s="2" t="s">
        <v>11868</v>
      </c>
      <c r="J4767" s="3" t="str">
        <f>HYPERLINK("https://www.boe.es/gazeta/dias/1815/10/05/pdfs/GMD-1815-125.pdf#page=10","Abrir facsímil")</f>
        <v>Abrir facsímil</v>
      </c>
      <c r="K4767" s="3" t="s">
        <v>74</v>
      </c>
    </row>
    <row r="4768" spans="1:11" ht="42" customHeight="1">
      <c r="A4768" s="2" t="s">
        <v>11869</v>
      </c>
      <c r="B4768" s="2" t="s">
        <v>11870</v>
      </c>
      <c r="C4768" s="2" t="s">
        <v>17</v>
      </c>
      <c r="D4768" s="2" t="s">
        <v>18</v>
      </c>
      <c r="E4768" s="5">
        <v>-30767</v>
      </c>
      <c r="F4768" s="3" t="s">
        <v>228</v>
      </c>
      <c r="G4768" s="3" t="s">
        <v>88</v>
      </c>
      <c r="H4768" s="2" t="s">
        <v>72</v>
      </c>
      <c r="I4768" s="2" t="s">
        <v>11871</v>
      </c>
      <c r="J4768" s="3" t="str">
        <f>HYPERLINK("https://www.boe.es/gazeta/dias/1815/10/05/pdfs/GMD-1815-125.pdf#page=10","Abrir facsímil")</f>
        <v>Abrir facsímil</v>
      </c>
      <c r="K4768" s="3" t="s">
        <v>74</v>
      </c>
    </row>
    <row r="4769" spans="1:11" ht="42" customHeight="1">
      <c r="A4769" s="2" t="s">
        <v>11872</v>
      </c>
      <c r="B4769" s="2" t="s">
        <v>11873</v>
      </c>
      <c r="C4769" s="2" t="s">
        <v>17</v>
      </c>
      <c r="D4769" s="2" t="s">
        <v>18</v>
      </c>
      <c r="E4769" s="5">
        <v>-30830</v>
      </c>
      <c r="F4769" s="3" t="s">
        <v>33</v>
      </c>
      <c r="G4769" s="3" t="s">
        <v>276</v>
      </c>
      <c r="H4769" s="2" t="s">
        <v>72</v>
      </c>
      <c r="I4769" s="2" t="s">
        <v>11874</v>
      </c>
      <c r="J4769" s="3" t="str">
        <f>HYPERLINK("https://www.boe.es/gazeta/dias/1815/08/03/pdfs/GMD-1815-95.pdf#page=12","Abrir facsímil")</f>
        <v>Abrir facsímil</v>
      </c>
      <c r="K4769" s="3" t="s">
        <v>74</v>
      </c>
    </row>
    <row r="4770" spans="1:11" ht="42" customHeight="1">
      <c r="A4770" s="2" t="s">
        <v>11875</v>
      </c>
      <c r="B4770" s="2" t="s">
        <v>11876</v>
      </c>
      <c r="C4770" s="2" t="s">
        <v>17</v>
      </c>
      <c r="D4770" s="2" t="s">
        <v>18</v>
      </c>
      <c r="E4770" s="5">
        <v>-30984</v>
      </c>
      <c r="F4770" s="3" t="s">
        <v>748</v>
      </c>
      <c r="G4770" s="3" t="s">
        <v>4039</v>
      </c>
      <c r="H4770" s="2" t="s">
        <v>72</v>
      </c>
      <c r="I4770" s="2" t="s">
        <v>11877</v>
      </c>
      <c r="J4770" s="3" t="str">
        <f>HYPERLINK("https://www.boe.es/gazeta/dias/1815/03/02/pdfs/GMD-1815-26.pdf#page=7","Abrir facsímil")</f>
        <v>Abrir facsímil</v>
      </c>
      <c r="K4770" s="3" t="s">
        <v>74</v>
      </c>
    </row>
    <row r="4771" spans="1:11" ht="42" customHeight="1">
      <c r="A4771" s="2" t="s">
        <v>11878</v>
      </c>
      <c r="B4771" s="2" t="s">
        <v>11879</v>
      </c>
      <c r="C4771" s="2" t="s">
        <v>49</v>
      </c>
      <c r="D4771" s="2" t="s">
        <v>179</v>
      </c>
      <c r="E4771" s="5">
        <v>-30954</v>
      </c>
      <c r="F4771" s="3" t="s">
        <v>9580</v>
      </c>
      <c r="G4771" s="3" t="s">
        <v>377</v>
      </c>
      <c r="H4771" s="2" t="s">
        <v>72</v>
      </c>
      <c r="I4771" s="2" t="s">
        <v>11880</v>
      </c>
      <c r="J4771" s="3" t="str">
        <f>HYPERLINK("https://www.boe.es/gazeta/dias/1815/04/01/pdfs/GMD-1815-40E.pdf#page=2","Abrir facsímil")</f>
        <v>Abrir facsímil</v>
      </c>
      <c r="K4771" s="3" t="s">
        <v>74</v>
      </c>
    </row>
    <row r="4772" spans="1:11" ht="42" customHeight="1">
      <c r="A4772" s="2" t="s">
        <v>11881</v>
      </c>
      <c r="B4772" s="2" t="s">
        <v>11882</v>
      </c>
      <c r="C4772" s="2" t="s">
        <v>31</v>
      </c>
      <c r="D4772" s="2" t="s">
        <v>32</v>
      </c>
      <c r="E4772" s="5">
        <v>-30860</v>
      </c>
      <c r="F4772" s="3" t="s">
        <v>184</v>
      </c>
      <c r="G4772" s="3" t="s">
        <v>71</v>
      </c>
      <c r="H4772" s="2" t="s">
        <v>72</v>
      </c>
      <c r="I4772" s="2" t="s">
        <v>11883</v>
      </c>
      <c r="J4772" s="3" t="str">
        <f>HYPERLINK("https://www.boe.es/gazeta/dias/1815/07/04/pdfs/GMD-1815-81.pdf#page=7","Abrir facsímil")</f>
        <v>Abrir facsímil</v>
      </c>
      <c r="K4772" s="3" t="s">
        <v>74</v>
      </c>
    </row>
    <row r="4773" spans="1:11" ht="42" customHeight="1">
      <c r="A4773" s="2" t="s">
        <v>11884</v>
      </c>
      <c r="B4773" s="2" t="s">
        <v>11885</v>
      </c>
      <c r="C4773" s="2" t="s">
        <v>31</v>
      </c>
      <c r="D4773" s="2" t="s">
        <v>32</v>
      </c>
      <c r="E4773" s="5">
        <v>-30774</v>
      </c>
      <c r="F4773" s="3" t="s">
        <v>1143</v>
      </c>
      <c r="G4773" s="3" t="s">
        <v>2847</v>
      </c>
      <c r="H4773" s="2" t="s">
        <v>72</v>
      </c>
      <c r="I4773" s="2" t="s">
        <v>11886</v>
      </c>
      <c r="J4773" s="3" t="str">
        <f>HYPERLINK("https://www.boe.es/gazeta/dias/1815/09/28/pdfs/GMD-1815-121.pdf#page=5","Abrir facsímil")</f>
        <v>Abrir facsímil</v>
      </c>
      <c r="K4773" s="3" t="s">
        <v>74</v>
      </c>
    </row>
    <row r="4774" spans="1:11" ht="42" customHeight="1">
      <c r="A4774" s="2" t="s">
        <v>11887</v>
      </c>
      <c r="B4774" s="2" t="s">
        <v>11888</v>
      </c>
      <c r="C4774" s="2" t="s">
        <v>31</v>
      </c>
      <c r="D4774" s="2" t="s">
        <v>32</v>
      </c>
      <c r="E4774" s="5">
        <v>-30774</v>
      </c>
      <c r="F4774" s="3" t="s">
        <v>1143</v>
      </c>
      <c r="G4774" s="3" t="s">
        <v>2847</v>
      </c>
      <c r="H4774" s="2" t="s">
        <v>72</v>
      </c>
      <c r="I4774" s="2" t="s">
        <v>11889</v>
      </c>
      <c r="J4774" s="3" t="str">
        <f>HYPERLINK("https://www.boe.es/gazeta/dias/1815/09/28/pdfs/GMD-1815-121.pdf#page=5","Abrir facsímil")</f>
        <v>Abrir facsímil</v>
      </c>
      <c r="K4774" s="3" t="s">
        <v>74</v>
      </c>
    </row>
    <row r="4775" spans="1:11" ht="42" customHeight="1">
      <c r="A4775" s="2" t="s">
        <v>11890</v>
      </c>
      <c r="B4775" s="2" t="s">
        <v>11891</v>
      </c>
      <c r="C4775" s="2" t="s">
        <v>195</v>
      </c>
      <c r="D4775" s="2" t="s">
        <v>50</v>
      </c>
      <c r="E4775" s="5">
        <v>-30888</v>
      </c>
      <c r="F4775" s="3" t="s">
        <v>368</v>
      </c>
      <c r="G4775" s="3" t="s">
        <v>224</v>
      </c>
      <c r="H4775" s="2" t="s">
        <v>72</v>
      </c>
      <c r="I4775" s="2" t="s">
        <v>11892</v>
      </c>
      <c r="J4775" s="3" t="str">
        <f>HYPERLINK("https://www.boe.es/gazeta/dias/1815/06/06/pdfs/GMD-1815-68.pdf#page=9","Abrir facsímil")</f>
        <v>Abrir facsímil</v>
      </c>
      <c r="K4775" s="3" t="s">
        <v>74</v>
      </c>
    </row>
    <row r="4776" spans="1:11" ht="42" customHeight="1">
      <c r="A4776" s="2" t="s">
        <v>11893</v>
      </c>
      <c r="B4776" s="2" t="s">
        <v>11894</v>
      </c>
      <c r="C4776" s="2" t="s">
        <v>31</v>
      </c>
      <c r="D4776" s="2" t="s">
        <v>32</v>
      </c>
      <c r="E4776" s="5">
        <v>-30739</v>
      </c>
      <c r="F4776" s="3" t="s">
        <v>254</v>
      </c>
      <c r="G4776" s="3" t="s">
        <v>52</v>
      </c>
      <c r="H4776" s="2" t="s">
        <v>72</v>
      </c>
      <c r="I4776" s="2" t="s">
        <v>11895</v>
      </c>
      <c r="J4776" s="3" t="str">
        <f>HYPERLINK("https://www.boe.es/gazeta/dias/1815/11/02/pdfs/GMD-1815-137.pdf#page=11","Abrir facsímil")</f>
        <v>Abrir facsímil</v>
      </c>
      <c r="K4776" s="3" t="s">
        <v>74</v>
      </c>
    </row>
    <row r="4777" spans="1:11" ht="42" customHeight="1">
      <c r="A4777" s="2" t="s">
        <v>11896</v>
      </c>
      <c r="B4777" s="2" t="s">
        <v>11897</v>
      </c>
      <c r="C4777" s="2" t="s">
        <v>31</v>
      </c>
      <c r="D4777" s="2" t="s">
        <v>32</v>
      </c>
      <c r="E4777" s="5">
        <v>-30734</v>
      </c>
      <c r="F4777" s="3" t="s">
        <v>376</v>
      </c>
      <c r="G4777" s="3" t="s">
        <v>38</v>
      </c>
      <c r="H4777" s="2" t="s">
        <v>72</v>
      </c>
      <c r="I4777" s="2" t="s">
        <v>11898</v>
      </c>
      <c r="J4777" s="3" t="str">
        <f>HYPERLINK("https://www.boe.es/gazeta/dias/1815/11/07/pdfs/GMD-1815-139.pdf#page=8","Abrir facsímil")</f>
        <v>Abrir facsímil</v>
      </c>
      <c r="K4777" s="3" t="s">
        <v>74</v>
      </c>
    </row>
    <row r="4778" spans="1:11" ht="42" customHeight="1">
      <c r="A4778" s="2" t="s">
        <v>11899</v>
      </c>
      <c r="B4778" s="2" t="s">
        <v>11900</v>
      </c>
      <c r="C4778" s="2" t="s">
        <v>195</v>
      </c>
      <c r="D4778" s="2" t="s">
        <v>50</v>
      </c>
      <c r="E4778" s="5">
        <v>-30914</v>
      </c>
      <c r="F4778" s="3" t="s">
        <v>338</v>
      </c>
      <c r="G4778" s="3" t="s">
        <v>276</v>
      </c>
      <c r="H4778" s="2" t="s">
        <v>72</v>
      </c>
      <c r="I4778" s="2" t="s">
        <v>11901</v>
      </c>
      <c r="J4778" s="3" t="str">
        <f>HYPERLINK("https://www.boe.es/gazeta/dias/1815/05/11/pdfs/GMD-1815-57.pdf#page=12","Abrir facsímil")</f>
        <v>Abrir facsímil</v>
      </c>
      <c r="K4778" s="3" t="s">
        <v>74</v>
      </c>
    </row>
    <row r="4779" spans="1:11" ht="42" customHeight="1">
      <c r="A4779" s="2" t="s">
        <v>11902</v>
      </c>
      <c r="B4779" s="2" t="s">
        <v>11903</v>
      </c>
      <c r="C4779" s="2" t="s">
        <v>49</v>
      </c>
      <c r="D4779" s="2" t="s">
        <v>50</v>
      </c>
      <c r="E4779" s="5">
        <v>-31040</v>
      </c>
      <c r="F4779" s="3" t="s">
        <v>326</v>
      </c>
      <c r="G4779" s="3" t="s">
        <v>27</v>
      </c>
      <c r="H4779" s="2" t="s">
        <v>21</v>
      </c>
      <c r="I4779" s="2" t="s">
        <v>11904</v>
      </c>
      <c r="J4779" s="3" t="str">
        <f>HYPERLINK("https://www.boe.es/gazeta/dias/1815/01/05/pdfs/GMD-1815-2.pdf#page=6","Abrir facsímil")</f>
        <v>Abrir facsímil</v>
      </c>
      <c r="K4779" s="3" t="s">
        <v>23</v>
      </c>
    </row>
    <row r="4780" spans="1:11" ht="42" customHeight="1">
      <c r="A4780" s="2" t="s">
        <v>11905</v>
      </c>
      <c r="B4780" s="2" t="s">
        <v>11906</v>
      </c>
      <c r="C4780" s="2" t="s">
        <v>49</v>
      </c>
      <c r="D4780" s="2" t="s">
        <v>50</v>
      </c>
      <c r="E4780" s="5">
        <v>-30886</v>
      </c>
      <c r="F4780" s="3" t="s">
        <v>140</v>
      </c>
      <c r="G4780" s="3" t="s">
        <v>38</v>
      </c>
      <c r="H4780" s="2" t="s">
        <v>72</v>
      </c>
      <c r="I4780" s="2" t="s">
        <v>11907</v>
      </c>
      <c r="J4780" s="3" t="str">
        <f>HYPERLINK("https://www.boe.es/gazeta/dias/1815/06/08/pdfs/GMD-1815-69.pdf#page=8","Abrir facsímil")</f>
        <v>Abrir facsímil</v>
      </c>
      <c r="K4780" s="3" t="s">
        <v>74</v>
      </c>
    </row>
    <row r="4781" spans="1:11" ht="42" customHeight="1">
      <c r="A4781" s="2" t="s">
        <v>11908</v>
      </c>
      <c r="B4781" s="2" t="s">
        <v>11909</v>
      </c>
      <c r="C4781" s="2" t="s">
        <v>17</v>
      </c>
      <c r="D4781" s="2" t="s">
        <v>18</v>
      </c>
      <c r="E4781" s="5">
        <v>-30923</v>
      </c>
      <c r="F4781" s="3" t="s">
        <v>524</v>
      </c>
      <c r="G4781" s="3" t="s">
        <v>1289</v>
      </c>
      <c r="H4781" s="2" t="s">
        <v>72</v>
      </c>
      <c r="I4781" s="2" t="s">
        <v>11910</v>
      </c>
      <c r="J4781" s="3" t="str">
        <f>HYPERLINK("https://www.boe.es/gazeta/dias/1815/05/02/pdfs/GMD-1815-53.pdf#page=11","Abrir facsímil")</f>
        <v>Abrir facsímil</v>
      </c>
      <c r="K4781" s="3" t="s">
        <v>74</v>
      </c>
    </row>
    <row r="4782" spans="1:11" ht="42" customHeight="1">
      <c r="A4782" s="2" t="s">
        <v>11911</v>
      </c>
      <c r="B4782" s="2" t="s">
        <v>11912</v>
      </c>
      <c r="C4782" s="2" t="s">
        <v>49</v>
      </c>
      <c r="D4782" s="2" t="s">
        <v>50</v>
      </c>
      <c r="E4782" s="5">
        <v>-30842</v>
      </c>
      <c r="F4782" s="3" t="s">
        <v>126</v>
      </c>
      <c r="G4782" s="3" t="s">
        <v>71</v>
      </c>
      <c r="H4782" s="2" t="s">
        <v>72</v>
      </c>
      <c r="I4782" s="2" t="s">
        <v>11913</v>
      </c>
      <c r="J4782" s="3" t="str">
        <f>HYPERLINK("https://www.boe.es/gazeta/dias/1815/07/22/pdfs/GMD-1815-90.pdf#page=7","Abrir facsímil")</f>
        <v>Abrir facsímil</v>
      </c>
      <c r="K4782" s="3" t="s">
        <v>74</v>
      </c>
    </row>
    <row r="4783" spans="1:11" ht="42" customHeight="1">
      <c r="A4783" s="2" t="s">
        <v>11914</v>
      </c>
      <c r="B4783" s="2" t="s">
        <v>11915</v>
      </c>
      <c r="C4783" s="2" t="s">
        <v>17</v>
      </c>
      <c r="D4783" s="2" t="s">
        <v>18</v>
      </c>
      <c r="E4783" s="5">
        <v>-30921</v>
      </c>
      <c r="F4783" s="3" t="s">
        <v>191</v>
      </c>
      <c r="G4783" s="3" t="s">
        <v>27</v>
      </c>
      <c r="H4783" s="2" t="s">
        <v>21</v>
      </c>
      <c r="I4783" s="2" t="s">
        <v>11916</v>
      </c>
      <c r="J4783" s="3" t="str">
        <f>HYPERLINK("https://www.boe.es/gazeta/dias/1815/05/04/pdfs/GMD-1815-54.pdf#page=6","Abrir facsímil")</f>
        <v>Abrir facsímil</v>
      </c>
      <c r="K4783" s="3" t="s">
        <v>23</v>
      </c>
    </row>
    <row r="4784" spans="1:11" ht="42" customHeight="1">
      <c r="A4784" s="2" t="s">
        <v>11917</v>
      </c>
      <c r="B4784" s="2" t="s">
        <v>11918</v>
      </c>
      <c r="C4784" s="2" t="s">
        <v>195</v>
      </c>
      <c r="D4784" s="2" t="s">
        <v>50</v>
      </c>
      <c r="E4784" s="5">
        <v>-30842</v>
      </c>
      <c r="F4784" s="3" t="s">
        <v>126</v>
      </c>
      <c r="G4784" s="3" t="s">
        <v>71</v>
      </c>
      <c r="H4784" s="2" t="s">
        <v>72</v>
      </c>
      <c r="I4784" s="2" t="s">
        <v>11919</v>
      </c>
      <c r="J4784" s="3" t="str">
        <f>HYPERLINK("https://www.boe.es/gazeta/dias/1815/07/22/pdfs/GMD-1815-90.pdf#page=7","Abrir facsímil")</f>
        <v>Abrir facsímil</v>
      </c>
      <c r="K4784" s="3" t="s">
        <v>74</v>
      </c>
    </row>
    <row r="4785" spans="1:11" ht="42" customHeight="1">
      <c r="A4785" s="2" t="s">
        <v>11917</v>
      </c>
      <c r="B4785" s="2" t="s">
        <v>11918</v>
      </c>
      <c r="C4785" s="2" t="s">
        <v>49</v>
      </c>
      <c r="D4785" s="2" t="s">
        <v>50</v>
      </c>
      <c r="E4785" s="5">
        <v>-30842</v>
      </c>
      <c r="F4785" s="3" t="s">
        <v>126</v>
      </c>
      <c r="G4785" s="3" t="s">
        <v>224</v>
      </c>
      <c r="H4785" s="2" t="s">
        <v>72</v>
      </c>
      <c r="I4785" s="2" t="s">
        <v>11920</v>
      </c>
      <c r="J4785" s="3" t="str">
        <f>HYPERLINK("https://www.boe.es/gazeta/dias/1815/07/22/pdfs/GMD-1815-90.pdf#page=9","Abrir facsímil")</f>
        <v>Abrir facsímil</v>
      </c>
      <c r="K4785" s="3" t="s">
        <v>74</v>
      </c>
    </row>
    <row r="4786" spans="1:11" ht="42" customHeight="1">
      <c r="A4786" s="2" t="s">
        <v>11921</v>
      </c>
      <c r="B4786" s="2" t="s">
        <v>11922</v>
      </c>
      <c r="C4786" s="2" t="s">
        <v>49</v>
      </c>
      <c r="D4786" s="2" t="s">
        <v>50</v>
      </c>
      <c r="E4786" s="5">
        <v>-30718</v>
      </c>
      <c r="F4786" s="3" t="s">
        <v>3115</v>
      </c>
      <c r="G4786" s="3" t="s">
        <v>38</v>
      </c>
      <c r="H4786" s="2" t="s">
        <v>72</v>
      </c>
      <c r="I4786" s="2" t="s">
        <v>11923</v>
      </c>
      <c r="J4786" s="3" t="str">
        <f>HYPERLINK("https://www.boe.es/gazeta/dias/1815/11/23/pdfs/GMD-1815-146.pdf#page=8","Abrir facsímil")</f>
        <v>Abrir facsímil</v>
      </c>
      <c r="K4786" s="3" t="s">
        <v>74</v>
      </c>
    </row>
    <row r="4787" spans="1:11" ht="42" customHeight="1">
      <c r="A4787" s="2" t="s">
        <v>11924</v>
      </c>
      <c r="B4787" s="2" t="s">
        <v>11925</v>
      </c>
      <c r="C4787" s="2" t="s">
        <v>31</v>
      </c>
      <c r="D4787" s="2" t="s">
        <v>32</v>
      </c>
      <c r="E4787" s="5">
        <v>-30916</v>
      </c>
      <c r="F4787" s="3" t="s">
        <v>147</v>
      </c>
      <c r="G4787" s="3" t="s">
        <v>148</v>
      </c>
      <c r="H4787" s="2" t="s">
        <v>72</v>
      </c>
      <c r="I4787" s="2" t="s">
        <v>11926</v>
      </c>
      <c r="J4787" s="3" t="str">
        <f>HYPERLINK("https://www.boe.es/gazeta/dias/1815/05/09/pdfs/GMD-1815-56.pdf#page=7","Abrir facsímil")</f>
        <v>Abrir facsímil</v>
      </c>
      <c r="K4787" s="3" t="s">
        <v>74</v>
      </c>
    </row>
    <row r="4788" spans="1:11" ht="42" customHeight="1">
      <c r="A4788" s="2" t="s">
        <v>11927</v>
      </c>
      <c r="B4788" s="2" t="s">
        <v>11928</v>
      </c>
      <c r="C4788" s="2" t="s">
        <v>49</v>
      </c>
      <c r="D4788" s="2" t="s">
        <v>50</v>
      </c>
      <c r="E4788" s="5">
        <v>-30937</v>
      </c>
      <c r="F4788" s="3" t="s">
        <v>322</v>
      </c>
      <c r="G4788" s="3" t="s">
        <v>3521</v>
      </c>
      <c r="H4788" s="2" t="s">
        <v>72</v>
      </c>
      <c r="I4788" s="2" t="s">
        <v>11929</v>
      </c>
      <c r="J4788" s="3" t="str">
        <f>HYPERLINK("https://www.boe.es/gazeta/dias/1815/04/18/pdfs/GMD-1815-47.pdf#page=8","Abrir facsímil")</f>
        <v>Abrir facsímil</v>
      </c>
      <c r="K4788" s="3" t="s">
        <v>74</v>
      </c>
    </row>
    <row r="4789" spans="1:11" ht="42" customHeight="1">
      <c r="A4789" s="2" t="s">
        <v>11927</v>
      </c>
      <c r="B4789" s="2" t="s">
        <v>11928</v>
      </c>
      <c r="C4789" s="2" t="s">
        <v>17</v>
      </c>
      <c r="D4789" s="2" t="s">
        <v>18</v>
      </c>
      <c r="E4789" s="5">
        <v>-30872</v>
      </c>
      <c r="F4789" s="3" t="s">
        <v>167</v>
      </c>
      <c r="G4789" s="3" t="s">
        <v>52</v>
      </c>
      <c r="H4789" s="2" t="s">
        <v>72</v>
      </c>
      <c r="I4789" s="2" t="s">
        <v>11930</v>
      </c>
      <c r="J4789" s="3" t="str">
        <f>HYPERLINK("https://www.boe.es/gazeta/dias/1815/06/22/pdfs/GMD-1815-75.pdf#page=11","Abrir facsímil")</f>
        <v>Abrir facsímil</v>
      </c>
      <c r="K4789" s="3" t="s">
        <v>74</v>
      </c>
    </row>
    <row r="4790" spans="1:11" ht="42" customHeight="1">
      <c r="A4790" s="2" t="s">
        <v>11927</v>
      </c>
      <c r="B4790" s="2" t="s">
        <v>11928</v>
      </c>
      <c r="C4790" s="2" t="s">
        <v>17</v>
      </c>
      <c r="D4790" s="2" t="s">
        <v>18</v>
      </c>
      <c r="E4790" s="5">
        <v>-30823</v>
      </c>
      <c r="F4790" s="3" t="s">
        <v>305</v>
      </c>
      <c r="G4790" s="3" t="s">
        <v>52</v>
      </c>
      <c r="H4790" s="2" t="s">
        <v>72</v>
      </c>
      <c r="I4790" s="2" t="s">
        <v>11931</v>
      </c>
      <c r="J4790" s="3" t="str">
        <f>HYPERLINK("https://www.boe.es/gazeta/dias/1815/08/10/pdfs/GMD-1815-98.pdf#page=11","Abrir facsímil")</f>
        <v>Abrir facsímil</v>
      </c>
      <c r="K4790" s="3" t="s">
        <v>74</v>
      </c>
    </row>
    <row r="4791" spans="1:11" ht="42" customHeight="1">
      <c r="A4791" s="2" t="s">
        <v>11927</v>
      </c>
      <c r="B4791" s="2" t="s">
        <v>11928</v>
      </c>
      <c r="C4791" s="2" t="s">
        <v>17</v>
      </c>
      <c r="D4791" s="2" t="s">
        <v>18</v>
      </c>
      <c r="E4791" s="5">
        <v>-30823</v>
      </c>
      <c r="F4791" s="3" t="s">
        <v>305</v>
      </c>
      <c r="G4791" s="3" t="s">
        <v>276</v>
      </c>
      <c r="H4791" s="2" t="s">
        <v>72</v>
      </c>
      <c r="I4791" s="2" t="s">
        <v>11932</v>
      </c>
      <c r="J4791" s="3" t="str">
        <f>HYPERLINK("https://www.boe.es/gazeta/dias/1815/08/10/pdfs/GMD-1815-98.pdf#page=12","Abrir facsímil")</f>
        <v>Abrir facsímil</v>
      </c>
      <c r="K4791" s="3" t="s">
        <v>74</v>
      </c>
    </row>
    <row r="4792" spans="1:11" ht="42" customHeight="1">
      <c r="A4792" s="2" t="s">
        <v>11933</v>
      </c>
      <c r="B4792" s="2" t="s">
        <v>11934</v>
      </c>
      <c r="C4792" s="2" t="s">
        <v>81</v>
      </c>
      <c r="D4792" s="2" t="s">
        <v>50</v>
      </c>
      <c r="E4792" s="5">
        <v>-30702</v>
      </c>
      <c r="F4792" s="3" t="s">
        <v>196</v>
      </c>
      <c r="G4792" s="3" t="s">
        <v>38</v>
      </c>
      <c r="H4792" s="2" t="s">
        <v>72</v>
      </c>
      <c r="I4792" s="2" t="s">
        <v>11935</v>
      </c>
      <c r="J4792" s="3" t="str">
        <f>HYPERLINK("https://www.boe.es/gazeta/dias/1815/12/09/pdfs/GMD-1815-153.pdf#page=8","Abrir facsímil")</f>
        <v>Abrir facsímil</v>
      </c>
      <c r="K4792" s="3" t="s">
        <v>74</v>
      </c>
    </row>
    <row r="4793" spans="1:11" ht="42" customHeight="1">
      <c r="A4793" s="2" t="s">
        <v>11936</v>
      </c>
      <c r="B4793" s="2" t="s">
        <v>11937</v>
      </c>
      <c r="C4793" s="2" t="s">
        <v>49</v>
      </c>
      <c r="D4793" s="2" t="s">
        <v>50</v>
      </c>
      <c r="E4793" s="5">
        <v>-30937</v>
      </c>
      <c r="F4793" s="3" t="s">
        <v>322</v>
      </c>
      <c r="G4793" s="3" t="s">
        <v>3521</v>
      </c>
      <c r="H4793" s="2" t="s">
        <v>72</v>
      </c>
      <c r="I4793" s="2" t="s">
        <v>11938</v>
      </c>
      <c r="J4793" s="3" t="str">
        <f>HYPERLINK("https://www.boe.es/gazeta/dias/1815/04/18/pdfs/GMD-1815-47.pdf#page=8","Abrir facsímil")</f>
        <v>Abrir facsímil</v>
      </c>
      <c r="K4793" s="3" t="s">
        <v>74</v>
      </c>
    </row>
    <row r="4794" spans="1:11" ht="42" customHeight="1">
      <c r="A4794" s="2" t="s">
        <v>11939</v>
      </c>
      <c r="B4794" s="2" t="s">
        <v>11940</v>
      </c>
      <c r="C4794" s="2" t="s">
        <v>31</v>
      </c>
      <c r="D4794" s="2" t="s">
        <v>32</v>
      </c>
      <c r="E4794" s="5">
        <v>-30928</v>
      </c>
      <c r="F4794" s="3" t="s">
        <v>330</v>
      </c>
      <c r="G4794" s="3" t="s">
        <v>71</v>
      </c>
      <c r="H4794" s="2" t="s">
        <v>72</v>
      </c>
      <c r="I4794" s="2" t="s">
        <v>11941</v>
      </c>
      <c r="J4794" s="3" t="str">
        <f>HYPERLINK("https://www.boe.es/gazeta/dias/1815/04/27/pdfs/GMD-1815-51.pdf#page=7","Abrir facsímil")</f>
        <v>Abrir facsímil</v>
      </c>
      <c r="K4794" s="3" t="s">
        <v>74</v>
      </c>
    </row>
    <row r="4795" spans="1:11" ht="42" customHeight="1">
      <c r="A4795" s="2" t="s">
        <v>11942</v>
      </c>
      <c r="B4795" s="2" t="s">
        <v>11943</v>
      </c>
      <c r="C4795" s="2" t="s">
        <v>17</v>
      </c>
      <c r="D4795" s="2" t="s">
        <v>18</v>
      </c>
      <c r="E4795" s="5">
        <v>-31000</v>
      </c>
      <c r="F4795" s="3" t="s">
        <v>70</v>
      </c>
      <c r="G4795" s="3" t="s">
        <v>71</v>
      </c>
      <c r="H4795" s="2" t="s">
        <v>72</v>
      </c>
      <c r="I4795" s="2" t="s">
        <v>11944</v>
      </c>
      <c r="J4795" s="3" t="str">
        <f>HYPERLINK("https://www.boe.es/gazeta/dias/1815/02/14/pdfs/GMD-1815-19.pdf#page=7","Abrir facsímil")</f>
        <v>Abrir facsímil</v>
      </c>
      <c r="K4795" s="3" t="s">
        <v>74</v>
      </c>
    </row>
    <row r="4796" spans="1:11" ht="42" customHeight="1">
      <c r="A4796" s="2" t="s">
        <v>11945</v>
      </c>
      <c r="B4796" s="2" t="s">
        <v>11946</v>
      </c>
      <c r="C4796" s="2" t="s">
        <v>49</v>
      </c>
      <c r="D4796" s="2" t="s">
        <v>50</v>
      </c>
      <c r="E4796" s="5">
        <v>-30865</v>
      </c>
      <c r="F4796" s="3" t="s">
        <v>163</v>
      </c>
      <c r="G4796" s="3" t="s">
        <v>38</v>
      </c>
      <c r="H4796" s="2" t="s">
        <v>72</v>
      </c>
      <c r="I4796" s="2" t="s">
        <v>11947</v>
      </c>
      <c r="J4796" s="3" t="str">
        <f>HYPERLINK("https://www.boe.es/gazeta/dias/1815/06/29/pdfs/GMD-1815-78.pdf#page=8","Abrir facsímil")</f>
        <v>Abrir facsímil</v>
      </c>
      <c r="K4796" s="3" t="s">
        <v>74</v>
      </c>
    </row>
    <row r="4797" spans="1:11" ht="42" customHeight="1">
      <c r="A4797" s="2" t="s">
        <v>11948</v>
      </c>
      <c r="B4797" s="2" t="s">
        <v>11949</v>
      </c>
      <c r="C4797" s="2" t="s">
        <v>31</v>
      </c>
      <c r="D4797" s="2" t="s">
        <v>32</v>
      </c>
      <c r="E4797" s="5">
        <v>-30972</v>
      </c>
      <c r="F4797" s="3" t="s">
        <v>1382</v>
      </c>
      <c r="G4797" s="3" t="s">
        <v>71</v>
      </c>
      <c r="H4797" s="2" t="s">
        <v>21</v>
      </c>
      <c r="I4797" s="2" t="s">
        <v>11950</v>
      </c>
      <c r="J4797" s="3" t="str">
        <f>HYPERLINK("https://www.boe.es/gazeta/dias/1815/03/14/pdfs/GMD-1815-31.pdf#page=7","Abrir facsímil")</f>
        <v>Abrir facsímil</v>
      </c>
      <c r="K4797" s="3" t="s">
        <v>23</v>
      </c>
    </row>
    <row r="4798" spans="1:11" ht="42" customHeight="1">
      <c r="A4798" s="2" t="s">
        <v>11951</v>
      </c>
      <c r="B4798" s="2" t="s">
        <v>11952</v>
      </c>
      <c r="C4798" s="2" t="s">
        <v>49</v>
      </c>
      <c r="D4798" s="2" t="s">
        <v>50</v>
      </c>
      <c r="E4798" s="5">
        <v>-30741</v>
      </c>
      <c r="F4798" s="3" t="s">
        <v>1000</v>
      </c>
      <c r="G4798" s="3" t="s">
        <v>7593</v>
      </c>
      <c r="H4798" s="2" t="s">
        <v>72</v>
      </c>
      <c r="I4798" s="2" t="s">
        <v>11953</v>
      </c>
      <c r="J4798" s="3" t="str">
        <f>HYPERLINK("https://www.boe.es/gazeta/dias/1815/10/31/pdfs/GMD-1815-136.pdf#page=6","Abrir facsímil")</f>
        <v>Abrir facsímil</v>
      </c>
      <c r="K4798" s="3" t="s">
        <v>74</v>
      </c>
    </row>
    <row r="4799" spans="1:11" ht="42" customHeight="1">
      <c r="A4799" s="2" t="s">
        <v>11954</v>
      </c>
      <c r="B4799" s="2" t="s">
        <v>11955</v>
      </c>
      <c r="C4799" s="2" t="s">
        <v>17</v>
      </c>
      <c r="D4799" s="2" t="s">
        <v>18</v>
      </c>
      <c r="E4799" s="5">
        <v>-30804</v>
      </c>
      <c r="F4799" s="3" t="s">
        <v>891</v>
      </c>
      <c r="G4799" s="3" t="s">
        <v>71</v>
      </c>
      <c r="H4799" s="2" t="s">
        <v>72</v>
      </c>
      <c r="I4799" s="2" t="s">
        <v>11956</v>
      </c>
      <c r="J4799" s="3" t="str">
        <f>HYPERLINK("https://www.boe.es/gazeta/dias/1815/08/29/pdfs/GMD-1815-106.pdf#page=7","Abrir facsímil")</f>
        <v>Abrir facsímil</v>
      </c>
      <c r="K4799" s="3" t="s">
        <v>74</v>
      </c>
    </row>
    <row r="4800" spans="1:11" ht="42" customHeight="1">
      <c r="A4800" s="2" t="s">
        <v>11954</v>
      </c>
      <c r="B4800" s="2" t="s">
        <v>11955</v>
      </c>
      <c r="C4800" s="2" t="s">
        <v>49</v>
      </c>
      <c r="D4800" s="2" t="s">
        <v>50</v>
      </c>
      <c r="E4800" s="5">
        <v>-30739</v>
      </c>
      <c r="F4800" s="3" t="s">
        <v>254</v>
      </c>
      <c r="G4800" s="3" t="s">
        <v>20</v>
      </c>
      <c r="H4800" s="2" t="s">
        <v>72</v>
      </c>
      <c r="I4800" s="2" t="s">
        <v>11957</v>
      </c>
      <c r="J4800" s="3" t="str">
        <f>HYPERLINK("https://www.boe.es/gazeta/dias/1815/11/02/pdfs/GMD-1815-137.pdf#page=4","Abrir facsímil")</f>
        <v>Abrir facsímil</v>
      </c>
      <c r="K4800" s="3" t="s">
        <v>74</v>
      </c>
    </row>
    <row r="4801" spans="1:11" ht="42" customHeight="1">
      <c r="A4801" s="2" t="s">
        <v>11958</v>
      </c>
      <c r="B4801" s="2" t="s">
        <v>11959</v>
      </c>
      <c r="C4801" s="2" t="s">
        <v>195</v>
      </c>
      <c r="D4801" s="2" t="s">
        <v>50</v>
      </c>
      <c r="E4801" s="5">
        <v>-30879</v>
      </c>
      <c r="F4801" s="3" t="s">
        <v>754</v>
      </c>
      <c r="G4801" s="3" t="s">
        <v>88</v>
      </c>
      <c r="H4801" s="2" t="s">
        <v>72</v>
      </c>
      <c r="I4801" s="2" t="s">
        <v>11960</v>
      </c>
      <c r="J4801" s="3" t="str">
        <f>HYPERLINK("https://www.boe.es/gazeta/dias/1815/06/15/pdfs/GMD-1815-72.pdf#page=10","Abrir facsímil")</f>
        <v>Abrir facsímil</v>
      </c>
      <c r="K4801" s="3" t="s">
        <v>74</v>
      </c>
    </row>
    <row r="4802" spans="1:11" ht="42" customHeight="1">
      <c r="A4802" s="2" t="s">
        <v>11961</v>
      </c>
      <c r="B4802" s="2" t="s">
        <v>11962</v>
      </c>
      <c r="C4802" s="2" t="s">
        <v>49</v>
      </c>
      <c r="D4802" s="2" t="s">
        <v>50</v>
      </c>
      <c r="E4802" s="5">
        <v>-31003</v>
      </c>
      <c r="F4802" s="3" t="s">
        <v>405</v>
      </c>
      <c r="G4802" s="3" t="s">
        <v>20</v>
      </c>
      <c r="H4802" s="2" t="s">
        <v>72</v>
      </c>
      <c r="I4802" s="2" t="s">
        <v>11963</v>
      </c>
      <c r="J4802" s="3" t="str">
        <f>HYPERLINK("https://www.boe.es/gazeta/dias/1815/02/11/pdfs/GMD-1815-18.pdf#page=4","Abrir facsímil")</f>
        <v>Abrir facsímil</v>
      </c>
      <c r="K4802" s="3" t="s">
        <v>74</v>
      </c>
    </row>
    <row r="4803" spans="1:11" ht="42" customHeight="1">
      <c r="A4803" s="2" t="s">
        <v>11964</v>
      </c>
      <c r="B4803" s="2" t="s">
        <v>11965</v>
      </c>
      <c r="C4803" s="2" t="s">
        <v>195</v>
      </c>
      <c r="D4803" s="2" t="s">
        <v>50</v>
      </c>
      <c r="E4803" s="5">
        <v>-31024</v>
      </c>
      <c r="F4803" s="3" t="s">
        <v>101</v>
      </c>
      <c r="G4803" s="3" t="s">
        <v>71</v>
      </c>
      <c r="H4803" s="2" t="s">
        <v>72</v>
      </c>
      <c r="I4803" s="2" t="s">
        <v>11966</v>
      </c>
      <c r="J4803" s="3" t="str">
        <f>HYPERLINK("https://www.boe.es/gazeta/dias/1815/01/21/pdfs/GMD-1815-9.pdf#page=7","Abrir facsímil")</f>
        <v>Abrir facsímil</v>
      </c>
      <c r="K4803" s="3" t="s">
        <v>74</v>
      </c>
    </row>
    <row r="4804" spans="1:11" ht="42" customHeight="1">
      <c r="A4804" s="2" t="s">
        <v>11967</v>
      </c>
      <c r="B4804" s="2" t="s">
        <v>11968</v>
      </c>
      <c r="C4804" s="2" t="s">
        <v>31</v>
      </c>
      <c r="D4804" s="2" t="s">
        <v>32</v>
      </c>
      <c r="E4804" s="5">
        <v>-31038</v>
      </c>
      <c r="F4804" s="3" t="s">
        <v>395</v>
      </c>
      <c r="G4804" s="3" t="s">
        <v>396</v>
      </c>
      <c r="H4804" s="2" t="s">
        <v>72</v>
      </c>
      <c r="I4804" s="2" t="s">
        <v>11969</v>
      </c>
      <c r="J4804" s="3" t="str">
        <f>HYPERLINK("https://www.boe.es/gazeta/dias/1815/01/07/pdfs/GMD-1815-3.pdf#page=5","Abrir facsímil")</f>
        <v>Abrir facsímil</v>
      </c>
      <c r="K4804" s="3" t="s">
        <v>74</v>
      </c>
    </row>
    <row r="4805" spans="1:11" ht="42" customHeight="1">
      <c r="A4805" s="2" t="s">
        <v>11970</v>
      </c>
      <c r="B4805" s="2" t="s">
        <v>11971</v>
      </c>
      <c r="C4805" s="2" t="s">
        <v>49</v>
      </c>
      <c r="D4805" s="2" t="s">
        <v>50</v>
      </c>
      <c r="E4805" s="5">
        <v>-30865</v>
      </c>
      <c r="F4805" s="3" t="s">
        <v>163</v>
      </c>
      <c r="G4805" s="3" t="s">
        <v>27</v>
      </c>
      <c r="H4805" s="2" t="s">
        <v>72</v>
      </c>
      <c r="I4805" s="2" t="s">
        <v>11972</v>
      </c>
      <c r="J4805" s="3" t="str">
        <f>HYPERLINK("https://www.boe.es/gazeta/dias/1815/06/29/pdfs/GMD-1815-78.pdf#page=6","Abrir facsímil")</f>
        <v>Abrir facsímil</v>
      </c>
      <c r="K4805" s="3" t="s">
        <v>74</v>
      </c>
    </row>
    <row r="4806" spans="1:11" ht="42" customHeight="1">
      <c r="A4806" s="2" t="s">
        <v>11973</v>
      </c>
      <c r="B4806" s="2" t="s">
        <v>11974</v>
      </c>
      <c r="C4806" s="2" t="s">
        <v>195</v>
      </c>
      <c r="D4806" s="2" t="s">
        <v>50</v>
      </c>
      <c r="E4806" s="5">
        <v>-30781</v>
      </c>
      <c r="F4806" s="3" t="s">
        <v>685</v>
      </c>
      <c r="G4806" s="3" t="s">
        <v>27</v>
      </c>
      <c r="H4806" s="2" t="s">
        <v>72</v>
      </c>
      <c r="I4806" s="2" t="s">
        <v>11975</v>
      </c>
      <c r="J4806" s="3" t="str">
        <f>HYPERLINK("https://www.boe.es/gazeta/dias/1815/09/21/pdfs/GMD-1815-117.pdf#page=6","Abrir facsímil")</f>
        <v>Abrir facsímil</v>
      </c>
      <c r="K4806" s="3" t="s">
        <v>74</v>
      </c>
    </row>
    <row r="4807" spans="1:11" ht="42" customHeight="1">
      <c r="A4807" s="2" t="s">
        <v>11976</v>
      </c>
      <c r="B4807" s="2" t="s">
        <v>11977</v>
      </c>
      <c r="C4807" s="2" t="s">
        <v>49</v>
      </c>
      <c r="D4807" s="2" t="s">
        <v>50</v>
      </c>
      <c r="E4807" s="5">
        <v>-30893</v>
      </c>
      <c r="F4807" s="3" t="s">
        <v>132</v>
      </c>
      <c r="G4807" s="3" t="s">
        <v>38</v>
      </c>
      <c r="H4807" s="2" t="s">
        <v>72</v>
      </c>
      <c r="I4807" s="2" t="s">
        <v>11978</v>
      </c>
      <c r="J4807" s="3" t="str">
        <f>HYPERLINK("https://www.boe.es/gazeta/dias/1815/06/01/pdfs/GMD-1815-66.pdf#page=8","Abrir facsímil")</f>
        <v>Abrir facsímil</v>
      </c>
      <c r="K4807" s="3" t="s">
        <v>74</v>
      </c>
    </row>
    <row r="4808" spans="1:11" ht="42" customHeight="1">
      <c r="A4808" s="2" t="s">
        <v>11979</v>
      </c>
      <c r="B4808" s="2" t="s">
        <v>11980</v>
      </c>
      <c r="C4808" s="2" t="s">
        <v>49</v>
      </c>
      <c r="D4808" s="2" t="s">
        <v>50</v>
      </c>
      <c r="E4808" s="5">
        <v>-30720</v>
      </c>
      <c r="F4808" s="3" t="s">
        <v>373</v>
      </c>
      <c r="G4808" s="3" t="s">
        <v>224</v>
      </c>
      <c r="H4808" s="2" t="s">
        <v>72</v>
      </c>
      <c r="I4808" s="2" t="s">
        <v>11981</v>
      </c>
      <c r="J4808" s="3" t="str">
        <f>HYPERLINK("https://www.boe.es/gazeta/dias/1815/11/21/pdfs/GMD-1815-145.pdf#page=9","Abrir facsímil")</f>
        <v>Abrir facsímil</v>
      </c>
      <c r="K4808" s="3" t="s">
        <v>74</v>
      </c>
    </row>
    <row r="4809" spans="1:11" ht="42" customHeight="1">
      <c r="A4809" s="2" t="s">
        <v>11982</v>
      </c>
      <c r="B4809" s="2" t="s">
        <v>11982</v>
      </c>
      <c r="C4809" s="2" t="s">
        <v>31</v>
      </c>
      <c r="D4809" s="2" t="s">
        <v>32</v>
      </c>
      <c r="E4809" s="5">
        <v>-31021</v>
      </c>
      <c r="F4809" s="3" t="s">
        <v>481</v>
      </c>
      <c r="G4809" s="3" t="s">
        <v>410</v>
      </c>
      <c r="H4809" s="2" t="s">
        <v>72</v>
      </c>
      <c r="I4809" s="2" t="s">
        <v>11983</v>
      </c>
      <c r="J4809" s="3" t="str">
        <f>HYPERLINK("https://www.boe.es/gazeta/dias/1815/01/24/pdfs/GMD-1815-10.pdf#page=1","Abrir facsímil")</f>
        <v>Abrir facsímil</v>
      </c>
      <c r="K4809" s="3" t="s">
        <v>74</v>
      </c>
    </row>
    <row r="4810" spans="1:11" ht="42" customHeight="1">
      <c r="A4810" s="2" t="s">
        <v>11984</v>
      </c>
      <c r="B4810" s="2" t="s">
        <v>11985</v>
      </c>
      <c r="C4810" s="2" t="s">
        <v>31</v>
      </c>
      <c r="D4810" s="2" t="s">
        <v>32</v>
      </c>
      <c r="E4810" s="5">
        <v>-30865</v>
      </c>
      <c r="F4810" s="3" t="s">
        <v>163</v>
      </c>
      <c r="G4810" s="3" t="s">
        <v>57</v>
      </c>
      <c r="H4810" s="2" t="s">
        <v>21</v>
      </c>
      <c r="I4810" s="2" t="s">
        <v>11986</v>
      </c>
      <c r="J4810" s="3" t="str">
        <f>HYPERLINK("https://www.boe.es/gazeta/dias/1815/06/29/pdfs/GMD-1815-78.pdf#page=5","Abrir facsímil")</f>
        <v>Abrir facsímil</v>
      </c>
      <c r="K4810" s="3" t="s">
        <v>23</v>
      </c>
    </row>
    <row r="4811" spans="1:11" ht="42" customHeight="1">
      <c r="A4811" s="2" t="s">
        <v>11984</v>
      </c>
      <c r="B4811" s="2" t="s">
        <v>11985</v>
      </c>
      <c r="C4811" s="2" t="s">
        <v>49</v>
      </c>
      <c r="D4811" s="2" t="s">
        <v>50</v>
      </c>
      <c r="E4811" s="5">
        <v>-30713</v>
      </c>
      <c r="F4811" s="3" t="s">
        <v>895</v>
      </c>
      <c r="G4811" s="3" t="s">
        <v>20</v>
      </c>
      <c r="H4811" s="2" t="s">
        <v>21</v>
      </c>
      <c r="I4811" s="2" t="s">
        <v>11987</v>
      </c>
      <c r="J4811" s="3" t="str">
        <f>HYPERLINK("https://www.boe.es/gazeta/dias/1815/11/28/pdfs/GMD-1815-148.pdf#page=4","Abrir facsímil")</f>
        <v>Abrir facsímil</v>
      </c>
      <c r="K4811" s="3" t="s">
        <v>23</v>
      </c>
    </row>
    <row r="4812" spans="1:11" ht="42" customHeight="1">
      <c r="A4812" s="2" t="s">
        <v>11988</v>
      </c>
      <c r="B4812" s="2" t="s">
        <v>11989</v>
      </c>
      <c r="C4812" s="2" t="s">
        <v>31</v>
      </c>
      <c r="D4812" s="2" t="s">
        <v>32</v>
      </c>
      <c r="E4812" s="5">
        <v>-30907</v>
      </c>
      <c r="F4812" s="3" t="s">
        <v>301</v>
      </c>
      <c r="G4812" s="3" t="s">
        <v>71</v>
      </c>
      <c r="H4812" s="2" t="s">
        <v>72</v>
      </c>
      <c r="I4812" s="2" t="s">
        <v>11990</v>
      </c>
      <c r="J4812" s="3" t="str">
        <f>HYPERLINK("https://www.boe.es/gazeta/dias/1815/05/18/pdfs/GMD-1815-60.pdf#page=7","Abrir facsímil")</f>
        <v>Abrir facsímil</v>
      </c>
      <c r="K4812" s="3" t="s">
        <v>74</v>
      </c>
    </row>
    <row r="4813" spans="1:11" ht="42" customHeight="1">
      <c r="A4813" s="2" t="s">
        <v>11991</v>
      </c>
      <c r="B4813" s="2" t="s">
        <v>11992</v>
      </c>
      <c r="C4813" s="2" t="s">
        <v>49</v>
      </c>
      <c r="D4813" s="2" t="s">
        <v>50</v>
      </c>
      <c r="E4813" s="5">
        <v>-30727</v>
      </c>
      <c r="F4813" s="3" t="s">
        <v>262</v>
      </c>
      <c r="G4813" s="3" t="s">
        <v>20</v>
      </c>
      <c r="H4813" s="2" t="s">
        <v>21</v>
      </c>
      <c r="I4813" s="2" t="s">
        <v>11993</v>
      </c>
      <c r="J4813" s="3" t="str">
        <f>HYPERLINK("https://www.boe.es/gazeta/dias/1815/11/14/pdfs/GMD-1815-142.pdf#page=4","Abrir facsímil")</f>
        <v>Abrir facsímil</v>
      </c>
      <c r="K4813" s="3" t="s">
        <v>23</v>
      </c>
    </row>
    <row r="4814" spans="1:11" ht="42" customHeight="1">
      <c r="A4814" s="2" t="s">
        <v>11994</v>
      </c>
      <c r="B4814" s="2" t="s">
        <v>11995</v>
      </c>
      <c r="C4814" s="2" t="s">
        <v>31</v>
      </c>
      <c r="D4814" s="2" t="s">
        <v>32</v>
      </c>
      <c r="E4814" s="5">
        <v>-30865</v>
      </c>
      <c r="F4814" s="3" t="s">
        <v>163</v>
      </c>
      <c r="G4814" s="3" t="s">
        <v>27</v>
      </c>
      <c r="H4814" s="2" t="s">
        <v>72</v>
      </c>
      <c r="I4814" s="2" t="s">
        <v>11996</v>
      </c>
      <c r="J4814" s="3" t="str">
        <f>HYPERLINK("https://www.boe.es/gazeta/dias/1815/06/29/pdfs/GMD-1815-78.pdf#page=6","Abrir facsímil")</f>
        <v>Abrir facsímil</v>
      </c>
      <c r="K4814" s="3" t="s">
        <v>74</v>
      </c>
    </row>
    <row r="4815" spans="1:11" ht="42" customHeight="1">
      <c r="A4815" s="2" t="s">
        <v>11997</v>
      </c>
      <c r="B4815" s="2" t="s">
        <v>11998</v>
      </c>
      <c r="C4815" s="2" t="s">
        <v>49</v>
      </c>
      <c r="D4815" s="2" t="s">
        <v>50</v>
      </c>
      <c r="E4815" s="5">
        <v>-30865</v>
      </c>
      <c r="F4815" s="3" t="s">
        <v>163</v>
      </c>
      <c r="G4815" s="3" t="s">
        <v>27</v>
      </c>
      <c r="H4815" s="2" t="s">
        <v>72</v>
      </c>
      <c r="I4815" s="2" t="s">
        <v>11999</v>
      </c>
      <c r="J4815" s="3" t="str">
        <f>HYPERLINK("https://www.boe.es/gazeta/dias/1815/06/29/pdfs/GMD-1815-78.pdf#page=6","Abrir facsímil")</f>
        <v>Abrir facsímil</v>
      </c>
      <c r="K4815" s="3" t="s">
        <v>74</v>
      </c>
    </row>
    <row r="4816" spans="1:11" ht="42" customHeight="1">
      <c r="A4816" s="2" t="s">
        <v>12000</v>
      </c>
      <c r="B4816" s="2" t="s">
        <v>12001</v>
      </c>
      <c r="C4816" s="2" t="s">
        <v>31</v>
      </c>
      <c r="D4816" s="2" t="s">
        <v>32</v>
      </c>
      <c r="E4816" s="5">
        <v>-30891</v>
      </c>
      <c r="F4816" s="3" t="s">
        <v>498</v>
      </c>
      <c r="G4816" s="3" t="s">
        <v>57</v>
      </c>
      <c r="H4816" s="2" t="s">
        <v>72</v>
      </c>
      <c r="I4816" s="2" t="s">
        <v>12002</v>
      </c>
      <c r="J4816" s="3" t="str">
        <f>HYPERLINK("https://www.boe.es/gazeta/dias/1815/06/03/pdfs/GMD-1815-67.pdf#page=5","Abrir facsímil")</f>
        <v>Abrir facsímil</v>
      </c>
      <c r="K4816" s="3" t="s">
        <v>74</v>
      </c>
    </row>
    <row r="4817" spans="1:11" ht="42" customHeight="1">
      <c r="A4817" s="2" t="s">
        <v>12003</v>
      </c>
      <c r="B4817" s="2" t="s">
        <v>12003</v>
      </c>
      <c r="C4817" s="2" t="s">
        <v>31</v>
      </c>
      <c r="D4817" s="2" t="s">
        <v>32</v>
      </c>
      <c r="E4817" s="5">
        <v>-30963</v>
      </c>
      <c r="F4817" s="3" t="s">
        <v>879</v>
      </c>
      <c r="G4817" s="3" t="s">
        <v>71</v>
      </c>
      <c r="H4817" s="2" t="s">
        <v>72</v>
      </c>
      <c r="I4817" s="2" t="s">
        <v>12004</v>
      </c>
      <c r="J4817" s="3" t="str">
        <f>HYPERLINK("https://www.boe.es/gazeta/dias/1815/03/23/pdfs/GMD-1815-35.pdf#page=7","Abrir facsímil")</f>
        <v>Abrir facsímil</v>
      </c>
      <c r="K4817" s="3" t="s">
        <v>74</v>
      </c>
    </row>
    <row r="4818" spans="1:11" ht="42" customHeight="1">
      <c r="A4818" s="2" t="s">
        <v>12005</v>
      </c>
      <c r="B4818" s="2" t="s">
        <v>12006</v>
      </c>
      <c r="C4818" s="2" t="s">
        <v>17</v>
      </c>
      <c r="D4818" s="2" t="s">
        <v>18</v>
      </c>
      <c r="E4818" s="5">
        <v>-30891</v>
      </c>
      <c r="F4818" s="3" t="s">
        <v>498</v>
      </c>
      <c r="G4818" s="3" t="s">
        <v>71</v>
      </c>
      <c r="H4818" s="2" t="s">
        <v>72</v>
      </c>
      <c r="I4818" s="2" t="s">
        <v>12007</v>
      </c>
      <c r="J4818" s="3" t="str">
        <f>HYPERLINK("https://www.boe.es/gazeta/dias/1815/06/03/pdfs/GMD-1815-67.pdf#page=7","Abrir facsímil")</f>
        <v>Abrir facsímil</v>
      </c>
      <c r="K4818" s="3" t="s">
        <v>74</v>
      </c>
    </row>
    <row r="4819" spans="1:11" ht="42" customHeight="1">
      <c r="A4819" s="2" t="s">
        <v>12008</v>
      </c>
      <c r="B4819" s="2" t="s">
        <v>12009</v>
      </c>
      <c r="C4819" s="2" t="s">
        <v>49</v>
      </c>
      <c r="D4819" s="2" t="s">
        <v>50</v>
      </c>
      <c r="E4819" s="5">
        <v>-30893</v>
      </c>
      <c r="F4819" s="3" t="s">
        <v>132</v>
      </c>
      <c r="G4819" s="3" t="s">
        <v>71</v>
      </c>
      <c r="H4819" s="2" t="s">
        <v>21</v>
      </c>
      <c r="I4819" s="2" t="s">
        <v>12010</v>
      </c>
      <c r="J4819" s="3" t="str">
        <f>HYPERLINK("https://www.boe.es/gazeta/dias/1815/06/01/pdfs/GMD-1815-66.pdf#page=7","Abrir facsímil")</f>
        <v>Abrir facsímil</v>
      </c>
      <c r="K4819" s="3" t="s">
        <v>23</v>
      </c>
    </row>
    <row r="4820" spans="1:11" ht="42" customHeight="1">
      <c r="A4820" s="2" t="s">
        <v>12011</v>
      </c>
      <c r="B4820" s="2" t="s">
        <v>12012</v>
      </c>
      <c r="C4820" s="2" t="s">
        <v>49</v>
      </c>
      <c r="D4820" s="2" t="s">
        <v>50</v>
      </c>
      <c r="E4820" s="5">
        <v>-30818</v>
      </c>
      <c r="F4820" s="3" t="s">
        <v>334</v>
      </c>
      <c r="G4820" s="3" t="s">
        <v>71</v>
      </c>
      <c r="H4820" s="2" t="s">
        <v>72</v>
      </c>
      <c r="I4820" s="2" t="s">
        <v>12013</v>
      </c>
      <c r="J4820" s="3" t="str">
        <f>HYPERLINK("https://www.boe.es/gazeta/dias/1815/08/15/pdfs/GMD-1815-100.pdf#page=7","Abrir facsímil")</f>
        <v>Abrir facsímil</v>
      </c>
      <c r="K4820" s="3" t="s">
        <v>74</v>
      </c>
    </row>
    <row r="4821" spans="1:11" ht="42" customHeight="1">
      <c r="A4821" s="2" t="s">
        <v>12014</v>
      </c>
      <c r="B4821" s="2" t="s">
        <v>12015</v>
      </c>
      <c r="C4821" s="2" t="s">
        <v>195</v>
      </c>
      <c r="D4821" s="2" t="s">
        <v>50</v>
      </c>
      <c r="E4821" s="5">
        <v>-31000</v>
      </c>
      <c r="F4821" s="3" t="s">
        <v>70</v>
      </c>
      <c r="G4821" s="3" t="s">
        <v>847</v>
      </c>
      <c r="H4821" s="2" t="s">
        <v>72</v>
      </c>
      <c r="I4821" s="2" t="s">
        <v>12016</v>
      </c>
      <c r="J4821" s="3" t="str">
        <f>HYPERLINK("https://www.boe.es/gazeta/dias/1815/02/14/pdfs/GMD-1815-19.pdf#page=6","Abrir facsímil")</f>
        <v>Abrir facsímil</v>
      </c>
      <c r="K4821" s="3" t="s">
        <v>74</v>
      </c>
    </row>
    <row r="4822" spans="1:11" ht="42" customHeight="1">
      <c r="A4822" s="2" t="s">
        <v>12017</v>
      </c>
      <c r="B4822" s="2" t="s">
        <v>12018</v>
      </c>
      <c r="C4822" s="2" t="s">
        <v>49</v>
      </c>
      <c r="D4822" s="2" t="s">
        <v>50</v>
      </c>
      <c r="E4822" s="5">
        <v>-30818</v>
      </c>
      <c r="F4822" s="3" t="s">
        <v>334</v>
      </c>
      <c r="G4822" s="3" t="s">
        <v>224</v>
      </c>
      <c r="H4822" s="2" t="s">
        <v>72</v>
      </c>
      <c r="I4822" s="2" t="s">
        <v>12019</v>
      </c>
      <c r="J4822" s="3" t="str">
        <f>HYPERLINK("https://www.boe.es/gazeta/dias/1815/08/15/pdfs/GMD-1815-100.pdf#page=9","Abrir facsímil")</f>
        <v>Abrir facsímil</v>
      </c>
      <c r="K4822" s="3" t="s">
        <v>74</v>
      </c>
    </row>
    <row r="4823" spans="1:11" ht="42" customHeight="1">
      <c r="A4823" s="2" t="s">
        <v>12020</v>
      </c>
      <c r="B4823" s="2" t="s">
        <v>12021</v>
      </c>
      <c r="C4823" s="2" t="s">
        <v>31</v>
      </c>
      <c r="D4823" s="2" t="s">
        <v>32</v>
      </c>
      <c r="E4823" s="5">
        <v>-30685</v>
      </c>
      <c r="F4823" s="3" t="s">
        <v>1453</v>
      </c>
      <c r="G4823" s="3" t="s">
        <v>3587</v>
      </c>
      <c r="H4823" s="2" t="s">
        <v>72</v>
      </c>
      <c r="I4823" s="2" t="s">
        <v>12022</v>
      </c>
      <c r="J4823" s="3" t="str">
        <f>HYPERLINK("https://www.boe.es/gazeta/dias/1815/12/26/pdfs/GMD-1815-160.pdf#page=6","Abrir facsímil")</f>
        <v>Abrir facsímil</v>
      </c>
      <c r="K4823" s="3" t="s">
        <v>74</v>
      </c>
    </row>
    <row r="4824" spans="1:11" ht="42" customHeight="1">
      <c r="A4824" s="2" t="s">
        <v>12023</v>
      </c>
      <c r="B4824" s="2" t="s">
        <v>12024</v>
      </c>
      <c r="C4824" s="2" t="s">
        <v>17</v>
      </c>
      <c r="D4824" s="2" t="s">
        <v>18</v>
      </c>
      <c r="E4824" s="5">
        <v>-30968</v>
      </c>
      <c r="F4824" s="3" t="s">
        <v>2695</v>
      </c>
      <c r="G4824" s="3" t="s">
        <v>52</v>
      </c>
      <c r="H4824" s="2" t="s">
        <v>72</v>
      </c>
      <c r="I4824" s="2" t="s">
        <v>12025</v>
      </c>
      <c r="J4824" s="3" t="str">
        <f>HYPERLINK("https://www.boe.es/gazeta/dias/1815/03/18/pdfs/GMD-1815-33.pdf#page=11","Abrir facsímil")</f>
        <v>Abrir facsímil</v>
      </c>
      <c r="K4824" s="3" t="s">
        <v>74</v>
      </c>
    </row>
    <row r="4825" spans="1:11" ht="42" customHeight="1">
      <c r="A4825" s="2" t="s">
        <v>12026</v>
      </c>
      <c r="B4825" s="2" t="s">
        <v>12027</v>
      </c>
      <c r="C4825" s="2" t="s">
        <v>17</v>
      </c>
      <c r="D4825" s="2" t="s">
        <v>18</v>
      </c>
      <c r="E4825" s="5">
        <v>-30935</v>
      </c>
      <c r="F4825" s="3" t="s">
        <v>519</v>
      </c>
      <c r="G4825" s="3" t="s">
        <v>57</v>
      </c>
      <c r="H4825" s="2" t="s">
        <v>72</v>
      </c>
      <c r="I4825" s="2" t="s">
        <v>12028</v>
      </c>
      <c r="J4825" s="3" t="str">
        <f>HYPERLINK("https://www.boe.es/gazeta/dias/1815/04/20/pdfs/GMD-1815-48.pdf#page=5","Abrir facsímil")</f>
        <v>Abrir facsímil</v>
      </c>
      <c r="K4825" s="3" t="s">
        <v>74</v>
      </c>
    </row>
    <row r="4826" spans="1:11" ht="42" customHeight="1">
      <c r="A4826" s="2" t="s">
        <v>12029</v>
      </c>
      <c r="B4826" s="2" t="s">
        <v>12030</v>
      </c>
      <c r="C4826" s="2" t="s">
        <v>195</v>
      </c>
      <c r="D4826" s="2" t="s">
        <v>50</v>
      </c>
      <c r="E4826" s="5">
        <v>-30872</v>
      </c>
      <c r="F4826" s="3" t="s">
        <v>167</v>
      </c>
      <c r="G4826" s="3" t="s">
        <v>224</v>
      </c>
      <c r="H4826" s="2" t="s">
        <v>72</v>
      </c>
      <c r="I4826" s="2" t="s">
        <v>12031</v>
      </c>
      <c r="J4826" s="3" t="str">
        <f>HYPERLINK("https://www.boe.es/gazeta/dias/1815/06/22/pdfs/GMD-1815-75.pdf#page=9","Abrir facsímil")</f>
        <v>Abrir facsímil</v>
      </c>
      <c r="K4826" s="3" t="s">
        <v>74</v>
      </c>
    </row>
    <row r="4827" spans="1:11" ht="42" customHeight="1">
      <c r="A4827" s="2" t="s">
        <v>12032</v>
      </c>
      <c r="B4827" s="2" t="s">
        <v>12033</v>
      </c>
      <c r="C4827" s="2" t="s">
        <v>195</v>
      </c>
      <c r="D4827" s="2" t="s">
        <v>50</v>
      </c>
      <c r="E4827" s="5">
        <v>-30949</v>
      </c>
      <c r="F4827" s="3" t="s">
        <v>420</v>
      </c>
      <c r="G4827" s="3" t="s">
        <v>27</v>
      </c>
      <c r="H4827" s="2" t="s">
        <v>72</v>
      </c>
      <c r="I4827" s="2" t="s">
        <v>12034</v>
      </c>
      <c r="J4827" s="3" t="str">
        <f>HYPERLINK("https://www.boe.es/gazeta/dias/1815/04/06/pdfs/GMD-1815-42.pdf#page=6","Abrir facsímil")</f>
        <v>Abrir facsímil</v>
      </c>
      <c r="K4827" s="3" t="s">
        <v>74</v>
      </c>
    </row>
    <row r="4828" spans="1:11" ht="42" customHeight="1">
      <c r="A4828" s="2" t="s">
        <v>12035</v>
      </c>
      <c r="B4828" s="2" t="s">
        <v>12036</v>
      </c>
      <c r="C4828" s="2" t="s">
        <v>49</v>
      </c>
      <c r="D4828" s="2" t="s">
        <v>50</v>
      </c>
      <c r="E4828" s="5">
        <v>-30842</v>
      </c>
      <c r="F4828" s="3" t="s">
        <v>126</v>
      </c>
      <c r="G4828" s="3" t="s">
        <v>38</v>
      </c>
      <c r="H4828" s="2" t="s">
        <v>72</v>
      </c>
      <c r="I4828" s="2" t="s">
        <v>12037</v>
      </c>
      <c r="J4828" s="3" t="str">
        <f>HYPERLINK("https://www.boe.es/gazeta/dias/1815/07/22/pdfs/GMD-1815-90.pdf#page=8","Abrir facsímil")</f>
        <v>Abrir facsímil</v>
      </c>
      <c r="K4828" s="3" t="s">
        <v>74</v>
      </c>
    </row>
    <row r="4829" spans="1:11" ht="42" customHeight="1">
      <c r="A4829" s="2" t="s">
        <v>12038</v>
      </c>
      <c r="B4829" s="2" t="s">
        <v>12039</v>
      </c>
      <c r="C4829" s="2" t="s">
        <v>17</v>
      </c>
      <c r="D4829" s="2" t="s">
        <v>18</v>
      </c>
      <c r="E4829" s="5">
        <v>-30944</v>
      </c>
      <c r="F4829" s="3" t="s">
        <v>412</v>
      </c>
      <c r="G4829" s="3" t="s">
        <v>27</v>
      </c>
      <c r="H4829" s="2" t="s">
        <v>72</v>
      </c>
      <c r="I4829" s="2" t="s">
        <v>12040</v>
      </c>
      <c r="J4829" s="3" t="str">
        <f>HYPERLINK("https://www.boe.es/gazeta/dias/1815/04/11/pdfs/GMD-1815-44.pdf#page=6","Abrir facsímil")</f>
        <v>Abrir facsímil</v>
      </c>
      <c r="K4829" s="3" t="s">
        <v>74</v>
      </c>
    </row>
    <row r="4830" spans="1:11" ht="42" customHeight="1">
      <c r="A4830" s="2" t="s">
        <v>12041</v>
      </c>
      <c r="B4830" s="2" t="s">
        <v>12042</v>
      </c>
      <c r="C4830" s="2" t="s">
        <v>17</v>
      </c>
      <c r="D4830" s="2" t="s">
        <v>18</v>
      </c>
      <c r="E4830" s="5">
        <v>-30905</v>
      </c>
      <c r="F4830" s="3" t="s">
        <v>901</v>
      </c>
      <c r="G4830" s="3" t="s">
        <v>71</v>
      </c>
      <c r="H4830" s="2" t="s">
        <v>72</v>
      </c>
      <c r="I4830" s="2" t="s">
        <v>12043</v>
      </c>
      <c r="J4830" s="3" t="str">
        <f>HYPERLINK("https://www.boe.es/gazeta/dias/1815/05/20/pdfs/GMD-1815-61.pdf#page=7","Abrir facsímil")</f>
        <v>Abrir facsímil</v>
      </c>
      <c r="K4830" s="3" t="s">
        <v>74</v>
      </c>
    </row>
    <row r="4831" spans="1:11" ht="42" customHeight="1">
      <c r="A4831" s="2" t="s">
        <v>12044</v>
      </c>
      <c r="B4831" s="2" t="s">
        <v>12045</v>
      </c>
      <c r="C4831" s="2" t="s">
        <v>49</v>
      </c>
      <c r="D4831" s="2" t="s">
        <v>50</v>
      </c>
      <c r="E4831" s="5">
        <v>-30870</v>
      </c>
      <c r="F4831" s="3" t="s">
        <v>122</v>
      </c>
      <c r="G4831" s="3" t="s">
        <v>52</v>
      </c>
      <c r="H4831" s="2" t="s">
        <v>72</v>
      </c>
      <c r="I4831" s="2" t="s">
        <v>12046</v>
      </c>
      <c r="J4831" s="3" t="str">
        <f>HYPERLINK("https://www.boe.es/gazeta/dias/1815/06/24/pdfs/GMD-1815-76.pdf#page=11","Abrir facsímil")</f>
        <v>Abrir facsímil</v>
      </c>
      <c r="K4831" s="3" t="s">
        <v>74</v>
      </c>
    </row>
    <row r="4832" spans="1:11" ht="42" customHeight="1">
      <c r="A4832" s="2" t="s">
        <v>12047</v>
      </c>
      <c r="B4832" s="2" t="s">
        <v>12048</v>
      </c>
      <c r="C4832" s="2" t="s">
        <v>31</v>
      </c>
      <c r="D4832" s="2" t="s">
        <v>32</v>
      </c>
      <c r="E4832" s="5">
        <v>-30907</v>
      </c>
      <c r="F4832" s="3" t="s">
        <v>301</v>
      </c>
      <c r="G4832" s="3" t="s">
        <v>71</v>
      </c>
      <c r="H4832" s="2" t="s">
        <v>21</v>
      </c>
      <c r="I4832" s="2" t="s">
        <v>12049</v>
      </c>
      <c r="J4832" s="3" t="str">
        <f>HYPERLINK("https://www.boe.es/gazeta/dias/1815/05/18/pdfs/GMD-1815-60.pdf#page=7","Abrir facsímil")</f>
        <v>Abrir facsímil</v>
      </c>
      <c r="K4832" s="3" t="s">
        <v>23</v>
      </c>
    </row>
    <row r="4833" spans="1:11" ht="42" customHeight="1">
      <c r="A4833" s="2" t="s">
        <v>12050</v>
      </c>
      <c r="B4833" s="2" t="s">
        <v>12051</v>
      </c>
      <c r="C4833" s="2" t="s">
        <v>81</v>
      </c>
      <c r="D4833" s="2" t="s">
        <v>50</v>
      </c>
      <c r="E4833" s="5">
        <v>-30851</v>
      </c>
      <c r="F4833" s="3" t="s">
        <v>442</v>
      </c>
      <c r="G4833" s="3" t="s">
        <v>71</v>
      </c>
      <c r="H4833" s="2" t="s">
        <v>72</v>
      </c>
      <c r="I4833" s="2" t="s">
        <v>12052</v>
      </c>
      <c r="J4833" s="3" t="str">
        <f>HYPERLINK("https://www.boe.es/gazeta/dias/1815/07/13/pdfs/GMD-1815-86.pdf#page=7","Abrir facsímil")</f>
        <v>Abrir facsímil</v>
      </c>
      <c r="K4833" s="3" t="s">
        <v>74</v>
      </c>
    </row>
    <row r="4834" spans="1:11" ht="42" customHeight="1">
      <c r="A4834" s="2" t="s">
        <v>12053</v>
      </c>
      <c r="B4834" s="2" t="s">
        <v>12054</v>
      </c>
      <c r="C4834" s="2" t="s">
        <v>17</v>
      </c>
      <c r="D4834" s="2" t="s">
        <v>18</v>
      </c>
      <c r="E4834" s="5">
        <v>-30874</v>
      </c>
      <c r="F4834" s="3" t="s">
        <v>208</v>
      </c>
      <c r="G4834" s="3" t="s">
        <v>71</v>
      </c>
      <c r="H4834" s="2" t="s">
        <v>72</v>
      </c>
      <c r="I4834" s="2" t="s">
        <v>12055</v>
      </c>
      <c r="J4834" s="3" t="str">
        <f>HYPERLINK("https://www.boe.es/gazeta/dias/1815/06/20/pdfs/GMD-1815-74.pdf#page=7","Abrir facsímil")</f>
        <v>Abrir facsímil</v>
      </c>
      <c r="K4834" s="3" t="s">
        <v>74</v>
      </c>
    </row>
    <row r="4835" spans="1:11" ht="42" customHeight="1">
      <c r="A4835" s="2" t="s">
        <v>12056</v>
      </c>
      <c r="B4835" s="2" t="s">
        <v>12057</v>
      </c>
      <c r="C4835" s="2" t="s">
        <v>49</v>
      </c>
      <c r="D4835" s="2" t="s">
        <v>50</v>
      </c>
      <c r="E4835" s="5">
        <v>-30863</v>
      </c>
      <c r="F4835" s="3" t="s">
        <v>110</v>
      </c>
      <c r="G4835" s="3" t="s">
        <v>224</v>
      </c>
      <c r="H4835" s="2" t="s">
        <v>72</v>
      </c>
      <c r="I4835" s="2" t="s">
        <v>12058</v>
      </c>
      <c r="J4835" s="3" t="str">
        <f>HYPERLINK("https://www.boe.es/gazeta/dias/1815/07/01/pdfs/GMD-1815-79.pdf#page=9","Abrir facsímil")</f>
        <v>Abrir facsímil</v>
      </c>
      <c r="K4835" s="3" t="s">
        <v>74</v>
      </c>
    </row>
    <row r="4836" spans="1:11" ht="42" customHeight="1">
      <c r="A4836" s="2" t="s">
        <v>12059</v>
      </c>
      <c r="B4836" s="2" t="s">
        <v>12060</v>
      </c>
      <c r="C4836" s="2" t="s">
        <v>31</v>
      </c>
      <c r="D4836" s="2" t="s">
        <v>32</v>
      </c>
      <c r="E4836" s="5">
        <v>-30958</v>
      </c>
      <c r="F4836" s="3" t="s">
        <v>297</v>
      </c>
      <c r="G4836" s="3" t="s">
        <v>57</v>
      </c>
      <c r="H4836" s="2" t="s">
        <v>72</v>
      </c>
      <c r="I4836" s="2" t="s">
        <v>12061</v>
      </c>
      <c r="J4836" s="3" t="str">
        <f>HYPERLINK("https://www.boe.es/gazeta/dias/1815/03/28/pdfs/GMD-1815-37.pdf#page=5","Abrir facsímil")</f>
        <v>Abrir facsímil</v>
      </c>
      <c r="K4836" s="3" t="s">
        <v>74</v>
      </c>
    </row>
    <row r="4837" spans="1:11" ht="42" customHeight="1">
      <c r="A4837" s="2" t="s">
        <v>12062</v>
      </c>
      <c r="B4837" s="2" t="s">
        <v>12063</v>
      </c>
      <c r="C4837" s="2" t="s">
        <v>49</v>
      </c>
      <c r="D4837" s="2" t="s">
        <v>50</v>
      </c>
      <c r="E4837" s="5">
        <v>-30996</v>
      </c>
      <c r="F4837" s="3" t="s">
        <v>289</v>
      </c>
      <c r="G4837" s="3" t="s">
        <v>27</v>
      </c>
      <c r="H4837" s="2" t="s">
        <v>21</v>
      </c>
      <c r="I4837" s="2" t="s">
        <v>12064</v>
      </c>
      <c r="J4837" s="3" t="str">
        <f>HYPERLINK("https://www.boe.es/gazeta/dias/1815/02/18/pdfs/GMD-1815-21.pdf#page=6","Abrir facsímil")</f>
        <v>Abrir facsímil</v>
      </c>
      <c r="K4837" s="3" t="s">
        <v>23</v>
      </c>
    </row>
    <row r="4838" spans="1:11" ht="42" customHeight="1">
      <c r="A4838" s="2" t="s">
        <v>12065</v>
      </c>
      <c r="B4838" s="2" t="s">
        <v>12066</v>
      </c>
      <c r="C4838" s="2" t="s">
        <v>31</v>
      </c>
      <c r="D4838" s="2" t="s">
        <v>32</v>
      </c>
      <c r="E4838" s="5">
        <v>-30921</v>
      </c>
      <c r="F4838" s="3" t="s">
        <v>191</v>
      </c>
      <c r="G4838" s="3" t="s">
        <v>71</v>
      </c>
      <c r="H4838" s="2" t="s">
        <v>72</v>
      </c>
      <c r="I4838" s="2" t="s">
        <v>12067</v>
      </c>
      <c r="J4838" s="3" t="str">
        <f>HYPERLINK("https://www.boe.es/gazeta/dias/1815/05/04/pdfs/GMD-1815-54.pdf#page=7","Abrir facsímil")</f>
        <v>Abrir facsímil</v>
      </c>
      <c r="K4838" s="3" t="s">
        <v>74</v>
      </c>
    </row>
    <row r="4839" spans="1:11" ht="42" customHeight="1">
      <c r="A4839" s="2" t="s">
        <v>12068</v>
      </c>
      <c r="B4839" s="2" t="s">
        <v>12069</v>
      </c>
      <c r="C4839" s="2" t="s">
        <v>31</v>
      </c>
      <c r="D4839" s="2" t="s">
        <v>32</v>
      </c>
      <c r="E4839" s="5">
        <v>-30737</v>
      </c>
      <c r="F4839" s="3" t="s">
        <v>1932</v>
      </c>
      <c r="G4839" s="3" t="s">
        <v>71</v>
      </c>
      <c r="H4839" s="2" t="s">
        <v>72</v>
      </c>
      <c r="I4839" s="2" t="s">
        <v>12070</v>
      </c>
      <c r="J4839" s="3" t="str">
        <f>HYPERLINK("https://www.boe.es/gazeta/dias/1815/11/04/pdfs/GMD-1815-138.pdf#page=7","Abrir facsímil")</f>
        <v>Abrir facsímil</v>
      </c>
      <c r="K4839" s="3" t="s">
        <v>74</v>
      </c>
    </row>
    <row r="4840" spans="1:11" ht="42" customHeight="1">
      <c r="A4840" s="2" t="s">
        <v>12071</v>
      </c>
      <c r="B4840" s="2" t="s">
        <v>12072</v>
      </c>
      <c r="C4840" s="2" t="s">
        <v>195</v>
      </c>
      <c r="D4840" s="2" t="s">
        <v>50</v>
      </c>
      <c r="E4840" s="5">
        <v>-30970</v>
      </c>
      <c r="F4840" s="3" t="s">
        <v>436</v>
      </c>
      <c r="G4840" s="3" t="s">
        <v>71</v>
      </c>
      <c r="H4840" s="2" t="s">
        <v>72</v>
      </c>
      <c r="I4840" s="2" t="s">
        <v>12073</v>
      </c>
      <c r="J4840" s="3" t="str">
        <f>HYPERLINK("https://www.boe.es/gazeta/dias/1815/03/16/pdfs/GMD-1815-32.pdf#page=7","Abrir facsímil")</f>
        <v>Abrir facsímil</v>
      </c>
      <c r="K4840" s="3" t="s">
        <v>74</v>
      </c>
    </row>
    <row r="4841" spans="1:11" ht="42" customHeight="1">
      <c r="A4841" s="2" t="s">
        <v>12071</v>
      </c>
      <c r="B4841" s="2" t="s">
        <v>12072</v>
      </c>
      <c r="C4841" s="2" t="s">
        <v>31</v>
      </c>
      <c r="D4841" s="2" t="s">
        <v>32</v>
      </c>
      <c r="E4841" s="5">
        <v>-30912</v>
      </c>
      <c r="F4841" s="3" t="s">
        <v>579</v>
      </c>
      <c r="G4841" s="3" t="s">
        <v>38</v>
      </c>
      <c r="H4841" s="2" t="s">
        <v>72</v>
      </c>
      <c r="I4841" s="2" t="s">
        <v>12074</v>
      </c>
      <c r="J4841" s="3" t="str">
        <f>HYPERLINK("https://www.boe.es/gazeta/dias/1815/05/13/pdfs/GMD-1815-58.pdf#page=8","Abrir facsímil")</f>
        <v>Abrir facsímil</v>
      </c>
      <c r="K4841" s="3" t="s">
        <v>74</v>
      </c>
    </row>
    <row r="4842" spans="1:11" ht="42" customHeight="1">
      <c r="A4842" s="2" t="s">
        <v>12075</v>
      </c>
      <c r="B4842" s="2" t="s">
        <v>12076</v>
      </c>
      <c r="C4842" s="2" t="s">
        <v>31</v>
      </c>
      <c r="D4842" s="2" t="s">
        <v>32</v>
      </c>
      <c r="E4842" s="5">
        <v>-30916</v>
      </c>
      <c r="F4842" s="3" t="s">
        <v>147</v>
      </c>
      <c r="G4842" s="3" t="s">
        <v>38</v>
      </c>
      <c r="H4842" s="2" t="s">
        <v>72</v>
      </c>
      <c r="I4842" s="2" t="s">
        <v>12077</v>
      </c>
      <c r="J4842" s="3" t="str">
        <f>HYPERLINK("https://www.boe.es/gazeta/dias/1815/05/09/pdfs/GMD-1815-56.pdf#page=8","Abrir facsímil")</f>
        <v>Abrir facsímil</v>
      </c>
      <c r="K4842" s="3" t="s">
        <v>74</v>
      </c>
    </row>
    <row r="4843" spans="1:11" ht="42" customHeight="1">
      <c r="A4843" s="2" t="s">
        <v>12075</v>
      </c>
      <c r="B4843" s="2" t="s">
        <v>12076</v>
      </c>
      <c r="C4843" s="2" t="s">
        <v>49</v>
      </c>
      <c r="D4843" s="2" t="s">
        <v>50</v>
      </c>
      <c r="E4843" s="5">
        <v>-30865</v>
      </c>
      <c r="F4843" s="3" t="s">
        <v>163</v>
      </c>
      <c r="G4843" s="3" t="s">
        <v>71</v>
      </c>
      <c r="H4843" s="2" t="s">
        <v>72</v>
      </c>
      <c r="I4843" s="2" t="s">
        <v>12078</v>
      </c>
      <c r="J4843" s="3" t="str">
        <f>HYPERLINK("https://www.boe.es/gazeta/dias/1815/06/29/pdfs/GMD-1815-78.pdf#page=7","Abrir facsímil")</f>
        <v>Abrir facsímil</v>
      </c>
      <c r="K4843" s="3" t="s">
        <v>74</v>
      </c>
    </row>
    <row r="4844" spans="1:11" ht="42" customHeight="1">
      <c r="A4844" s="2" t="s">
        <v>12079</v>
      </c>
      <c r="B4844" s="2" t="s">
        <v>12080</v>
      </c>
      <c r="C4844" s="2" t="s">
        <v>49</v>
      </c>
      <c r="D4844" s="2" t="s">
        <v>50</v>
      </c>
      <c r="E4844" s="5">
        <v>-30732</v>
      </c>
      <c r="F4844" s="3" t="s">
        <v>554</v>
      </c>
      <c r="G4844" s="3" t="s">
        <v>71</v>
      </c>
      <c r="H4844" s="2" t="s">
        <v>72</v>
      </c>
      <c r="I4844" s="2" t="s">
        <v>12081</v>
      </c>
      <c r="J4844" s="3" t="str">
        <f>HYPERLINK("https://www.boe.es/gazeta/dias/1815/11/09/pdfs/GMD-1815-140.pdf#page=7","Abrir facsímil")</f>
        <v>Abrir facsímil</v>
      </c>
      <c r="K4844" s="3" t="s">
        <v>74</v>
      </c>
    </row>
    <row r="4845" spans="1:11" ht="42" customHeight="1">
      <c r="A4845" s="2" t="s">
        <v>12082</v>
      </c>
      <c r="B4845" s="2" t="s">
        <v>12083</v>
      </c>
      <c r="C4845" s="2" t="s">
        <v>195</v>
      </c>
      <c r="D4845" s="2" t="s">
        <v>50</v>
      </c>
      <c r="E4845" s="5">
        <v>-30872</v>
      </c>
      <c r="F4845" s="3" t="s">
        <v>167</v>
      </c>
      <c r="G4845" s="3" t="s">
        <v>224</v>
      </c>
      <c r="H4845" s="2" t="s">
        <v>21</v>
      </c>
      <c r="I4845" s="2" t="s">
        <v>12084</v>
      </c>
      <c r="J4845" s="3" t="str">
        <f>HYPERLINK("https://www.boe.es/gazeta/dias/1815/06/22/pdfs/GMD-1815-75.pdf#page=9","Abrir facsímil")</f>
        <v>Abrir facsímil</v>
      </c>
      <c r="K4845" s="3" t="s">
        <v>23</v>
      </c>
    </row>
    <row r="4846" spans="1:11" ht="42" customHeight="1">
      <c r="A4846" s="2" t="s">
        <v>12085</v>
      </c>
      <c r="B4846" s="2" t="s">
        <v>12086</v>
      </c>
      <c r="C4846" s="2" t="s">
        <v>49</v>
      </c>
      <c r="D4846" s="2" t="s">
        <v>50</v>
      </c>
      <c r="E4846" s="5">
        <v>-30863</v>
      </c>
      <c r="F4846" s="3" t="s">
        <v>110</v>
      </c>
      <c r="G4846" s="3" t="s">
        <v>224</v>
      </c>
      <c r="H4846" s="2" t="s">
        <v>72</v>
      </c>
      <c r="I4846" s="2" t="s">
        <v>12087</v>
      </c>
      <c r="J4846" s="3" t="str">
        <f>HYPERLINK("https://www.boe.es/gazeta/dias/1815/07/01/pdfs/GMD-1815-79.pdf#page=9","Abrir facsímil")</f>
        <v>Abrir facsímil</v>
      </c>
      <c r="K4846" s="3" t="s">
        <v>74</v>
      </c>
    </row>
    <row r="4847" spans="1:11" ht="42" customHeight="1">
      <c r="A4847" s="2" t="s">
        <v>12088</v>
      </c>
      <c r="B4847" s="2" t="s">
        <v>12089</v>
      </c>
      <c r="C4847" s="2" t="s">
        <v>31</v>
      </c>
      <c r="D4847" s="2" t="s">
        <v>32</v>
      </c>
      <c r="E4847" s="5">
        <v>-30753</v>
      </c>
      <c r="F4847" s="3" t="s">
        <v>1635</v>
      </c>
      <c r="G4847" s="3" t="s">
        <v>38</v>
      </c>
      <c r="H4847" s="2" t="s">
        <v>72</v>
      </c>
      <c r="I4847" s="2" t="s">
        <v>12090</v>
      </c>
      <c r="J4847" s="3" t="str">
        <f>HYPERLINK("https://www.boe.es/gazeta/dias/1815/10/19/pdfs/GMD-1815-131.pdf#page=8","Abrir facsímil")</f>
        <v>Abrir facsímil</v>
      </c>
      <c r="K4847" s="3" t="s">
        <v>74</v>
      </c>
    </row>
    <row r="4848" spans="1:11" ht="42" customHeight="1">
      <c r="A4848" s="2" t="s">
        <v>12091</v>
      </c>
      <c r="B4848" s="2" t="s">
        <v>12092</v>
      </c>
      <c r="C4848" s="2" t="s">
        <v>17</v>
      </c>
      <c r="D4848" s="2" t="s">
        <v>18</v>
      </c>
      <c r="E4848" s="5">
        <v>-31026</v>
      </c>
      <c r="F4848" s="3" t="s">
        <v>874</v>
      </c>
      <c r="G4848" s="3" t="s">
        <v>20</v>
      </c>
      <c r="H4848" s="2" t="s">
        <v>72</v>
      </c>
      <c r="I4848" s="2" t="s">
        <v>12093</v>
      </c>
      <c r="J4848" s="3" t="str">
        <f>HYPERLINK("https://www.boe.es/gazeta/dias/1815/01/19/pdfs/GMD-1815-8.pdf#page=4","Abrir facsímil")</f>
        <v>Abrir facsímil</v>
      </c>
      <c r="K4848" s="3" t="s">
        <v>74</v>
      </c>
    </row>
    <row r="4849" spans="1:11" ht="42" customHeight="1">
      <c r="A4849" s="2" t="s">
        <v>12094</v>
      </c>
      <c r="B4849" s="2" t="s">
        <v>12095</v>
      </c>
      <c r="C4849" s="2" t="s">
        <v>195</v>
      </c>
      <c r="D4849" s="2" t="s">
        <v>50</v>
      </c>
      <c r="E4849" s="5">
        <v>-30842</v>
      </c>
      <c r="F4849" s="3" t="s">
        <v>126</v>
      </c>
      <c r="G4849" s="3" t="s">
        <v>71</v>
      </c>
      <c r="H4849" s="2" t="s">
        <v>72</v>
      </c>
      <c r="I4849" s="2" t="s">
        <v>12096</v>
      </c>
      <c r="J4849" s="3" t="str">
        <f>HYPERLINK("https://www.boe.es/gazeta/dias/1815/07/22/pdfs/GMD-1815-90.pdf#page=7","Abrir facsímil")</f>
        <v>Abrir facsímil</v>
      </c>
      <c r="K4849" s="3" t="s">
        <v>74</v>
      </c>
    </row>
    <row r="4850" spans="1:11" ht="42" customHeight="1">
      <c r="A4850" s="2" t="s">
        <v>12097</v>
      </c>
      <c r="B4850" s="2" t="s">
        <v>12098</v>
      </c>
      <c r="C4850" s="2" t="s">
        <v>195</v>
      </c>
      <c r="D4850" s="2" t="s">
        <v>50</v>
      </c>
      <c r="E4850" s="5">
        <v>-30874</v>
      </c>
      <c r="F4850" s="3" t="s">
        <v>208</v>
      </c>
      <c r="G4850" s="3" t="s">
        <v>38</v>
      </c>
      <c r="H4850" s="2" t="s">
        <v>72</v>
      </c>
      <c r="I4850" s="2" t="s">
        <v>12099</v>
      </c>
      <c r="J4850" s="3" t="str">
        <f>HYPERLINK("https://www.boe.es/gazeta/dias/1815/06/20/pdfs/GMD-1815-74.pdf#page=8","Abrir facsímil")</f>
        <v>Abrir facsímil</v>
      </c>
      <c r="K4850" s="3" t="s">
        <v>74</v>
      </c>
    </row>
    <row r="4851" spans="1:11" ht="42" customHeight="1">
      <c r="A4851" s="2" t="s">
        <v>12100</v>
      </c>
      <c r="B4851" s="2" t="s">
        <v>12101</v>
      </c>
      <c r="C4851" s="2" t="s">
        <v>31</v>
      </c>
      <c r="D4851" s="2" t="s">
        <v>32</v>
      </c>
      <c r="E4851" s="5">
        <v>-30986</v>
      </c>
      <c r="F4851" s="3" t="s">
        <v>46</v>
      </c>
      <c r="G4851" s="3" t="s">
        <v>57</v>
      </c>
      <c r="H4851" s="2" t="s">
        <v>72</v>
      </c>
      <c r="I4851" s="2" t="s">
        <v>12102</v>
      </c>
      <c r="J4851" s="3" t="str">
        <f>HYPERLINK("https://www.boe.es/gazeta/dias/1815/02/28/pdfs/GMD-1815-25.pdf#page=5","Abrir facsímil")</f>
        <v>Abrir facsímil</v>
      </c>
      <c r="K4851" s="3" t="s">
        <v>74</v>
      </c>
    </row>
    <row r="4852" spans="1:11" ht="42" customHeight="1">
      <c r="A4852" s="2" t="s">
        <v>12103</v>
      </c>
      <c r="B4852" s="2" t="s">
        <v>12104</v>
      </c>
      <c r="C4852" s="2" t="s">
        <v>17</v>
      </c>
      <c r="D4852" s="2" t="s">
        <v>18</v>
      </c>
      <c r="E4852" s="5">
        <v>-30937</v>
      </c>
      <c r="F4852" s="3" t="s">
        <v>322</v>
      </c>
      <c r="G4852" s="3" t="s">
        <v>3521</v>
      </c>
      <c r="H4852" s="2" t="s">
        <v>72</v>
      </c>
      <c r="I4852" s="2" t="s">
        <v>12105</v>
      </c>
      <c r="J4852" s="3" t="str">
        <f>HYPERLINK("https://www.boe.es/gazeta/dias/1815/04/18/pdfs/GMD-1815-47.pdf#page=8","Abrir facsímil")</f>
        <v>Abrir facsímil</v>
      </c>
      <c r="K4852" s="3" t="s">
        <v>74</v>
      </c>
    </row>
    <row r="4853" spans="1:11" ht="42" customHeight="1">
      <c r="A4853" s="2" t="s">
        <v>12106</v>
      </c>
      <c r="B4853" s="2" t="s">
        <v>12107</v>
      </c>
      <c r="C4853" s="2" t="s">
        <v>49</v>
      </c>
      <c r="D4853" s="2" t="s">
        <v>50</v>
      </c>
      <c r="E4853" s="5">
        <v>-30863</v>
      </c>
      <c r="F4853" s="3" t="s">
        <v>110</v>
      </c>
      <c r="G4853" s="3" t="s">
        <v>224</v>
      </c>
      <c r="H4853" s="2" t="s">
        <v>72</v>
      </c>
      <c r="I4853" s="2" t="s">
        <v>12108</v>
      </c>
      <c r="J4853" s="3" t="str">
        <f>HYPERLINK("https://www.boe.es/gazeta/dias/1815/07/01/pdfs/GMD-1815-79.pdf#page=9","Abrir facsímil")</f>
        <v>Abrir facsímil</v>
      </c>
      <c r="K4853" s="3" t="s">
        <v>74</v>
      </c>
    </row>
    <row r="4854" spans="1:11" ht="42" customHeight="1">
      <c r="A4854" s="2" t="s">
        <v>12109</v>
      </c>
      <c r="B4854" s="2" t="s">
        <v>12110</v>
      </c>
      <c r="C4854" s="2" t="s">
        <v>49</v>
      </c>
      <c r="D4854" s="2" t="s">
        <v>50</v>
      </c>
      <c r="E4854" s="5">
        <v>-30839</v>
      </c>
      <c r="F4854" s="3" t="s">
        <v>616</v>
      </c>
      <c r="G4854" s="3" t="s">
        <v>71</v>
      </c>
      <c r="H4854" s="2" t="s">
        <v>21</v>
      </c>
      <c r="I4854" s="2" t="s">
        <v>12111</v>
      </c>
      <c r="J4854" s="3" t="str">
        <f>HYPERLINK("https://www.boe.es/gazeta/dias/1815/07/25/pdfs/GMD-1815-91.pdf#page=7","Abrir facsímil")</f>
        <v>Abrir facsímil</v>
      </c>
      <c r="K4854" s="3" t="s">
        <v>23</v>
      </c>
    </row>
    <row r="4855" spans="1:11" ht="42" customHeight="1">
      <c r="A4855" s="2" t="s">
        <v>12112</v>
      </c>
      <c r="B4855" s="2" t="s">
        <v>12113</v>
      </c>
      <c r="C4855" s="2" t="s">
        <v>31</v>
      </c>
      <c r="D4855" s="2" t="s">
        <v>32</v>
      </c>
      <c r="E4855" s="5">
        <v>-30900</v>
      </c>
      <c r="F4855" s="3" t="s">
        <v>921</v>
      </c>
      <c r="G4855" s="3" t="s">
        <v>38</v>
      </c>
      <c r="H4855" s="2" t="s">
        <v>72</v>
      </c>
      <c r="I4855" s="2" t="s">
        <v>12114</v>
      </c>
      <c r="J4855" s="3" t="str">
        <f>HYPERLINK("https://www.boe.es/gazeta/dias/1815/05/25/pdfs/GMD-1815-63.pdf#page=8","Abrir facsímil")</f>
        <v>Abrir facsímil</v>
      </c>
      <c r="K4855" s="3" t="s">
        <v>74</v>
      </c>
    </row>
    <row r="4856" spans="1:11" ht="42" customHeight="1">
      <c r="A4856" s="2" t="s">
        <v>12115</v>
      </c>
      <c r="B4856" s="2" t="s">
        <v>12116</v>
      </c>
      <c r="C4856" s="2" t="s">
        <v>31</v>
      </c>
      <c r="D4856" s="2" t="s">
        <v>32</v>
      </c>
      <c r="E4856" s="5">
        <v>-31038</v>
      </c>
      <c r="F4856" s="3" t="s">
        <v>395</v>
      </c>
      <c r="G4856" s="3" t="s">
        <v>396</v>
      </c>
      <c r="H4856" s="2" t="s">
        <v>72</v>
      </c>
      <c r="I4856" s="2" t="s">
        <v>12117</v>
      </c>
      <c r="J4856" s="3" t="str">
        <f>HYPERLINK("https://www.boe.es/gazeta/dias/1815/01/07/pdfs/GMD-1815-3.pdf#page=5","Abrir facsímil")</f>
        <v>Abrir facsímil</v>
      </c>
      <c r="K4856" s="3" t="s">
        <v>74</v>
      </c>
    </row>
    <row r="4857" spans="1:11" ht="42" customHeight="1">
      <c r="A4857" s="2" t="s">
        <v>12118</v>
      </c>
      <c r="B4857" s="2" t="s">
        <v>12119</v>
      </c>
      <c r="C4857" s="2" t="s">
        <v>31</v>
      </c>
      <c r="D4857" s="2" t="s">
        <v>32</v>
      </c>
      <c r="E4857" s="5">
        <v>-30863</v>
      </c>
      <c r="F4857" s="3" t="s">
        <v>110</v>
      </c>
      <c r="G4857" s="3" t="s">
        <v>88</v>
      </c>
      <c r="H4857" s="2" t="s">
        <v>72</v>
      </c>
      <c r="I4857" s="2" t="s">
        <v>12120</v>
      </c>
      <c r="J4857" s="3" t="str">
        <f>HYPERLINK("https://www.boe.es/gazeta/dias/1815/07/01/pdfs/GMD-1815-79.pdf#page=10","Abrir facsímil")</f>
        <v>Abrir facsímil</v>
      </c>
      <c r="K4857" s="3" t="s">
        <v>74</v>
      </c>
    </row>
    <row r="4858" spans="1:11" ht="42" customHeight="1">
      <c r="A4858" s="2" t="s">
        <v>12121</v>
      </c>
      <c r="B4858" s="2" t="s">
        <v>12122</v>
      </c>
      <c r="C4858" s="2" t="s">
        <v>49</v>
      </c>
      <c r="D4858" s="2" t="s">
        <v>50</v>
      </c>
      <c r="E4858" s="5">
        <v>-30886</v>
      </c>
      <c r="F4858" s="3" t="s">
        <v>140</v>
      </c>
      <c r="G4858" s="3" t="s">
        <v>224</v>
      </c>
      <c r="H4858" s="2" t="s">
        <v>72</v>
      </c>
      <c r="I4858" s="2" t="s">
        <v>12123</v>
      </c>
      <c r="J4858" s="3" t="str">
        <f>HYPERLINK("https://www.boe.es/gazeta/dias/1815/06/08/pdfs/GMD-1815-69.pdf#page=9","Abrir facsímil")</f>
        <v>Abrir facsímil</v>
      </c>
      <c r="K4858" s="3" t="s">
        <v>74</v>
      </c>
    </row>
    <row r="4859" spans="1:11" ht="42" customHeight="1">
      <c r="A4859" s="2" t="s">
        <v>12124</v>
      </c>
      <c r="B4859" s="2" t="s">
        <v>12125</v>
      </c>
      <c r="C4859" s="2" t="s">
        <v>49</v>
      </c>
      <c r="D4859" s="2" t="s">
        <v>50</v>
      </c>
      <c r="E4859" s="5">
        <v>-30998</v>
      </c>
      <c r="F4859" s="3" t="s">
        <v>539</v>
      </c>
      <c r="G4859" s="3" t="s">
        <v>38</v>
      </c>
      <c r="H4859" s="2" t="s">
        <v>21</v>
      </c>
      <c r="I4859" s="2" t="s">
        <v>12126</v>
      </c>
      <c r="J4859" s="3" t="str">
        <f>HYPERLINK("https://www.boe.es/gazeta/dias/1815/02/16/pdfs/GMD-1815-20.pdf#page=8","Abrir facsímil")</f>
        <v>Abrir facsímil</v>
      </c>
      <c r="K4859" s="3" t="s">
        <v>23</v>
      </c>
    </row>
    <row r="4860" spans="1:11" ht="42" customHeight="1">
      <c r="A4860" s="2" t="s">
        <v>12127</v>
      </c>
      <c r="B4860" s="2" t="s">
        <v>12128</v>
      </c>
      <c r="C4860" s="2" t="s">
        <v>49</v>
      </c>
      <c r="D4860" s="2" t="s">
        <v>50</v>
      </c>
      <c r="E4860" s="5">
        <v>-30998</v>
      </c>
      <c r="F4860" s="3" t="s">
        <v>539</v>
      </c>
      <c r="G4860" s="3" t="s">
        <v>38</v>
      </c>
      <c r="H4860" s="2" t="s">
        <v>21</v>
      </c>
      <c r="I4860" s="2" t="s">
        <v>12129</v>
      </c>
      <c r="J4860" s="3" t="str">
        <f>HYPERLINK("https://www.boe.es/gazeta/dias/1815/02/16/pdfs/GMD-1815-20.pdf#page=8","Abrir facsímil")</f>
        <v>Abrir facsímil</v>
      </c>
      <c r="K4860" s="3" t="s">
        <v>23</v>
      </c>
    </row>
    <row r="4861" spans="1:11" ht="42" customHeight="1">
      <c r="A4861" s="2" t="s">
        <v>12130</v>
      </c>
      <c r="B4861" s="2" t="s">
        <v>12131</v>
      </c>
      <c r="C4861" s="2" t="s">
        <v>31</v>
      </c>
      <c r="D4861" s="2" t="s">
        <v>32</v>
      </c>
      <c r="E4861" s="5">
        <v>-31026</v>
      </c>
      <c r="F4861" s="3" t="s">
        <v>874</v>
      </c>
      <c r="G4861" s="3" t="s">
        <v>71</v>
      </c>
      <c r="H4861" s="2" t="s">
        <v>72</v>
      </c>
      <c r="I4861" s="2" t="s">
        <v>12132</v>
      </c>
      <c r="J4861" s="3" t="str">
        <f>HYPERLINK("https://www.boe.es/gazeta/dias/1815/01/19/pdfs/GMD-1815-8.pdf#page=7","Abrir facsímil")</f>
        <v>Abrir facsímil</v>
      </c>
      <c r="K4861" s="3" t="s">
        <v>74</v>
      </c>
    </row>
    <row r="4862" spans="1:11" ht="42" customHeight="1">
      <c r="A4862" s="2" t="s">
        <v>12133</v>
      </c>
      <c r="B4862" s="2" t="s">
        <v>12134</v>
      </c>
      <c r="C4862" s="2" t="s">
        <v>49</v>
      </c>
      <c r="D4862" s="2" t="s">
        <v>50</v>
      </c>
      <c r="E4862" s="5">
        <v>-30853</v>
      </c>
      <c r="F4862" s="3" t="s">
        <v>1473</v>
      </c>
      <c r="G4862" s="3" t="s">
        <v>3505</v>
      </c>
      <c r="H4862" s="2" t="s">
        <v>72</v>
      </c>
      <c r="I4862" s="2" t="s">
        <v>12135</v>
      </c>
      <c r="J4862" s="3" t="str">
        <f>HYPERLINK("https://www.boe.es/gazeta/dias/1815/07/11/pdfs/GMD-1815-85.pdf#page=4","Abrir facsímil")</f>
        <v>Abrir facsímil</v>
      </c>
      <c r="K4862" s="3" t="s">
        <v>74</v>
      </c>
    </row>
    <row r="4863" spans="1:11" ht="42" customHeight="1">
      <c r="A4863" s="2" t="s">
        <v>12136</v>
      </c>
      <c r="B4863" s="2" t="s">
        <v>12136</v>
      </c>
      <c r="C4863" s="2" t="s">
        <v>61</v>
      </c>
      <c r="D4863" s="2" t="s">
        <v>50</v>
      </c>
      <c r="E4863" s="5">
        <v>-30912</v>
      </c>
      <c r="F4863" s="3" t="s">
        <v>579</v>
      </c>
      <c r="G4863" s="3" t="s">
        <v>38</v>
      </c>
      <c r="H4863" s="2" t="s">
        <v>72</v>
      </c>
      <c r="I4863" s="2" t="s">
        <v>12137</v>
      </c>
      <c r="J4863" s="3" t="str">
        <f>HYPERLINK("https://www.boe.es/gazeta/dias/1815/05/13/pdfs/GMD-1815-58.pdf#page=8","Abrir facsímil")</f>
        <v>Abrir facsímil</v>
      </c>
      <c r="K4863" s="3" t="s">
        <v>74</v>
      </c>
    </row>
    <row r="4864" spans="1:11" ht="42" customHeight="1">
      <c r="A4864" s="2" t="s">
        <v>12138</v>
      </c>
      <c r="B4864" s="2" t="s">
        <v>12139</v>
      </c>
      <c r="C4864" s="2" t="s">
        <v>49</v>
      </c>
      <c r="D4864" s="2" t="s">
        <v>50</v>
      </c>
      <c r="E4864" s="5">
        <v>-30865</v>
      </c>
      <c r="F4864" s="3" t="s">
        <v>163</v>
      </c>
      <c r="G4864" s="3" t="s">
        <v>71</v>
      </c>
      <c r="H4864" s="2" t="s">
        <v>72</v>
      </c>
      <c r="I4864" s="2" t="s">
        <v>12140</v>
      </c>
      <c r="J4864" s="3" t="str">
        <f>HYPERLINK("https://www.boe.es/gazeta/dias/1815/06/29/pdfs/GMD-1815-78.pdf#page=7","Abrir facsímil")</f>
        <v>Abrir facsímil</v>
      </c>
      <c r="K4864" s="3" t="s">
        <v>74</v>
      </c>
    </row>
    <row r="4865" spans="1:11" ht="42" customHeight="1">
      <c r="A4865" s="2" t="s">
        <v>12141</v>
      </c>
      <c r="B4865" s="2" t="s">
        <v>12142</v>
      </c>
      <c r="C4865" s="2" t="s">
        <v>31</v>
      </c>
      <c r="D4865" s="2" t="s">
        <v>32</v>
      </c>
      <c r="E4865" s="5">
        <v>-30872</v>
      </c>
      <c r="F4865" s="3" t="s">
        <v>167</v>
      </c>
      <c r="G4865" s="3" t="s">
        <v>27</v>
      </c>
      <c r="H4865" s="2" t="s">
        <v>72</v>
      </c>
      <c r="I4865" s="2" t="s">
        <v>12143</v>
      </c>
      <c r="J4865" s="3" t="str">
        <f>HYPERLINK("https://www.boe.es/gazeta/dias/1815/06/22/pdfs/GMD-1815-75.pdf#page=6","Abrir facsímil")</f>
        <v>Abrir facsímil</v>
      </c>
      <c r="K4865" s="3" t="s">
        <v>74</v>
      </c>
    </row>
    <row r="4866" spans="1:11" ht="42" customHeight="1">
      <c r="A4866" s="2" t="s">
        <v>12144</v>
      </c>
      <c r="B4866" s="2" t="s">
        <v>12145</v>
      </c>
      <c r="C4866" s="2" t="s">
        <v>31</v>
      </c>
      <c r="D4866" s="2" t="s">
        <v>32</v>
      </c>
      <c r="E4866" s="5">
        <v>-30872</v>
      </c>
      <c r="F4866" s="3" t="s">
        <v>167</v>
      </c>
      <c r="G4866" s="3" t="s">
        <v>71</v>
      </c>
      <c r="H4866" s="2" t="s">
        <v>72</v>
      </c>
      <c r="I4866" s="2" t="s">
        <v>12146</v>
      </c>
      <c r="J4866" s="3" t="str">
        <f>HYPERLINK("https://www.boe.es/gazeta/dias/1815/06/22/pdfs/GMD-1815-75.pdf#page=7","Abrir facsímil")</f>
        <v>Abrir facsímil</v>
      </c>
      <c r="K4866" s="3" t="s">
        <v>74</v>
      </c>
    </row>
    <row r="4867" spans="1:11" ht="42" customHeight="1">
      <c r="A4867" s="2" t="s">
        <v>12147</v>
      </c>
      <c r="B4867" s="2" t="s">
        <v>12148</v>
      </c>
      <c r="C4867" s="2" t="s">
        <v>49</v>
      </c>
      <c r="D4867" s="2" t="s">
        <v>50</v>
      </c>
      <c r="E4867" s="5">
        <v>-31038</v>
      </c>
      <c r="F4867" s="3" t="s">
        <v>395</v>
      </c>
      <c r="G4867" s="3" t="s">
        <v>27</v>
      </c>
      <c r="H4867" s="2" t="s">
        <v>72</v>
      </c>
      <c r="I4867" s="2" t="s">
        <v>12149</v>
      </c>
      <c r="J4867" s="3" t="str">
        <f>HYPERLINK("https://www.boe.es/gazeta/dias/1815/01/07/pdfs/GMD-1815-3.pdf#page=6","Abrir facsímil")</f>
        <v>Abrir facsímil</v>
      </c>
      <c r="K4867" s="3" t="s">
        <v>74</v>
      </c>
    </row>
    <row r="4868" spans="1:11" ht="42" customHeight="1">
      <c r="A4868" s="2" t="s">
        <v>12150</v>
      </c>
      <c r="B4868" s="2" t="s">
        <v>12150</v>
      </c>
      <c r="C4868" s="2" t="s">
        <v>61</v>
      </c>
      <c r="D4868" s="2" t="s">
        <v>50</v>
      </c>
      <c r="E4868" s="5">
        <v>-30874</v>
      </c>
      <c r="F4868" s="3" t="s">
        <v>208</v>
      </c>
      <c r="G4868" s="3" t="s">
        <v>38</v>
      </c>
      <c r="H4868" s="2" t="s">
        <v>72</v>
      </c>
      <c r="I4868" s="2" t="s">
        <v>12151</v>
      </c>
      <c r="J4868" s="3" t="str">
        <f>HYPERLINK("https://www.boe.es/gazeta/dias/1815/06/20/pdfs/GMD-1815-74.pdf#page=8","Abrir facsímil")</f>
        <v>Abrir facsímil</v>
      </c>
      <c r="K4868" s="3" t="s">
        <v>74</v>
      </c>
    </row>
    <row r="4869" spans="1:11" ht="42" customHeight="1">
      <c r="A4869" s="2" t="s">
        <v>12150</v>
      </c>
      <c r="B4869" s="2" t="s">
        <v>12150</v>
      </c>
      <c r="C4869" s="2" t="s">
        <v>17</v>
      </c>
      <c r="D4869" s="2" t="s">
        <v>18</v>
      </c>
      <c r="E4869" s="5">
        <v>-30830</v>
      </c>
      <c r="F4869" s="3" t="s">
        <v>33</v>
      </c>
      <c r="G4869" s="3" t="s">
        <v>276</v>
      </c>
      <c r="H4869" s="2" t="s">
        <v>72</v>
      </c>
      <c r="I4869" s="2" t="s">
        <v>12152</v>
      </c>
      <c r="J4869" s="3" t="str">
        <f>HYPERLINK("https://www.boe.es/gazeta/dias/1815/08/03/pdfs/GMD-1815-95.pdf#page=12","Abrir facsímil")</f>
        <v>Abrir facsímil</v>
      </c>
      <c r="K4869" s="3" t="s">
        <v>74</v>
      </c>
    </row>
    <row r="4870" spans="1:11" ht="42" customHeight="1">
      <c r="A4870" s="2" t="s">
        <v>12150</v>
      </c>
      <c r="B4870" s="2" t="s">
        <v>12150</v>
      </c>
      <c r="C4870" s="2" t="s">
        <v>17</v>
      </c>
      <c r="D4870" s="2" t="s">
        <v>18</v>
      </c>
      <c r="E4870" s="5">
        <v>-30790</v>
      </c>
      <c r="F4870" s="3" t="s">
        <v>285</v>
      </c>
      <c r="G4870" s="3" t="s">
        <v>71</v>
      </c>
      <c r="H4870" s="2" t="s">
        <v>72</v>
      </c>
      <c r="I4870" s="2" t="s">
        <v>12153</v>
      </c>
      <c r="J4870" s="3" t="str">
        <f>HYPERLINK("https://www.boe.es/gazeta/dias/1815/09/12/pdfs/GMD-1815-113.pdf#page=7","Abrir facsímil")</f>
        <v>Abrir facsímil</v>
      </c>
      <c r="K4870" s="3" t="s">
        <v>74</v>
      </c>
    </row>
    <row r="4871" spans="1:11" ht="42" customHeight="1">
      <c r="A4871" s="2" t="s">
        <v>12154</v>
      </c>
      <c r="B4871" s="2" t="s">
        <v>12154</v>
      </c>
      <c r="C4871" s="2" t="s">
        <v>49</v>
      </c>
      <c r="D4871" s="2" t="s">
        <v>50</v>
      </c>
      <c r="E4871" s="5">
        <v>-30886</v>
      </c>
      <c r="F4871" s="3" t="s">
        <v>140</v>
      </c>
      <c r="G4871" s="3" t="s">
        <v>38</v>
      </c>
      <c r="H4871" s="2" t="s">
        <v>72</v>
      </c>
      <c r="I4871" s="2" t="s">
        <v>12155</v>
      </c>
      <c r="J4871" s="3" t="str">
        <f>HYPERLINK("https://www.boe.es/gazeta/dias/1815/06/08/pdfs/GMD-1815-69.pdf#page=8","Abrir facsímil")</f>
        <v>Abrir facsímil</v>
      </c>
      <c r="K4871" s="3" t="s">
        <v>74</v>
      </c>
    </row>
    <row r="4872" spans="1:11" ht="42" customHeight="1">
      <c r="A4872" s="2" t="s">
        <v>12156</v>
      </c>
      <c r="B4872" s="2" t="s">
        <v>12157</v>
      </c>
      <c r="C4872" s="2" t="s">
        <v>49</v>
      </c>
      <c r="D4872" s="2" t="s">
        <v>50</v>
      </c>
      <c r="E4872" s="5">
        <v>-30865</v>
      </c>
      <c r="F4872" s="3" t="s">
        <v>163</v>
      </c>
      <c r="G4872" s="3" t="s">
        <v>27</v>
      </c>
      <c r="H4872" s="2" t="s">
        <v>72</v>
      </c>
      <c r="I4872" s="2" t="s">
        <v>12158</v>
      </c>
      <c r="J4872" s="3" t="str">
        <f>HYPERLINK("https://www.boe.es/gazeta/dias/1815/06/29/pdfs/GMD-1815-78.pdf#page=6","Abrir facsímil")</f>
        <v>Abrir facsímil</v>
      </c>
      <c r="K4872" s="3" t="s">
        <v>74</v>
      </c>
    </row>
    <row r="4873" spans="1:11" ht="42" customHeight="1">
      <c r="A4873" s="2" t="s">
        <v>12159</v>
      </c>
      <c r="B4873" s="2" t="s">
        <v>12160</v>
      </c>
      <c r="C4873" s="2" t="s">
        <v>195</v>
      </c>
      <c r="D4873" s="2" t="s">
        <v>50</v>
      </c>
      <c r="E4873" s="5">
        <v>-30977</v>
      </c>
      <c r="F4873" s="3" t="s">
        <v>37</v>
      </c>
      <c r="G4873" s="3" t="s">
        <v>38</v>
      </c>
      <c r="H4873" s="2" t="s">
        <v>72</v>
      </c>
      <c r="I4873" s="2" t="s">
        <v>12161</v>
      </c>
      <c r="J4873" s="3" t="str">
        <f>HYPERLINK("https://www.boe.es/gazeta/dias/1815/03/09/pdfs/GMD-1815-29.pdf#page=8","Abrir facsímil")</f>
        <v>Abrir facsímil</v>
      </c>
      <c r="K4873" s="3" t="s">
        <v>74</v>
      </c>
    </row>
    <row r="4874" spans="1:11" ht="42" customHeight="1">
      <c r="A4874" s="2" t="s">
        <v>12162</v>
      </c>
      <c r="B4874" s="2" t="s">
        <v>12163</v>
      </c>
      <c r="C4874" s="2" t="s">
        <v>17</v>
      </c>
      <c r="D4874" s="2" t="s">
        <v>18</v>
      </c>
      <c r="E4874" s="5">
        <v>-30986</v>
      </c>
      <c r="F4874" s="3" t="s">
        <v>46</v>
      </c>
      <c r="G4874" s="3" t="s">
        <v>224</v>
      </c>
      <c r="H4874" s="2" t="s">
        <v>72</v>
      </c>
      <c r="I4874" s="2" t="s">
        <v>12164</v>
      </c>
      <c r="J4874" s="3" t="str">
        <f>HYPERLINK("https://www.boe.es/gazeta/dias/1815/02/28/pdfs/GMD-1815-25.pdf#page=9","Abrir facsímil")</f>
        <v>Abrir facsímil</v>
      </c>
      <c r="K4874" s="3" t="s">
        <v>74</v>
      </c>
    </row>
    <row r="4875" spans="1:11" ht="42" customHeight="1">
      <c r="A4875" s="2" t="s">
        <v>12165</v>
      </c>
      <c r="B4875" s="2" t="s">
        <v>12166</v>
      </c>
      <c r="C4875" s="2" t="s">
        <v>31</v>
      </c>
      <c r="D4875" s="2" t="s">
        <v>32</v>
      </c>
      <c r="E4875" s="5">
        <v>-30982</v>
      </c>
      <c r="F4875" s="3" t="s">
        <v>220</v>
      </c>
      <c r="G4875" s="3" t="s">
        <v>38</v>
      </c>
      <c r="H4875" s="2" t="s">
        <v>72</v>
      </c>
      <c r="I4875" s="2" t="s">
        <v>12167</v>
      </c>
      <c r="J4875" s="3" t="str">
        <f>HYPERLINK("https://www.boe.es/gazeta/dias/1815/03/04/pdfs/GMD-1815-27.pdf#page=8","Abrir facsímil")</f>
        <v>Abrir facsímil</v>
      </c>
      <c r="K4875" s="3" t="s">
        <v>74</v>
      </c>
    </row>
    <row r="4876" spans="1:11" ht="42" customHeight="1">
      <c r="A4876" s="2" t="s">
        <v>12168</v>
      </c>
      <c r="B4876" s="2" t="s">
        <v>12169</v>
      </c>
      <c r="C4876" s="2" t="s">
        <v>49</v>
      </c>
      <c r="D4876" s="2" t="s">
        <v>50</v>
      </c>
      <c r="E4876" s="5">
        <v>-30916</v>
      </c>
      <c r="F4876" s="3" t="s">
        <v>147</v>
      </c>
      <c r="G4876" s="3" t="s">
        <v>148</v>
      </c>
      <c r="H4876" s="2" t="s">
        <v>72</v>
      </c>
      <c r="I4876" s="2" t="s">
        <v>12170</v>
      </c>
      <c r="J4876" s="3" t="str">
        <f>HYPERLINK("https://www.boe.es/gazeta/dias/1815/05/09/pdfs/GMD-1815-56.pdf#page=7","Abrir facsímil")</f>
        <v>Abrir facsímil</v>
      </c>
      <c r="K4876" s="3" t="s">
        <v>74</v>
      </c>
    </row>
    <row r="4877" spans="1:11" ht="42" customHeight="1">
      <c r="A4877" s="2" t="s">
        <v>12171</v>
      </c>
      <c r="B4877" s="2" t="s">
        <v>12172</v>
      </c>
      <c r="C4877" s="2" t="s">
        <v>31</v>
      </c>
      <c r="D4877" s="2" t="s">
        <v>32</v>
      </c>
      <c r="E4877" s="5">
        <v>-30986</v>
      </c>
      <c r="F4877" s="3" t="s">
        <v>46</v>
      </c>
      <c r="G4877" s="3" t="s">
        <v>88</v>
      </c>
      <c r="H4877" s="2" t="s">
        <v>72</v>
      </c>
      <c r="I4877" s="2" t="s">
        <v>12173</v>
      </c>
      <c r="J4877" s="3" t="str">
        <f>HYPERLINK("https://www.boe.es/gazeta/dias/1815/02/28/pdfs/GMD-1815-25.pdf#page=10","Abrir facsímil")</f>
        <v>Abrir facsímil</v>
      </c>
      <c r="K4877" s="3" t="s">
        <v>74</v>
      </c>
    </row>
    <row r="4878" spans="1:11" ht="42" customHeight="1">
      <c r="A4878" s="2" t="s">
        <v>12174</v>
      </c>
      <c r="B4878" s="2" t="s">
        <v>12175</v>
      </c>
      <c r="C4878" s="2" t="s">
        <v>131</v>
      </c>
      <c r="D4878" s="2" t="s">
        <v>50</v>
      </c>
      <c r="E4878" s="5">
        <v>-30874</v>
      </c>
      <c r="F4878" s="3" t="s">
        <v>208</v>
      </c>
      <c r="G4878" s="3" t="s">
        <v>27</v>
      </c>
      <c r="H4878" s="2" t="s">
        <v>21</v>
      </c>
      <c r="I4878" s="2" t="s">
        <v>12176</v>
      </c>
      <c r="J4878" s="3" t="str">
        <f>HYPERLINK("https://www.boe.es/gazeta/dias/1815/06/20/pdfs/GMD-1815-74.pdf#page=6","Abrir facsímil")</f>
        <v>Abrir facsímil</v>
      </c>
      <c r="K4878" s="3" t="s">
        <v>23</v>
      </c>
    </row>
    <row r="4879" spans="1:11" ht="42" customHeight="1">
      <c r="A4879" s="2" t="s">
        <v>12177</v>
      </c>
      <c r="B4879" s="2" t="s">
        <v>12177</v>
      </c>
      <c r="C4879" s="2" t="s">
        <v>49</v>
      </c>
      <c r="D4879" s="2" t="s">
        <v>50</v>
      </c>
      <c r="E4879" s="5">
        <v>-31040</v>
      </c>
      <c r="F4879" s="3" t="s">
        <v>326</v>
      </c>
      <c r="G4879" s="3" t="s">
        <v>38</v>
      </c>
      <c r="H4879" s="2" t="s">
        <v>72</v>
      </c>
      <c r="I4879" s="2" t="s">
        <v>12178</v>
      </c>
      <c r="J4879" s="3" t="str">
        <f>HYPERLINK("https://www.boe.es/gazeta/dias/1815/01/05/pdfs/GMD-1815-2.pdf#page=8","Abrir facsímil")</f>
        <v>Abrir facsímil</v>
      </c>
      <c r="K4879" s="3" t="s">
        <v>74</v>
      </c>
    </row>
    <row r="4880" spans="1:11" ht="42" customHeight="1">
      <c r="A4880" s="2" t="s">
        <v>12179</v>
      </c>
      <c r="B4880" s="2" t="s">
        <v>12180</v>
      </c>
      <c r="C4880" s="2" t="s">
        <v>31</v>
      </c>
      <c r="D4880" s="2" t="s">
        <v>32</v>
      </c>
      <c r="E4880" s="5">
        <v>-30916</v>
      </c>
      <c r="F4880" s="3" t="s">
        <v>147</v>
      </c>
      <c r="G4880" s="3" t="s">
        <v>148</v>
      </c>
      <c r="H4880" s="2" t="s">
        <v>72</v>
      </c>
      <c r="I4880" s="2" t="s">
        <v>12181</v>
      </c>
      <c r="J4880" s="3" t="str">
        <f>HYPERLINK("https://www.boe.es/gazeta/dias/1815/05/09/pdfs/GMD-1815-56.pdf#page=7","Abrir facsímil")</f>
        <v>Abrir facsímil</v>
      </c>
      <c r="K4880" s="3" t="s">
        <v>74</v>
      </c>
    </row>
    <row r="4881" spans="1:11" ht="42" customHeight="1">
      <c r="A4881" s="2" t="s">
        <v>12182</v>
      </c>
      <c r="B4881" s="2" t="s">
        <v>12183</v>
      </c>
      <c r="C4881" s="2" t="s">
        <v>31</v>
      </c>
      <c r="D4881" s="2" t="s">
        <v>32</v>
      </c>
      <c r="E4881" s="5">
        <v>-30916</v>
      </c>
      <c r="F4881" s="3" t="s">
        <v>147</v>
      </c>
      <c r="G4881" s="3" t="s">
        <v>224</v>
      </c>
      <c r="H4881" s="2" t="s">
        <v>72</v>
      </c>
      <c r="I4881" s="2" t="s">
        <v>12184</v>
      </c>
      <c r="J4881" s="3" t="str">
        <f>HYPERLINK("https://www.boe.es/gazeta/dias/1815/05/09/pdfs/GMD-1815-56.pdf#page=9","Abrir facsímil")</f>
        <v>Abrir facsímil</v>
      </c>
      <c r="K4881" s="3" t="s">
        <v>74</v>
      </c>
    </row>
    <row r="4882" spans="1:11" ht="42" customHeight="1">
      <c r="A4882" s="2" t="s">
        <v>12185</v>
      </c>
      <c r="B4882" s="2" t="s">
        <v>12186</v>
      </c>
      <c r="C4882" s="2" t="s">
        <v>49</v>
      </c>
      <c r="D4882" s="2" t="s">
        <v>50</v>
      </c>
      <c r="E4882" s="5">
        <v>-30720</v>
      </c>
      <c r="F4882" s="3" t="s">
        <v>373</v>
      </c>
      <c r="G4882" s="3" t="s">
        <v>88</v>
      </c>
      <c r="H4882" s="2" t="s">
        <v>72</v>
      </c>
      <c r="I4882" s="2" t="s">
        <v>12187</v>
      </c>
      <c r="J4882" s="3" t="str">
        <f>HYPERLINK("https://www.boe.es/gazeta/dias/1815/11/21/pdfs/GMD-1815-145.pdf#page=10","Abrir facsímil")</f>
        <v>Abrir facsímil</v>
      </c>
      <c r="K4882" s="3" t="s">
        <v>74</v>
      </c>
    </row>
    <row r="4883" spans="1:11" ht="42" customHeight="1">
      <c r="A4883" s="2" t="s">
        <v>12188</v>
      </c>
      <c r="B4883" s="2" t="s">
        <v>12189</v>
      </c>
      <c r="C4883" s="2" t="s">
        <v>49</v>
      </c>
      <c r="D4883" s="2" t="s">
        <v>50</v>
      </c>
      <c r="E4883" s="5">
        <v>-30916</v>
      </c>
      <c r="F4883" s="3" t="s">
        <v>147</v>
      </c>
      <c r="G4883" s="3" t="s">
        <v>224</v>
      </c>
      <c r="H4883" s="2" t="s">
        <v>72</v>
      </c>
      <c r="I4883" s="2" t="s">
        <v>12190</v>
      </c>
      <c r="J4883" s="3" t="str">
        <f>HYPERLINK("https://www.boe.es/gazeta/dias/1815/05/09/pdfs/GMD-1815-56.pdf#page=9","Abrir facsímil")</f>
        <v>Abrir facsímil</v>
      </c>
      <c r="K4883" s="3" t="s">
        <v>74</v>
      </c>
    </row>
    <row r="4884" spans="1:11" ht="42" customHeight="1">
      <c r="A4884" s="2" t="s">
        <v>12191</v>
      </c>
      <c r="B4884" s="2" t="s">
        <v>12192</v>
      </c>
      <c r="C4884" s="2" t="s">
        <v>31</v>
      </c>
      <c r="D4884" s="2" t="s">
        <v>32</v>
      </c>
      <c r="E4884" s="5">
        <v>-30713</v>
      </c>
      <c r="F4884" s="3" t="s">
        <v>895</v>
      </c>
      <c r="G4884" s="3" t="s">
        <v>71</v>
      </c>
      <c r="H4884" s="2" t="s">
        <v>72</v>
      </c>
      <c r="I4884" s="2" t="s">
        <v>12193</v>
      </c>
      <c r="J4884" s="3" t="str">
        <f>HYPERLINK("https://www.boe.es/gazeta/dias/1815/11/28/pdfs/GMD-1815-148.pdf#page=7","Abrir facsímil")</f>
        <v>Abrir facsímil</v>
      </c>
      <c r="K4884" s="3" t="s">
        <v>74</v>
      </c>
    </row>
    <row r="4885" spans="1:11" ht="42" customHeight="1">
      <c r="A4885" s="2" t="s">
        <v>12194</v>
      </c>
      <c r="B4885" s="2" t="s">
        <v>12195</v>
      </c>
      <c r="C4885" s="2" t="s">
        <v>31</v>
      </c>
      <c r="D4885" s="2" t="s">
        <v>32</v>
      </c>
      <c r="E4885" s="5">
        <v>-30902</v>
      </c>
      <c r="F4885" s="3" t="s">
        <v>648</v>
      </c>
      <c r="G4885" s="3" t="s">
        <v>38</v>
      </c>
      <c r="H4885" s="2" t="s">
        <v>72</v>
      </c>
      <c r="I4885" s="2" t="s">
        <v>12196</v>
      </c>
      <c r="J4885" s="3" t="str">
        <f>HYPERLINK("https://www.boe.es/gazeta/dias/1815/05/23/pdfs/GMD-1815-62.pdf#page=8","Abrir facsímil")</f>
        <v>Abrir facsímil</v>
      </c>
      <c r="K4885" s="3" t="s">
        <v>74</v>
      </c>
    </row>
    <row r="4886" spans="1:11" ht="42" customHeight="1">
      <c r="A4886" s="2" t="s">
        <v>12197</v>
      </c>
      <c r="B4886" s="2" t="s">
        <v>12198</v>
      </c>
      <c r="C4886" s="2" t="s">
        <v>49</v>
      </c>
      <c r="D4886" s="2" t="s">
        <v>50</v>
      </c>
      <c r="E4886" s="5">
        <v>-30865</v>
      </c>
      <c r="F4886" s="3" t="s">
        <v>163</v>
      </c>
      <c r="G4886" s="3" t="s">
        <v>71</v>
      </c>
      <c r="H4886" s="2" t="s">
        <v>72</v>
      </c>
      <c r="I4886" s="2" t="s">
        <v>12199</v>
      </c>
      <c r="J4886" s="3" t="str">
        <f>HYPERLINK("https://www.boe.es/gazeta/dias/1815/06/29/pdfs/GMD-1815-78.pdf#page=7","Abrir facsímil")</f>
        <v>Abrir facsímil</v>
      </c>
      <c r="K4886" s="3" t="s">
        <v>74</v>
      </c>
    </row>
    <row r="4887" spans="1:11" ht="42" customHeight="1">
      <c r="A4887" s="2" t="s">
        <v>12200</v>
      </c>
      <c r="B4887" s="2" t="s">
        <v>12201</v>
      </c>
      <c r="C4887" s="2" t="s">
        <v>31</v>
      </c>
      <c r="D4887" s="2" t="s">
        <v>32</v>
      </c>
      <c r="E4887" s="5">
        <v>-30893</v>
      </c>
      <c r="F4887" s="3" t="s">
        <v>132</v>
      </c>
      <c r="G4887" s="3" t="s">
        <v>155</v>
      </c>
      <c r="H4887" s="2" t="s">
        <v>72</v>
      </c>
      <c r="I4887" s="2" t="s">
        <v>12202</v>
      </c>
      <c r="J4887" s="3" t="str">
        <f>HYPERLINK("https://www.boe.es/gazeta/dias/1815/06/01/pdfs/GMD-1815-66.pdf#page=6","Abrir facsímil")</f>
        <v>Abrir facsímil</v>
      </c>
      <c r="K4887" s="3" t="s">
        <v>74</v>
      </c>
    </row>
    <row r="4888" spans="1:11" ht="42" customHeight="1">
      <c r="A4888" s="2" t="s">
        <v>12203</v>
      </c>
      <c r="B4888" s="2" t="s">
        <v>12204</v>
      </c>
      <c r="C4888" s="2" t="s">
        <v>17</v>
      </c>
      <c r="D4888" s="2" t="s">
        <v>18</v>
      </c>
      <c r="E4888" s="5">
        <v>-30968</v>
      </c>
      <c r="F4888" s="3" t="s">
        <v>2695</v>
      </c>
      <c r="G4888" s="3" t="s">
        <v>52</v>
      </c>
      <c r="H4888" s="2" t="s">
        <v>72</v>
      </c>
      <c r="I4888" s="2" t="s">
        <v>12205</v>
      </c>
      <c r="J4888" s="3" t="str">
        <f>HYPERLINK("https://www.boe.es/gazeta/dias/1815/03/18/pdfs/GMD-1815-33.pdf#page=11","Abrir facsímil")</f>
        <v>Abrir facsímil</v>
      </c>
      <c r="K4888" s="3" t="s">
        <v>74</v>
      </c>
    </row>
    <row r="4889" spans="1:11" ht="42" customHeight="1">
      <c r="A4889" s="2" t="s">
        <v>12203</v>
      </c>
      <c r="B4889" s="2" t="s">
        <v>12204</v>
      </c>
      <c r="C4889" s="2" t="s">
        <v>31</v>
      </c>
      <c r="D4889" s="2" t="s">
        <v>32</v>
      </c>
      <c r="E4889" s="5">
        <v>-30898</v>
      </c>
      <c r="F4889" s="3" t="s">
        <v>212</v>
      </c>
      <c r="G4889" s="3" t="s">
        <v>38</v>
      </c>
      <c r="H4889" s="2" t="s">
        <v>72</v>
      </c>
      <c r="I4889" s="2" t="s">
        <v>12206</v>
      </c>
      <c r="J4889" s="3" t="str">
        <f>HYPERLINK("https://www.boe.es/gazeta/dias/1815/05/27/pdfs/GMD-1815-64.pdf#page=8","Abrir facsímil")</f>
        <v>Abrir facsímil</v>
      </c>
      <c r="K4889" s="3" t="s">
        <v>74</v>
      </c>
    </row>
    <row r="4890" spans="1:11" ht="42" customHeight="1">
      <c r="A4890" s="2" t="s">
        <v>12207</v>
      </c>
      <c r="B4890" s="2" t="s">
        <v>12208</v>
      </c>
      <c r="C4890" s="2" t="s">
        <v>195</v>
      </c>
      <c r="D4890" s="2" t="s">
        <v>50</v>
      </c>
      <c r="E4890" s="5">
        <v>-31024</v>
      </c>
      <c r="F4890" s="3" t="s">
        <v>101</v>
      </c>
      <c r="G4890" s="3" t="s">
        <v>258</v>
      </c>
      <c r="H4890" s="2" t="s">
        <v>72</v>
      </c>
      <c r="I4890" s="2" t="s">
        <v>12209</v>
      </c>
      <c r="J4890" s="3" t="str">
        <f>HYPERLINK("https://www.boe.es/gazeta/dias/1815/01/21/pdfs/GMD-1815-9.pdf#page=6","Abrir facsímil")</f>
        <v>Abrir facsímil</v>
      </c>
      <c r="K4890" s="3" t="s">
        <v>74</v>
      </c>
    </row>
    <row r="4891" spans="1:11" ht="42" customHeight="1">
      <c r="A4891" s="2" t="s">
        <v>12210</v>
      </c>
      <c r="B4891" s="2" t="s">
        <v>12211</v>
      </c>
      <c r="C4891" s="2" t="s">
        <v>31</v>
      </c>
      <c r="D4891" s="2" t="s">
        <v>32</v>
      </c>
      <c r="E4891" s="5">
        <v>-30958</v>
      </c>
      <c r="F4891" s="3" t="s">
        <v>297</v>
      </c>
      <c r="G4891" s="3" t="s">
        <v>57</v>
      </c>
      <c r="H4891" s="2" t="s">
        <v>72</v>
      </c>
      <c r="I4891" s="2" t="s">
        <v>12212</v>
      </c>
      <c r="J4891" s="3" t="str">
        <f>HYPERLINK("https://www.boe.es/gazeta/dias/1815/03/28/pdfs/GMD-1815-37.pdf#page=5","Abrir facsímil")</f>
        <v>Abrir facsímil</v>
      </c>
      <c r="K4891" s="3" t="s">
        <v>74</v>
      </c>
    </row>
    <row r="4892" spans="1:11" ht="42" customHeight="1">
      <c r="A4892" s="2" t="s">
        <v>12213</v>
      </c>
      <c r="B4892" s="2" t="s">
        <v>12214</v>
      </c>
      <c r="C4892" s="2" t="s">
        <v>49</v>
      </c>
      <c r="D4892" s="2" t="s">
        <v>50</v>
      </c>
      <c r="E4892" s="5">
        <v>-30870</v>
      </c>
      <c r="F4892" s="3" t="s">
        <v>122</v>
      </c>
      <c r="G4892" s="3" t="s">
        <v>88</v>
      </c>
      <c r="H4892" s="2" t="s">
        <v>72</v>
      </c>
      <c r="I4892" s="2" t="s">
        <v>12215</v>
      </c>
      <c r="J4892" s="3" t="str">
        <f>HYPERLINK("https://www.boe.es/gazeta/dias/1815/06/24/pdfs/GMD-1815-76.pdf#page=10","Abrir facsímil")</f>
        <v>Abrir facsímil</v>
      </c>
      <c r="K4892" s="3" t="s">
        <v>74</v>
      </c>
    </row>
    <row r="4893" spans="1:11" ht="42" customHeight="1">
      <c r="A4893" s="2" t="s">
        <v>12216</v>
      </c>
      <c r="B4893" s="2" t="s">
        <v>12217</v>
      </c>
      <c r="C4893" s="2" t="s">
        <v>49</v>
      </c>
      <c r="D4893" s="2" t="s">
        <v>50</v>
      </c>
      <c r="E4893" s="5">
        <v>-30886</v>
      </c>
      <c r="F4893" s="3" t="s">
        <v>140</v>
      </c>
      <c r="G4893" s="3" t="s">
        <v>224</v>
      </c>
      <c r="H4893" s="2" t="s">
        <v>72</v>
      </c>
      <c r="I4893" s="2" t="s">
        <v>12218</v>
      </c>
      <c r="J4893" s="3" t="str">
        <f>HYPERLINK("https://www.boe.es/gazeta/dias/1815/06/08/pdfs/GMD-1815-69.pdf#page=9","Abrir facsímil")</f>
        <v>Abrir facsímil</v>
      </c>
      <c r="K4893" s="3" t="s">
        <v>74</v>
      </c>
    </row>
    <row r="4894" spans="1:11" ht="42" customHeight="1">
      <c r="A4894" s="2" t="s">
        <v>12219</v>
      </c>
      <c r="B4894" s="2" t="s">
        <v>12220</v>
      </c>
      <c r="C4894" s="2" t="s">
        <v>31</v>
      </c>
      <c r="D4894" s="2" t="s">
        <v>32</v>
      </c>
      <c r="E4894" s="5">
        <v>-30739</v>
      </c>
      <c r="F4894" s="3" t="s">
        <v>254</v>
      </c>
      <c r="G4894" s="3" t="s">
        <v>88</v>
      </c>
      <c r="H4894" s="2" t="s">
        <v>72</v>
      </c>
      <c r="I4894" s="2" t="s">
        <v>12221</v>
      </c>
      <c r="J4894" s="3" t="str">
        <f>HYPERLINK("https://www.boe.es/gazeta/dias/1815/11/02/pdfs/GMD-1815-137.pdf#page=10","Abrir facsímil")</f>
        <v>Abrir facsímil</v>
      </c>
      <c r="K4894" s="3" t="s">
        <v>74</v>
      </c>
    </row>
    <row r="4895" spans="1:11" ht="42" customHeight="1">
      <c r="A4895" s="2" t="s">
        <v>12222</v>
      </c>
      <c r="B4895" s="2" t="s">
        <v>12223</v>
      </c>
      <c r="C4895" s="2" t="s">
        <v>17</v>
      </c>
      <c r="D4895" s="2" t="s">
        <v>18</v>
      </c>
      <c r="E4895" s="5">
        <v>-30968</v>
      </c>
      <c r="F4895" s="3" t="s">
        <v>2695</v>
      </c>
      <c r="G4895" s="3" t="s">
        <v>71</v>
      </c>
      <c r="H4895" s="2" t="s">
        <v>21</v>
      </c>
      <c r="I4895" s="2" t="s">
        <v>12224</v>
      </c>
      <c r="J4895" s="3" t="str">
        <f>HYPERLINK("https://www.boe.es/gazeta/dias/1815/03/18/pdfs/GMD-1815-33.pdf#page=7","Abrir facsímil")</f>
        <v>Abrir facsímil</v>
      </c>
      <c r="K4895" s="3" t="s">
        <v>23</v>
      </c>
    </row>
    <row r="4896" spans="1:11" ht="42" customHeight="1">
      <c r="A4896" s="2" t="s">
        <v>12225</v>
      </c>
      <c r="B4896" s="2" t="s">
        <v>12226</v>
      </c>
      <c r="C4896" s="2" t="s">
        <v>195</v>
      </c>
      <c r="D4896" s="2" t="s">
        <v>50</v>
      </c>
      <c r="E4896" s="5">
        <v>-30872</v>
      </c>
      <c r="F4896" s="3" t="s">
        <v>167</v>
      </c>
      <c r="G4896" s="3" t="s">
        <v>224</v>
      </c>
      <c r="H4896" s="2" t="s">
        <v>72</v>
      </c>
      <c r="I4896" s="2" t="s">
        <v>12227</v>
      </c>
      <c r="J4896" s="3" t="str">
        <f>HYPERLINK("https://www.boe.es/gazeta/dias/1815/06/22/pdfs/GMD-1815-75.pdf#page=9","Abrir facsímil")</f>
        <v>Abrir facsímil</v>
      </c>
      <c r="K4896" s="3" t="s">
        <v>74</v>
      </c>
    </row>
    <row r="4897" spans="1:11" ht="42" customHeight="1">
      <c r="A4897" s="2" t="s">
        <v>12228</v>
      </c>
      <c r="B4897" s="2" t="s">
        <v>12229</v>
      </c>
      <c r="C4897" s="2" t="s">
        <v>31</v>
      </c>
      <c r="D4897" s="2" t="s">
        <v>32</v>
      </c>
      <c r="E4897" s="5">
        <v>-30863</v>
      </c>
      <c r="F4897" s="3" t="s">
        <v>110</v>
      </c>
      <c r="G4897" s="3" t="s">
        <v>88</v>
      </c>
      <c r="H4897" s="2" t="s">
        <v>72</v>
      </c>
      <c r="I4897" s="2" t="s">
        <v>12230</v>
      </c>
      <c r="J4897" s="3" t="str">
        <f>HYPERLINK("https://www.boe.es/gazeta/dias/1815/07/01/pdfs/GMD-1815-79.pdf#page=10","Abrir facsímil")</f>
        <v>Abrir facsímil</v>
      </c>
      <c r="K4897" s="3" t="s">
        <v>74</v>
      </c>
    </row>
    <row r="4898" spans="1:11" ht="42" customHeight="1">
      <c r="A4898" s="2" t="s">
        <v>12231</v>
      </c>
      <c r="B4898" s="2" t="s">
        <v>12232</v>
      </c>
      <c r="C4898" s="2" t="s">
        <v>31</v>
      </c>
      <c r="D4898" s="2" t="s">
        <v>32</v>
      </c>
      <c r="E4898" s="5">
        <v>-30800</v>
      </c>
      <c r="F4898" s="3" t="s">
        <v>26</v>
      </c>
      <c r="G4898" s="3" t="s">
        <v>27</v>
      </c>
      <c r="H4898" s="2" t="s">
        <v>72</v>
      </c>
      <c r="I4898" s="2" t="s">
        <v>12233</v>
      </c>
      <c r="J4898" s="3" t="str">
        <f>HYPERLINK("https://www.boe.es/gazeta/dias/1815/09/02/pdfs/GMD-1815-109.pdf#page=6","Abrir facsímil")</f>
        <v>Abrir facsímil</v>
      </c>
      <c r="K4898" s="3" t="s">
        <v>74</v>
      </c>
    </row>
    <row r="4899" spans="1:11" ht="42" customHeight="1">
      <c r="A4899" s="2" t="s">
        <v>12234</v>
      </c>
      <c r="B4899" s="2" t="s">
        <v>12235</v>
      </c>
      <c r="C4899" s="2" t="s">
        <v>49</v>
      </c>
      <c r="D4899" s="2" t="s">
        <v>50</v>
      </c>
      <c r="E4899" s="5">
        <v>-30849</v>
      </c>
      <c r="F4899" s="3" t="s">
        <v>501</v>
      </c>
      <c r="G4899" s="3" t="s">
        <v>52</v>
      </c>
      <c r="H4899" s="2" t="s">
        <v>21</v>
      </c>
      <c r="I4899" s="2" t="s">
        <v>12236</v>
      </c>
      <c r="J4899" s="3" t="str">
        <f>HYPERLINK("https://www.boe.es/gazeta/dias/1815/07/15/pdfs/GMD-1815-87.pdf#page=11","Abrir facsímil")</f>
        <v>Abrir facsímil</v>
      </c>
      <c r="K4899" s="3" t="s">
        <v>23</v>
      </c>
    </row>
    <row r="4900" spans="1:11" ht="42" customHeight="1">
      <c r="A4900" s="2" t="s">
        <v>12237</v>
      </c>
      <c r="B4900" s="2" t="s">
        <v>12238</v>
      </c>
      <c r="C4900" s="2" t="s">
        <v>49</v>
      </c>
      <c r="D4900" s="2" t="s">
        <v>50</v>
      </c>
      <c r="E4900" s="5">
        <v>-30886</v>
      </c>
      <c r="F4900" s="3" t="s">
        <v>140</v>
      </c>
      <c r="G4900" s="3" t="s">
        <v>38</v>
      </c>
      <c r="H4900" s="2" t="s">
        <v>72</v>
      </c>
      <c r="I4900" s="2" t="s">
        <v>12239</v>
      </c>
      <c r="J4900" s="3" t="str">
        <f>HYPERLINK("https://www.boe.es/gazeta/dias/1815/06/08/pdfs/GMD-1815-69.pdf#page=8","Abrir facsímil")</f>
        <v>Abrir facsímil</v>
      </c>
      <c r="K4900" s="3" t="s">
        <v>74</v>
      </c>
    </row>
    <row r="4901" spans="1:11" ht="42" customHeight="1">
      <c r="A4901" s="2" t="s">
        <v>12240</v>
      </c>
      <c r="B4901" s="2" t="s">
        <v>12241</v>
      </c>
      <c r="C4901" s="2" t="s">
        <v>31</v>
      </c>
      <c r="D4901" s="2" t="s">
        <v>32</v>
      </c>
      <c r="E4901" s="5">
        <v>-30874</v>
      </c>
      <c r="F4901" s="3" t="s">
        <v>208</v>
      </c>
      <c r="G4901" s="3" t="s">
        <v>71</v>
      </c>
      <c r="H4901" s="2" t="s">
        <v>72</v>
      </c>
      <c r="I4901" s="2" t="s">
        <v>12242</v>
      </c>
      <c r="J4901" s="3" t="str">
        <f>HYPERLINK("https://www.boe.es/gazeta/dias/1815/06/20/pdfs/GMD-1815-74.pdf#page=7","Abrir facsímil")</f>
        <v>Abrir facsímil</v>
      </c>
      <c r="K4901" s="3" t="s">
        <v>74</v>
      </c>
    </row>
    <row r="4902" spans="1:11" ht="42" customHeight="1">
      <c r="A4902" s="2" t="s">
        <v>12243</v>
      </c>
      <c r="B4902" s="2" t="s">
        <v>12244</v>
      </c>
      <c r="C4902" s="2" t="s">
        <v>17</v>
      </c>
      <c r="D4902" s="2" t="s">
        <v>18</v>
      </c>
      <c r="E4902" s="5">
        <v>-30891</v>
      </c>
      <c r="F4902" s="3" t="s">
        <v>498</v>
      </c>
      <c r="G4902" s="3" t="s">
        <v>38</v>
      </c>
      <c r="H4902" s="2" t="s">
        <v>72</v>
      </c>
      <c r="I4902" s="2" t="s">
        <v>12245</v>
      </c>
      <c r="J4902" s="3" t="str">
        <f>HYPERLINK("https://www.boe.es/gazeta/dias/1815/06/03/pdfs/GMD-1815-67.pdf#page=8","Abrir facsímil")</f>
        <v>Abrir facsímil</v>
      </c>
      <c r="K4902" s="3" t="s">
        <v>74</v>
      </c>
    </row>
    <row r="4903" spans="1:11" ht="42" customHeight="1">
      <c r="A4903" s="2" t="s">
        <v>12246</v>
      </c>
      <c r="B4903" s="2" t="s">
        <v>12247</v>
      </c>
      <c r="C4903" s="2" t="s">
        <v>897</v>
      </c>
      <c r="D4903" s="2" t="s">
        <v>50</v>
      </c>
      <c r="E4903" s="5">
        <v>-30923</v>
      </c>
      <c r="F4903" s="3" t="s">
        <v>524</v>
      </c>
      <c r="G4903" s="3" t="s">
        <v>57</v>
      </c>
      <c r="H4903" s="2" t="s">
        <v>72</v>
      </c>
      <c r="I4903" s="2" t="s">
        <v>12248</v>
      </c>
      <c r="J4903" s="3" t="str">
        <f>HYPERLINK("https://www.boe.es/gazeta/dias/1815/05/02/pdfs/GMD-1815-53.pdf#page=5","Abrir facsímil")</f>
        <v>Abrir facsímil</v>
      </c>
      <c r="K4903" s="3" t="s">
        <v>74</v>
      </c>
    </row>
    <row r="4904" spans="1:11" ht="42" customHeight="1">
      <c r="A4904" s="2" t="s">
        <v>12249</v>
      </c>
      <c r="B4904" s="2" t="s">
        <v>12250</v>
      </c>
      <c r="C4904" s="2" t="s">
        <v>49</v>
      </c>
      <c r="D4904" s="2" t="s">
        <v>50</v>
      </c>
      <c r="E4904" s="5">
        <v>-30886</v>
      </c>
      <c r="F4904" s="3" t="s">
        <v>140</v>
      </c>
      <c r="G4904" s="3" t="s">
        <v>88</v>
      </c>
      <c r="H4904" s="2" t="s">
        <v>72</v>
      </c>
      <c r="I4904" s="2" t="s">
        <v>12251</v>
      </c>
      <c r="J4904" s="3" t="str">
        <f>HYPERLINK("https://www.boe.es/gazeta/dias/1815/06/08/pdfs/GMD-1815-69.pdf#page=10","Abrir facsímil")</f>
        <v>Abrir facsímil</v>
      </c>
      <c r="K4904" s="3" t="s">
        <v>74</v>
      </c>
    </row>
    <row r="4905" spans="1:11" ht="42" customHeight="1">
      <c r="A4905" s="2" t="s">
        <v>12252</v>
      </c>
      <c r="B4905" s="2" t="s">
        <v>12252</v>
      </c>
      <c r="C4905" s="2" t="s">
        <v>31</v>
      </c>
      <c r="D4905" s="2" t="s">
        <v>32</v>
      </c>
      <c r="E4905" s="5">
        <v>-30825</v>
      </c>
      <c r="F4905" s="3" t="s">
        <v>669</v>
      </c>
      <c r="G4905" s="3" t="s">
        <v>20</v>
      </c>
      <c r="H4905" s="2" t="s">
        <v>72</v>
      </c>
      <c r="I4905" s="2" t="s">
        <v>12253</v>
      </c>
      <c r="J4905" s="3" t="str">
        <f>HYPERLINK("https://www.boe.es/gazeta/dias/1815/08/08/pdfs/GMD-1815-97.pdf#page=4","Abrir facsímil")</f>
        <v>Abrir facsímil</v>
      </c>
      <c r="K4905" s="3" t="s">
        <v>74</v>
      </c>
    </row>
    <row r="4906" spans="1:11" ht="42" customHeight="1">
      <c r="A4906" s="2" t="s">
        <v>12252</v>
      </c>
      <c r="B4906" s="2" t="s">
        <v>12252</v>
      </c>
      <c r="C4906" s="2" t="s">
        <v>31</v>
      </c>
      <c r="D4906" s="2" t="s">
        <v>32</v>
      </c>
      <c r="E4906" s="5">
        <v>-30739</v>
      </c>
      <c r="F4906" s="3" t="s">
        <v>254</v>
      </c>
      <c r="G4906" s="3" t="s">
        <v>97</v>
      </c>
      <c r="H4906" s="2" t="s">
        <v>72</v>
      </c>
      <c r="I4906" s="2" t="s">
        <v>12254</v>
      </c>
      <c r="J4906" s="3" t="str">
        <f>HYPERLINK("https://www.boe.es/gazeta/dias/1815/11/02/pdfs/GMD-1815-137.pdf#page=3","Abrir facsímil")</f>
        <v>Abrir facsímil</v>
      </c>
      <c r="K4906" s="3" t="s">
        <v>74</v>
      </c>
    </row>
    <row r="4907" spans="1:11" ht="42" customHeight="1">
      <c r="A4907" s="2" t="s">
        <v>12255</v>
      </c>
      <c r="B4907" s="2" t="s">
        <v>12256</v>
      </c>
      <c r="C4907" s="2" t="s">
        <v>31</v>
      </c>
      <c r="D4907" s="2" t="s">
        <v>32</v>
      </c>
      <c r="E4907" s="5">
        <v>-30907</v>
      </c>
      <c r="F4907" s="3" t="s">
        <v>301</v>
      </c>
      <c r="G4907" s="3" t="s">
        <v>377</v>
      </c>
      <c r="H4907" s="2" t="s">
        <v>72</v>
      </c>
      <c r="I4907" s="2" t="s">
        <v>12257</v>
      </c>
      <c r="J4907" s="3" t="str">
        <f>HYPERLINK("https://www.boe.es/gazeta/dias/1815/05/18/pdfs/GMD-1815-60.pdf#page=2","Abrir facsímil")</f>
        <v>Abrir facsímil</v>
      </c>
      <c r="K4907" s="3" t="s">
        <v>74</v>
      </c>
    </row>
    <row r="4908" spans="1:11" ht="42" customHeight="1">
      <c r="A4908" s="2" t="s">
        <v>12258</v>
      </c>
      <c r="B4908" s="2" t="s">
        <v>12259</v>
      </c>
      <c r="C4908" s="2" t="s">
        <v>49</v>
      </c>
      <c r="D4908" s="2" t="s">
        <v>50</v>
      </c>
      <c r="E4908" s="5">
        <v>-30965</v>
      </c>
      <c r="F4908" s="3" t="s">
        <v>1679</v>
      </c>
      <c r="G4908" s="3" t="s">
        <v>377</v>
      </c>
      <c r="H4908" s="2" t="s">
        <v>72</v>
      </c>
      <c r="I4908" s="2" t="s">
        <v>12260</v>
      </c>
      <c r="J4908" s="3" t="str">
        <f>HYPERLINK("https://www.boe.es/gazeta/dias/1815/03/21/pdfs/GMD-1815-34.pdf#page=2","Abrir facsímil")</f>
        <v>Abrir facsímil</v>
      </c>
      <c r="K4908" s="3" t="s">
        <v>74</v>
      </c>
    </row>
    <row r="4909" spans="1:11" ht="42" customHeight="1">
      <c r="A4909" s="2" t="s">
        <v>12261</v>
      </c>
      <c r="B4909" s="2" t="s">
        <v>12262</v>
      </c>
      <c r="C4909" s="2" t="s">
        <v>49</v>
      </c>
      <c r="D4909" s="2" t="s">
        <v>50</v>
      </c>
      <c r="E4909" s="5">
        <v>-30865</v>
      </c>
      <c r="F4909" s="3" t="s">
        <v>163</v>
      </c>
      <c r="G4909" s="3" t="s">
        <v>71</v>
      </c>
      <c r="H4909" s="2" t="s">
        <v>72</v>
      </c>
      <c r="I4909" s="2" t="s">
        <v>12263</v>
      </c>
      <c r="J4909" s="3" t="str">
        <f>HYPERLINK("https://www.boe.es/gazeta/dias/1815/06/29/pdfs/GMD-1815-78.pdf#page=7","Abrir facsímil")</f>
        <v>Abrir facsímil</v>
      </c>
      <c r="K4909" s="3" t="s">
        <v>74</v>
      </c>
    </row>
    <row r="4910" spans="1:11" ht="42" customHeight="1">
      <c r="A4910" s="2" t="s">
        <v>12264</v>
      </c>
      <c r="B4910" s="2" t="s">
        <v>12264</v>
      </c>
      <c r="C4910" s="2" t="s">
        <v>31</v>
      </c>
      <c r="D4910" s="2" t="s">
        <v>32</v>
      </c>
      <c r="E4910" s="5">
        <v>-30832</v>
      </c>
      <c r="F4910" s="3" t="s">
        <v>266</v>
      </c>
      <c r="G4910" s="3" t="s">
        <v>27</v>
      </c>
      <c r="H4910" s="2" t="s">
        <v>72</v>
      </c>
      <c r="I4910" s="2" t="s">
        <v>12265</v>
      </c>
      <c r="J4910" s="3" t="str">
        <f>HYPERLINK("https://www.boe.es/gazeta/dias/1815/08/01/pdfs/GMD-1815-94.pdf#page=6","Abrir facsímil")</f>
        <v>Abrir facsímil</v>
      </c>
      <c r="K4910" s="3" t="s">
        <v>74</v>
      </c>
    </row>
    <row r="4911" spans="1:11" ht="42" customHeight="1">
      <c r="A4911" s="2" t="s">
        <v>12266</v>
      </c>
      <c r="B4911" s="2" t="s">
        <v>12266</v>
      </c>
      <c r="C4911" s="2" t="s">
        <v>31</v>
      </c>
      <c r="D4911" s="2" t="s">
        <v>32</v>
      </c>
      <c r="E4911" s="5">
        <v>-30914</v>
      </c>
      <c r="F4911" s="3" t="s">
        <v>338</v>
      </c>
      <c r="G4911" s="3" t="s">
        <v>377</v>
      </c>
      <c r="H4911" s="2" t="s">
        <v>72</v>
      </c>
      <c r="I4911" s="2" t="s">
        <v>12267</v>
      </c>
      <c r="J4911" s="3" t="str">
        <f>HYPERLINK("https://www.boe.es/gazeta/dias/1815/05/11/pdfs/GMD-1815-57.pdf#page=2","Abrir facsímil")</f>
        <v>Abrir facsímil</v>
      </c>
      <c r="K4911" s="3" t="s">
        <v>74</v>
      </c>
    </row>
    <row r="4912" spans="1:11" ht="42" customHeight="1">
      <c r="A4912" s="2" t="s">
        <v>12268</v>
      </c>
      <c r="B4912" s="2" t="s">
        <v>12268</v>
      </c>
      <c r="C4912" s="2" t="s">
        <v>31</v>
      </c>
      <c r="D4912" s="2" t="s">
        <v>32</v>
      </c>
      <c r="E4912" s="5">
        <v>-30823</v>
      </c>
      <c r="F4912" s="3" t="s">
        <v>305</v>
      </c>
      <c r="G4912" s="3" t="s">
        <v>20</v>
      </c>
      <c r="H4912" s="2" t="s">
        <v>72</v>
      </c>
      <c r="I4912" s="2" t="s">
        <v>12269</v>
      </c>
      <c r="J4912" s="3" t="str">
        <f>HYPERLINK("https://www.boe.es/gazeta/dias/1815/08/10/pdfs/GMD-1815-98.pdf#page=4","Abrir facsímil")</f>
        <v>Abrir facsímil</v>
      </c>
      <c r="K4912" s="3" t="s">
        <v>74</v>
      </c>
    </row>
    <row r="4913" spans="1:11" ht="42" customHeight="1">
      <c r="A4913" s="2" t="s">
        <v>12270</v>
      </c>
      <c r="B4913" s="2" t="s">
        <v>12270</v>
      </c>
      <c r="C4913" s="2" t="s">
        <v>31</v>
      </c>
      <c r="D4913" s="2" t="s">
        <v>32</v>
      </c>
      <c r="E4913" s="5">
        <v>-30832</v>
      </c>
      <c r="F4913" s="3" t="s">
        <v>266</v>
      </c>
      <c r="G4913" s="3" t="s">
        <v>20</v>
      </c>
      <c r="H4913" s="2" t="s">
        <v>72</v>
      </c>
      <c r="I4913" s="2" t="s">
        <v>12271</v>
      </c>
      <c r="J4913" s="3" t="str">
        <f>HYPERLINK("https://www.boe.es/gazeta/dias/1815/08/01/pdfs/GMD-1815-94.pdf#page=4","Abrir facsímil")</f>
        <v>Abrir facsímil</v>
      </c>
      <c r="K4913" s="3" t="s">
        <v>74</v>
      </c>
    </row>
    <row r="4914" spans="1:11" ht="42" customHeight="1">
      <c r="A4914" s="2" t="s">
        <v>12272</v>
      </c>
      <c r="B4914" s="2" t="s">
        <v>12273</v>
      </c>
      <c r="C4914" s="2" t="s">
        <v>17</v>
      </c>
      <c r="D4914" s="2" t="s">
        <v>18</v>
      </c>
      <c r="E4914" s="5">
        <v>-30804</v>
      </c>
      <c r="F4914" s="3" t="s">
        <v>891</v>
      </c>
      <c r="G4914" s="3" t="s">
        <v>377</v>
      </c>
      <c r="H4914" s="2" t="s">
        <v>72</v>
      </c>
      <c r="I4914" s="2" t="s">
        <v>12274</v>
      </c>
      <c r="J4914" s="3" t="str">
        <f>HYPERLINK("https://www.boe.es/gazeta/dias/1815/08/29/pdfs/GMD-1815-106.pdf#page=2","Abrir facsímil")</f>
        <v>Abrir facsímil</v>
      </c>
      <c r="K4914" s="3" t="s">
        <v>74</v>
      </c>
    </row>
    <row r="4915" spans="1:11" ht="42" customHeight="1">
      <c r="A4915" s="2" t="s">
        <v>12275</v>
      </c>
      <c r="B4915" s="2" t="s">
        <v>12276</v>
      </c>
      <c r="C4915" s="2" t="s">
        <v>49</v>
      </c>
      <c r="D4915" s="2" t="s">
        <v>50</v>
      </c>
      <c r="E4915" s="5">
        <v>-30716</v>
      </c>
      <c r="F4915" s="3" t="s">
        <v>589</v>
      </c>
      <c r="G4915" s="3" t="s">
        <v>410</v>
      </c>
      <c r="H4915" s="2" t="s">
        <v>72</v>
      </c>
      <c r="I4915" s="2" t="s">
        <v>12277</v>
      </c>
      <c r="J4915" s="3" t="str">
        <f>HYPERLINK("https://www.boe.es/gazeta/dias/1815/11/25/pdfs/GMD-1815-147.pdf#page=1","Abrir facsímil")</f>
        <v>Abrir facsímil</v>
      </c>
      <c r="K4915" s="3" t="s">
        <v>74</v>
      </c>
    </row>
    <row r="4916" spans="1:11" ht="42" customHeight="1">
      <c r="A4916" s="2" t="s">
        <v>12278</v>
      </c>
      <c r="B4916" s="2" t="s">
        <v>12279</v>
      </c>
      <c r="C4916" s="2" t="s">
        <v>31</v>
      </c>
      <c r="D4916" s="2" t="s">
        <v>32</v>
      </c>
      <c r="E4916" s="5">
        <v>-30790</v>
      </c>
      <c r="F4916" s="3" t="s">
        <v>285</v>
      </c>
      <c r="G4916" s="3" t="s">
        <v>377</v>
      </c>
      <c r="H4916" s="2" t="s">
        <v>72</v>
      </c>
      <c r="I4916" s="2" t="s">
        <v>12280</v>
      </c>
      <c r="J4916" s="3" t="str">
        <f>HYPERLINK("https://www.boe.es/gazeta/dias/1815/09/12/pdfs/GMD-1815-113.pdf#page=2","Abrir facsímil")</f>
        <v>Abrir facsímil</v>
      </c>
      <c r="K4916" s="3" t="s">
        <v>74</v>
      </c>
    </row>
    <row r="4917" spans="1:11" ht="42" customHeight="1">
      <c r="A4917" s="2" t="s">
        <v>12278</v>
      </c>
      <c r="B4917" s="2" t="s">
        <v>12279</v>
      </c>
      <c r="C4917" s="2" t="s">
        <v>31</v>
      </c>
      <c r="D4917" s="2" t="s">
        <v>32</v>
      </c>
      <c r="E4917" s="5">
        <v>-30744</v>
      </c>
      <c r="F4917" s="3" t="s">
        <v>391</v>
      </c>
      <c r="G4917" s="3" t="s">
        <v>377</v>
      </c>
      <c r="H4917" s="2" t="s">
        <v>72</v>
      </c>
      <c r="I4917" s="2" t="s">
        <v>12281</v>
      </c>
      <c r="J4917" s="3" t="str">
        <f>HYPERLINK("https://www.boe.es/gazeta/dias/1815/10/28/pdfs/GMD-1815-135.pdf#page=2","Abrir facsímil")</f>
        <v>Abrir facsímil</v>
      </c>
      <c r="K4917" s="3" t="s">
        <v>74</v>
      </c>
    </row>
    <row r="4918" spans="1:11" ht="42" customHeight="1">
      <c r="A4918" s="2" t="s">
        <v>12282</v>
      </c>
      <c r="B4918" s="2" t="s">
        <v>12282</v>
      </c>
      <c r="C4918" s="2" t="s">
        <v>31</v>
      </c>
      <c r="D4918" s="2" t="s">
        <v>32</v>
      </c>
      <c r="E4918" s="5">
        <v>-30823</v>
      </c>
      <c r="F4918" s="3" t="s">
        <v>305</v>
      </c>
      <c r="G4918" s="3" t="s">
        <v>57</v>
      </c>
      <c r="H4918" s="2" t="s">
        <v>72</v>
      </c>
      <c r="I4918" s="2" t="s">
        <v>12283</v>
      </c>
      <c r="J4918" s="3" t="str">
        <f>HYPERLINK("https://www.boe.es/gazeta/dias/1815/08/10/pdfs/GMD-1815-98.pdf#page=5","Abrir facsímil")</f>
        <v>Abrir facsímil</v>
      </c>
      <c r="K4918" s="3" t="s">
        <v>74</v>
      </c>
    </row>
    <row r="4919" spans="1:11" ht="42" customHeight="1">
      <c r="A4919" s="2" t="s">
        <v>12284</v>
      </c>
      <c r="B4919" s="2" t="s">
        <v>12284</v>
      </c>
      <c r="C4919" s="2" t="s">
        <v>31</v>
      </c>
      <c r="D4919" s="2" t="s">
        <v>32</v>
      </c>
      <c r="E4919" s="5">
        <v>-30933</v>
      </c>
      <c r="F4919" s="3" t="s">
        <v>725</v>
      </c>
      <c r="G4919" s="3" t="s">
        <v>377</v>
      </c>
      <c r="H4919" s="2" t="s">
        <v>72</v>
      </c>
      <c r="I4919" s="2" t="s">
        <v>12285</v>
      </c>
      <c r="J4919" s="3" t="str">
        <f>HYPERLINK("https://www.boe.es/gazeta/dias/1815/04/22/pdfs/GMD-1815-49.pdf#page=2","Abrir facsímil")</f>
        <v>Abrir facsímil</v>
      </c>
      <c r="K4919" s="3" t="s">
        <v>74</v>
      </c>
    </row>
    <row r="4920" spans="1:11" ht="42" customHeight="1">
      <c r="A4920" s="2" t="s">
        <v>12286</v>
      </c>
      <c r="B4920" s="2" t="s">
        <v>12287</v>
      </c>
      <c r="C4920" s="2" t="s">
        <v>61</v>
      </c>
      <c r="D4920" s="2" t="s">
        <v>50</v>
      </c>
      <c r="E4920" s="5">
        <v>-30858</v>
      </c>
      <c r="F4920" s="3" t="s">
        <v>1928</v>
      </c>
      <c r="G4920" s="3" t="s">
        <v>38</v>
      </c>
      <c r="H4920" s="2" t="s">
        <v>72</v>
      </c>
      <c r="I4920" s="2" t="s">
        <v>12288</v>
      </c>
      <c r="J4920" s="3" t="str">
        <f>HYPERLINK("https://www.boe.es/gazeta/dias/1815/07/06/pdfs/GMD-1815-83.pdf#page=8","Abrir facsímil")</f>
        <v>Abrir facsímil</v>
      </c>
      <c r="K4920" s="3" t="s">
        <v>74</v>
      </c>
    </row>
    <row r="4921" spans="1:11" ht="42" customHeight="1">
      <c r="A4921" s="2" t="s">
        <v>12289</v>
      </c>
      <c r="B4921" s="2" t="s">
        <v>12289</v>
      </c>
      <c r="C4921" s="2" t="s">
        <v>31</v>
      </c>
      <c r="D4921" s="2" t="s">
        <v>32</v>
      </c>
      <c r="E4921" s="5">
        <v>-30741</v>
      </c>
      <c r="F4921" s="3" t="s">
        <v>1000</v>
      </c>
      <c r="G4921" s="3" t="s">
        <v>377</v>
      </c>
      <c r="H4921" s="2" t="s">
        <v>72</v>
      </c>
      <c r="I4921" s="2" t="s">
        <v>12290</v>
      </c>
      <c r="J4921" s="3" t="str">
        <f>HYPERLINK("https://www.boe.es/gazeta/dias/1815/10/31/pdfs/GMD-1815-136.pdf#page=2","Abrir facsímil")</f>
        <v>Abrir facsímil</v>
      </c>
      <c r="K4921" s="3" t="s">
        <v>74</v>
      </c>
    </row>
    <row r="4922" spans="1:11" ht="42" customHeight="1">
      <c r="A4922" s="2" t="s">
        <v>12291</v>
      </c>
      <c r="B4922" s="2" t="s">
        <v>12292</v>
      </c>
      <c r="C4922" s="2" t="s">
        <v>17</v>
      </c>
      <c r="D4922" s="2" t="s">
        <v>18</v>
      </c>
      <c r="E4922" s="5">
        <v>-30975</v>
      </c>
      <c r="F4922" s="3" t="s">
        <v>1194</v>
      </c>
      <c r="G4922" s="3" t="s">
        <v>38</v>
      </c>
      <c r="H4922" s="2" t="s">
        <v>21</v>
      </c>
      <c r="I4922" s="2" t="s">
        <v>12293</v>
      </c>
      <c r="J4922" s="3" t="str">
        <f>HYPERLINK("https://www.boe.es/gazeta/dias/1815/03/11/pdfs/GMD-1815-30.pdf#page=8","Abrir facsímil")</f>
        <v>Abrir facsímil</v>
      </c>
      <c r="K4922" s="3" t="s">
        <v>23</v>
      </c>
    </row>
    <row r="4923" spans="1:11" ht="42" customHeight="1">
      <c r="A4923" s="2" t="s">
        <v>12294</v>
      </c>
      <c r="B4923" s="2" t="s">
        <v>12295</v>
      </c>
      <c r="C4923" s="2" t="s">
        <v>49</v>
      </c>
      <c r="D4923" s="2" t="s">
        <v>50</v>
      </c>
      <c r="E4923" s="5">
        <v>-30844</v>
      </c>
      <c r="F4923" s="3" t="s">
        <v>114</v>
      </c>
      <c r="G4923" s="3" t="s">
        <v>71</v>
      </c>
      <c r="H4923" s="2" t="s">
        <v>21</v>
      </c>
      <c r="I4923" s="2" t="s">
        <v>12296</v>
      </c>
      <c r="J4923" s="3" t="str">
        <f>HYPERLINK("https://www.boe.es/gazeta/dias/1815/07/20/pdfs/GMD-1815-89.pdf#page=7","Abrir facsímil")</f>
        <v>Abrir facsímil</v>
      </c>
      <c r="K4923" s="3" t="s">
        <v>23</v>
      </c>
    </row>
    <row r="4924" spans="1:11" ht="42" customHeight="1">
      <c r="A4924" s="2" t="s">
        <v>12297</v>
      </c>
      <c r="B4924" s="2" t="s">
        <v>12298</v>
      </c>
      <c r="C4924" s="2" t="s">
        <v>17</v>
      </c>
      <c r="D4924" s="2" t="s">
        <v>18</v>
      </c>
      <c r="E4924" s="5">
        <v>-30914</v>
      </c>
      <c r="F4924" s="3" t="s">
        <v>338</v>
      </c>
      <c r="G4924" s="3" t="s">
        <v>88</v>
      </c>
      <c r="H4924" s="2" t="s">
        <v>72</v>
      </c>
      <c r="I4924" s="2" t="s">
        <v>12299</v>
      </c>
      <c r="J4924" s="3" t="str">
        <f>HYPERLINK("https://www.boe.es/gazeta/dias/1815/05/11/pdfs/GMD-1815-57.pdf#page=10","Abrir facsímil")</f>
        <v>Abrir facsímil</v>
      </c>
      <c r="K4924" s="3" t="s">
        <v>74</v>
      </c>
    </row>
    <row r="4925" spans="1:11" ht="42" customHeight="1">
      <c r="A4925" s="2" t="s">
        <v>12300</v>
      </c>
      <c r="B4925" s="2" t="s">
        <v>12301</v>
      </c>
      <c r="C4925" s="2" t="s">
        <v>17</v>
      </c>
      <c r="D4925" s="2" t="s">
        <v>18</v>
      </c>
      <c r="E4925" s="5">
        <v>-30772</v>
      </c>
      <c r="F4925" s="3" t="s">
        <v>216</v>
      </c>
      <c r="G4925" s="3" t="s">
        <v>990</v>
      </c>
      <c r="H4925" s="2" t="s">
        <v>72</v>
      </c>
      <c r="I4925" s="2" t="s">
        <v>12302</v>
      </c>
      <c r="J4925" s="3" t="str">
        <f>HYPERLINK("https://www.boe.es/gazeta/dias/1815/09/30/pdfs/GMD-1815-123.pdf#page=8","Abrir facsímil")</f>
        <v>Abrir facsímil</v>
      </c>
      <c r="K4925" s="3" t="s">
        <v>74</v>
      </c>
    </row>
    <row r="4926" spans="1:11" ht="42" customHeight="1">
      <c r="A4926" s="2" t="s">
        <v>12303</v>
      </c>
      <c r="B4926" s="2" t="s">
        <v>12303</v>
      </c>
      <c r="C4926" s="2" t="s">
        <v>31</v>
      </c>
      <c r="D4926" s="2" t="s">
        <v>32</v>
      </c>
      <c r="E4926" s="5">
        <v>-31028</v>
      </c>
      <c r="F4926" s="3" t="s">
        <v>517</v>
      </c>
      <c r="G4926" s="3" t="s">
        <v>88</v>
      </c>
      <c r="H4926" s="2" t="s">
        <v>72</v>
      </c>
      <c r="I4926" s="2" t="s">
        <v>12304</v>
      </c>
      <c r="J4926" s="3" t="str">
        <f>HYPERLINK("https://www.boe.es/gazeta/dias/1815/01/17/pdfs/GMD-1815-7.pdf#page=10","Abrir facsímil")</f>
        <v>Abrir facsímil</v>
      </c>
      <c r="K4926" s="3" t="s">
        <v>74</v>
      </c>
    </row>
    <row r="4927" spans="1:11" ht="42" customHeight="1">
      <c r="A4927" s="2" t="s">
        <v>12305</v>
      </c>
      <c r="B4927" s="2" t="s">
        <v>12306</v>
      </c>
      <c r="C4927" s="2" t="s">
        <v>31</v>
      </c>
      <c r="D4927" s="2" t="s">
        <v>32</v>
      </c>
      <c r="E4927" s="5">
        <v>-30860</v>
      </c>
      <c r="F4927" s="3" t="s">
        <v>184</v>
      </c>
      <c r="G4927" s="3" t="s">
        <v>71</v>
      </c>
      <c r="H4927" s="2" t="s">
        <v>72</v>
      </c>
      <c r="I4927" s="2" t="s">
        <v>12307</v>
      </c>
      <c r="J4927" s="3" t="str">
        <f>HYPERLINK("https://www.boe.es/gazeta/dias/1815/07/04/pdfs/GMD-1815-81.pdf#page=7","Abrir facsímil")</f>
        <v>Abrir facsímil</v>
      </c>
      <c r="K4927" s="3" t="s">
        <v>74</v>
      </c>
    </row>
    <row r="4928" spans="1:11" ht="42" customHeight="1">
      <c r="A4928" s="2" t="s">
        <v>12308</v>
      </c>
      <c r="B4928" s="2" t="s">
        <v>12309</v>
      </c>
      <c r="C4928" s="2" t="s">
        <v>17</v>
      </c>
      <c r="D4928" s="2" t="s">
        <v>18</v>
      </c>
      <c r="E4928" s="5">
        <v>-30814</v>
      </c>
      <c r="F4928" s="3" t="s">
        <v>644</v>
      </c>
      <c r="G4928" s="3" t="s">
        <v>38</v>
      </c>
      <c r="H4928" s="2" t="s">
        <v>72</v>
      </c>
      <c r="I4928" s="2" t="s">
        <v>12310</v>
      </c>
      <c r="J4928" s="3" t="str">
        <f>HYPERLINK("https://www.boe.es/gazeta/dias/1815/08/19/pdfs/GMD-1815-102.pdf#page=8","Abrir facsímil")</f>
        <v>Abrir facsímil</v>
      </c>
      <c r="K4928" s="3" t="s">
        <v>74</v>
      </c>
    </row>
    <row r="4929" spans="1:11" ht="42" customHeight="1">
      <c r="A4929" s="2" t="s">
        <v>12308</v>
      </c>
      <c r="B4929" s="2" t="s">
        <v>12309</v>
      </c>
      <c r="C4929" s="2" t="s">
        <v>17</v>
      </c>
      <c r="D4929" s="2" t="s">
        <v>18</v>
      </c>
      <c r="E4929" s="5">
        <v>-30730</v>
      </c>
      <c r="F4929" s="3" t="s">
        <v>953</v>
      </c>
      <c r="G4929" s="3" t="s">
        <v>38</v>
      </c>
      <c r="H4929" s="2" t="s">
        <v>72</v>
      </c>
      <c r="I4929" s="2" t="s">
        <v>12311</v>
      </c>
      <c r="J4929" s="3" t="str">
        <f>HYPERLINK("https://www.boe.es/gazeta/dias/1815/11/11/pdfs/GMD-1815-141.pdf#page=8","Abrir facsímil")</f>
        <v>Abrir facsímil</v>
      </c>
      <c r="K4929" s="3" t="s">
        <v>74</v>
      </c>
    </row>
    <row r="4930" spans="1:11" ht="42" customHeight="1">
      <c r="A4930" s="2" t="s">
        <v>12308</v>
      </c>
      <c r="B4930" s="2" t="s">
        <v>12309</v>
      </c>
      <c r="C4930" s="2" t="s">
        <v>61</v>
      </c>
      <c r="D4930" s="2" t="s">
        <v>50</v>
      </c>
      <c r="E4930" s="5">
        <v>-30697</v>
      </c>
      <c r="F4930" s="3" t="s">
        <v>381</v>
      </c>
      <c r="G4930" s="3" t="s">
        <v>1556</v>
      </c>
      <c r="H4930" s="2" t="s">
        <v>72</v>
      </c>
      <c r="I4930" s="2" t="s">
        <v>12312</v>
      </c>
      <c r="J4930" s="3" t="str">
        <f>HYPERLINK("https://www.boe.es/gazeta/dias/1815/12/14/pdfs/GMD-1815-155.pdf#page=8","Abrir facsímil")</f>
        <v>Abrir facsímil</v>
      </c>
      <c r="K4930" s="3" t="s">
        <v>74</v>
      </c>
    </row>
    <row r="4931" spans="1:11" ht="42" customHeight="1">
      <c r="A4931" s="2" t="s">
        <v>12313</v>
      </c>
      <c r="B4931" s="2" t="s">
        <v>12313</v>
      </c>
      <c r="C4931" s="2" t="s">
        <v>17</v>
      </c>
      <c r="D4931" s="2" t="s">
        <v>18</v>
      </c>
      <c r="E4931" s="5">
        <v>-31026</v>
      </c>
      <c r="F4931" s="3" t="s">
        <v>874</v>
      </c>
      <c r="G4931" s="3" t="s">
        <v>27</v>
      </c>
      <c r="H4931" s="2" t="s">
        <v>72</v>
      </c>
      <c r="I4931" s="2" t="s">
        <v>12314</v>
      </c>
      <c r="J4931" s="3" t="str">
        <f>HYPERLINK("https://www.boe.es/gazeta/dias/1815/01/19/pdfs/GMD-1815-8.pdf#page=6","Abrir facsímil")</f>
        <v>Abrir facsímil</v>
      </c>
      <c r="K4931" s="3" t="s">
        <v>74</v>
      </c>
    </row>
    <row r="4932" spans="1:11" ht="42" customHeight="1">
      <c r="A4932" s="2" t="s">
        <v>12313</v>
      </c>
      <c r="B4932" s="2" t="s">
        <v>12313</v>
      </c>
      <c r="C4932" s="2" t="s">
        <v>17</v>
      </c>
      <c r="D4932" s="2" t="s">
        <v>18</v>
      </c>
      <c r="E4932" s="5">
        <v>-30972</v>
      </c>
      <c r="F4932" s="3" t="s">
        <v>1382</v>
      </c>
      <c r="G4932" s="3" t="s">
        <v>20</v>
      </c>
      <c r="H4932" s="2" t="s">
        <v>72</v>
      </c>
      <c r="I4932" s="2" t="s">
        <v>12315</v>
      </c>
      <c r="J4932" s="3" t="str">
        <f>HYPERLINK("https://www.boe.es/gazeta/dias/1815/03/14/pdfs/GMD-1815-31.pdf#page=4","Abrir facsímil")</f>
        <v>Abrir facsímil</v>
      </c>
      <c r="K4932" s="3" t="s">
        <v>74</v>
      </c>
    </row>
    <row r="4933" spans="1:11" ht="42" customHeight="1">
      <c r="A4933" s="2" t="s">
        <v>12313</v>
      </c>
      <c r="B4933" s="2" t="s">
        <v>12313</v>
      </c>
      <c r="C4933" s="2" t="s">
        <v>31</v>
      </c>
      <c r="D4933" s="2" t="s">
        <v>32</v>
      </c>
      <c r="E4933" s="5">
        <v>-30811</v>
      </c>
      <c r="F4933" s="3" t="s">
        <v>293</v>
      </c>
      <c r="G4933" s="3" t="s">
        <v>57</v>
      </c>
      <c r="H4933" s="2" t="s">
        <v>72</v>
      </c>
      <c r="I4933" s="2" t="s">
        <v>12316</v>
      </c>
      <c r="J4933" s="3" t="str">
        <f>HYPERLINK("https://www.boe.es/gazeta/dias/1815/08/22/pdfs/GMD-1815-103.pdf#page=5","Abrir facsímil")</f>
        <v>Abrir facsímil</v>
      </c>
      <c r="K4933" s="3" t="s">
        <v>74</v>
      </c>
    </row>
    <row r="4934" spans="1:11" ht="42" customHeight="1">
      <c r="A4934" s="2" t="s">
        <v>12317</v>
      </c>
      <c r="B4934" s="2" t="s">
        <v>12317</v>
      </c>
      <c r="C4934" s="2" t="s">
        <v>17</v>
      </c>
      <c r="D4934" s="2" t="s">
        <v>18</v>
      </c>
      <c r="E4934" s="5">
        <v>-30811</v>
      </c>
      <c r="F4934" s="3" t="s">
        <v>293</v>
      </c>
      <c r="G4934" s="3" t="s">
        <v>27</v>
      </c>
      <c r="H4934" s="2" t="s">
        <v>72</v>
      </c>
      <c r="I4934" s="2" t="s">
        <v>12318</v>
      </c>
      <c r="J4934" s="3" t="str">
        <f>HYPERLINK("https://www.boe.es/gazeta/dias/1815/08/22/pdfs/GMD-1815-103.pdf#page=6","Abrir facsímil")</f>
        <v>Abrir facsímil</v>
      </c>
      <c r="K4934" s="3" t="s">
        <v>74</v>
      </c>
    </row>
    <row r="4935" spans="1:11" ht="42" customHeight="1">
      <c r="A4935" s="2" t="s">
        <v>12313</v>
      </c>
      <c r="B4935" s="2" t="s">
        <v>12313</v>
      </c>
      <c r="C4935" s="2" t="s">
        <v>17</v>
      </c>
      <c r="D4935" s="2" t="s">
        <v>18</v>
      </c>
      <c r="E4935" s="5">
        <v>-30809</v>
      </c>
      <c r="F4935" s="3" t="s">
        <v>82</v>
      </c>
      <c r="G4935" s="3" t="s">
        <v>27</v>
      </c>
      <c r="H4935" s="2" t="s">
        <v>72</v>
      </c>
      <c r="I4935" s="2" t="s">
        <v>12319</v>
      </c>
      <c r="J4935" s="3" t="str">
        <f>HYPERLINK("https://www.boe.es/gazeta/dias/1815/08/24/pdfs/GMD-1815-104.pdf#page=6","Abrir facsímil")</f>
        <v>Abrir facsímil</v>
      </c>
      <c r="K4935" s="3" t="s">
        <v>74</v>
      </c>
    </row>
    <row r="4936" spans="1:11" ht="42" customHeight="1">
      <c r="A4936" s="2" t="s">
        <v>12313</v>
      </c>
      <c r="B4936" s="2" t="s">
        <v>12313</v>
      </c>
      <c r="C4936" s="2" t="s">
        <v>31</v>
      </c>
      <c r="D4936" s="2" t="s">
        <v>32</v>
      </c>
      <c r="E4936" s="5">
        <v>-30807</v>
      </c>
      <c r="F4936" s="3" t="s">
        <v>586</v>
      </c>
      <c r="G4936" s="3" t="s">
        <v>20</v>
      </c>
      <c r="H4936" s="2" t="s">
        <v>72</v>
      </c>
      <c r="I4936" s="2" t="s">
        <v>12320</v>
      </c>
      <c r="J4936" s="3" t="str">
        <f>HYPERLINK("https://www.boe.es/gazeta/dias/1815/08/26/pdfs/GMD-1815-105.pdf#page=4","Abrir facsímil")</f>
        <v>Abrir facsímil</v>
      </c>
      <c r="K4936" s="3" t="s">
        <v>74</v>
      </c>
    </row>
    <row r="4937" spans="1:11" ht="42" customHeight="1">
      <c r="A4937" s="2" t="s">
        <v>12313</v>
      </c>
      <c r="B4937" s="2" t="s">
        <v>12313</v>
      </c>
      <c r="C4937" s="2" t="s">
        <v>31</v>
      </c>
      <c r="D4937" s="2" t="s">
        <v>32</v>
      </c>
      <c r="E4937" s="5">
        <v>-30800</v>
      </c>
      <c r="F4937" s="3" t="s">
        <v>26</v>
      </c>
      <c r="G4937" s="3" t="s">
        <v>57</v>
      </c>
      <c r="H4937" s="2" t="s">
        <v>72</v>
      </c>
      <c r="I4937" s="2" t="s">
        <v>12321</v>
      </c>
      <c r="J4937" s="3" t="str">
        <f>HYPERLINK("https://www.boe.es/gazeta/dias/1815/09/02/pdfs/GMD-1815-109.pdf#page=5","Abrir facsímil")</f>
        <v>Abrir facsímil</v>
      </c>
      <c r="K4937" s="3" t="s">
        <v>74</v>
      </c>
    </row>
    <row r="4938" spans="1:11" ht="42" customHeight="1">
      <c r="A4938" s="2" t="s">
        <v>12313</v>
      </c>
      <c r="B4938" s="2" t="s">
        <v>12313</v>
      </c>
      <c r="C4938" s="2" t="s">
        <v>31</v>
      </c>
      <c r="D4938" s="2" t="s">
        <v>32</v>
      </c>
      <c r="E4938" s="5">
        <v>-30795</v>
      </c>
      <c r="F4938" s="3" t="s">
        <v>172</v>
      </c>
      <c r="G4938" s="3" t="s">
        <v>12322</v>
      </c>
      <c r="H4938" s="2" t="s">
        <v>72</v>
      </c>
      <c r="I4938" s="2" t="s">
        <v>12323</v>
      </c>
      <c r="J4938" s="3" t="str">
        <f>HYPERLINK("https://www.boe.es/gazeta/dias/1815/09/07/pdfs/GMD-1815-111.pdf#page=9","Abrir facsímil")</f>
        <v>Abrir facsímil</v>
      </c>
      <c r="K4938" s="3" t="s">
        <v>74</v>
      </c>
    </row>
    <row r="4939" spans="1:11" ht="42" customHeight="1">
      <c r="A4939" s="2" t="s">
        <v>12313</v>
      </c>
      <c r="B4939" s="2" t="s">
        <v>12313</v>
      </c>
      <c r="C4939" s="2" t="s">
        <v>31</v>
      </c>
      <c r="D4939" s="2" t="s">
        <v>179</v>
      </c>
      <c r="E4939" s="5">
        <v>-30773</v>
      </c>
      <c r="F4939" s="3" t="s">
        <v>6571</v>
      </c>
      <c r="G4939" s="3" t="s">
        <v>410</v>
      </c>
      <c r="H4939" s="2" t="s">
        <v>72</v>
      </c>
      <c r="I4939" s="2" t="s">
        <v>12324</v>
      </c>
      <c r="J4939" s="3" t="str">
        <f>HYPERLINK("https://www.boe.es/gazeta/dias/1815/09/29/pdfs/GMD-1815-122E.pdf#page=1","Abrir facsímil")</f>
        <v>Abrir facsímil</v>
      </c>
      <c r="K4939" s="3" t="s">
        <v>74</v>
      </c>
    </row>
    <row r="4940" spans="1:11" ht="42" customHeight="1">
      <c r="A4940" s="2" t="s">
        <v>12313</v>
      </c>
      <c r="B4940" s="2" t="s">
        <v>12313</v>
      </c>
      <c r="C4940" s="2" t="s">
        <v>31</v>
      </c>
      <c r="D4940" s="2" t="s">
        <v>32</v>
      </c>
      <c r="E4940" s="5">
        <v>-30751</v>
      </c>
      <c r="F4940" s="3" t="s">
        <v>819</v>
      </c>
      <c r="G4940" s="3" t="s">
        <v>27</v>
      </c>
      <c r="H4940" s="2" t="s">
        <v>72</v>
      </c>
      <c r="I4940" s="2" t="s">
        <v>12325</v>
      </c>
      <c r="J4940" s="3" t="str">
        <f>HYPERLINK("https://www.boe.es/gazeta/dias/1815/10/21/pdfs/GMD-1815-132.pdf#page=6","Abrir facsímil")</f>
        <v>Abrir facsímil</v>
      </c>
      <c r="K4940" s="3" t="s">
        <v>74</v>
      </c>
    </row>
    <row r="4941" spans="1:11" ht="42" customHeight="1">
      <c r="A4941" s="2" t="s">
        <v>12313</v>
      </c>
      <c r="B4941" s="2" t="s">
        <v>12313</v>
      </c>
      <c r="C4941" s="2" t="s">
        <v>17</v>
      </c>
      <c r="D4941" s="2" t="s">
        <v>18</v>
      </c>
      <c r="E4941" s="5">
        <v>-30744</v>
      </c>
      <c r="F4941" s="3" t="s">
        <v>391</v>
      </c>
      <c r="G4941" s="3" t="s">
        <v>97</v>
      </c>
      <c r="H4941" s="2" t="s">
        <v>72</v>
      </c>
      <c r="I4941" s="2" t="s">
        <v>12326</v>
      </c>
      <c r="J4941" s="3" t="str">
        <f>HYPERLINK("https://www.boe.es/gazeta/dias/1815/10/28/pdfs/GMD-1815-135.pdf#page=3","Abrir facsímil")</f>
        <v>Abrir facsímil</v>
      </c>
      <c r="K4941" s="3" t="s">
        <v>74</v>
      </c>
    </row>
    <row r="4942" spans="1:11" ht="42" customHeight="1">
      <c r="A4942" s="2" t="s">
        <v>12327</v>
      </c>
      <c r="B4942" s="2" t="s">
        <v>12328</v>
      </c>
      <c r="C4942" s="2" t="s">
        <v>131</v>
      </c>
      <c r="D4942" s="2" t="s">
        <v>50</v>
      </c>
      <c r="E4942" s="5">
        <v>-30888</v>
      </c>
      <c r="F4942" s="3" t="s">
        <v>368</v>
      </c>
      <c r="G4942" s="3" t="s">
        <v>369</v>
      </c>
      <c r="H4942" s="2" t="s">
        <v>72</v>
      </c>
      <c r="I4942" s="2" t="s">
        <v>12329</v>
      </c>
      <c r="J4942" s="3" t="str">
        <f>HYPERLINK("https://www.boe.es/gazeta/dias/1815/06/06/pdfs/GMD-1815-68.pdf#page=7","Abrir facsímil")</f>
        <v>Abrir facsímil</v>
      </c>
      <c r="K4942" s="3" t="s">
        <v>74</v>
      </c>
    </row>
    <row r="4943" spans="1:11" ht="42" customHeight="1">
      <c r="A4943" s="2" t="s">
        <v>12330</v>
      </c>
      <c r="B4943" s="2" t="s">
        <v>12331</v>
      </c>
      <c r="C4943" s="2" t="s">
        <v>31</v>
      </c>
      <c r="D4943" s="2" t="s">
        <v>32</v>
      </c>
      <c r="E4943" s="5">
        <v>-30844</v>
      </c>
      <c r="F4943" s="3" t="s">
        <v>114</v>
      </c>
      <c r="G4943" s="3" t="s">
        <v>38</v>
      </c>
      <c r="H4943" s="2" t="s">
        <v>72</v>
      </c>
      <c r="I4943" s="2" t="s">
        <v>12332</v>
      </c>
      <c r="J4943" s="3" t="str">
        <f>HYPERLINK("https://www.boe.es/gazeta/dias/1815/07/20/pdfs/GMD-1815-89.pdf#page=8","Abrir facsímil")</f>
        <v>Abrir facsímil</v>
      </c>
      <c r="K4943" s="3" t="s">
        <v>74</v>
      </c>
    </row>
    <row r="4944" spans="1:11" ht="42" customHeight="1">
      <c r="A4944" s="2" t="s">
        <v>12333</v>
      </c>
      <c r="B4944" s="2" t="s">
        <v>12334</v>
      </c>
      <c r="C4944" s="2" t="s">
        <v>31</v>
      </c>
      <c r="D4944" s="2" t="s">
        <v>32</v>
      </c>
      <c r="E4944" s="5">
        <v>-30877</v>
      </c>
      <c r="F4944" s="3" t="s">
        <v>548</v>
      </c>
      <c r="G4944" s="3" t="s">
        <v>52</v>
      </c>
      <c r="H4944" s="2" t="s">
        <v>72</v>
      </c>
      <c r="I4944" s="2" t="s">
        <v>12335</v>
      </c>
      <c r="J4944" s="3" t="str">
        <f>HYPERLINK("https://www.boe.es/gazeta/dias/1815/06/17/pdfs/GMD-1815-73.pdf#page=11","Abrir facsímil")</f>
        <v>Abrir facsímil</v>
      </c>
      <c r="K4944" s="3" t="s">
        <v>74</v>
      </c>
    </row>
    <row r="4945" spans="1:11" ht="42" customHeight="1">
      <c r="A4945" s="2" t="s">
        <v>12336</v>
      </c>
      <c r="B4945" s="2" t="s">
        <v>12337</v>
      </c>
      <c r="C4945" s="2" t="s">
        <v>31</v>
      </c>
      <c r="D4945" s="2" t="s">
        <v>32</v>
      </c>
      <c r="E4945" s="5">
        <v>-30977</v>
      </c>
      <c r="F4945" s="3" t="s">
        <v>37</v>
      </c>
      <c r="G4945" s="3" t="s">
        <v>71</v>
      </c>
      <c r="H4945" s="2" t="s">
        <v>72</v>
      </c>
      <c r="I4945" s="2" t="s">
        <v>12338</v>
      </c>
      <c r="J4945" s="3" t="str">
        <f>HYPERLINK("https://www.boe.es/gazeta/dias/1815/03/09/pdfs/GMD-1815-29.pdf#page=7","Abrir facsímil")</f>
        <v>Abrir facsímil</v>
      </c>
      <c r="K4945" s="3" t="s">
        <v>74</v>
      </c>
    </row>
    <row r="4946" spans="1:11" ht="42" customHeight="1">
      <c r="A4946" s="2" t="s">
        <v>12339</v>
      </c>
      <c r="B4946" s="2" t="s">
        <v>12340</v>
      </c>
      <c r="C4946" s="2" t="s">
        <v>17</v>
      </c>
      <c r="D4946" s="2" t="s">
        <v>18</v>
      </c>
      <c r="E4946" s="5">
        <v>-30816</v>
      </c>
      <c r="F4946" s="3" t="s">
        <v>1253</v>
      </c>
      <c r="G4946" s="3" t="s">
        <v>71</v>
      </c>
      <c r="H4946" s="2" t="s">
        <v>72</v>
      </c>
      <c r="I4946" s="2" t="s">
        <v>12341</v>
      </c>
      <c r="J4946" s="3" t="str">
        <f>HYPERLINK("https://www.boe.es/gazeta/dias/1815/08/17/pdfs/GMD-1815-101.pdf#page=7","Abrir facsímil")</f>
        <v>Abrir facsímil</v>
      </c>
      <c r="K4946" s="3" t="s">
        <v>74</v>
      </c>
    </row>
    <row r="4947" spans="1:11" ht="42" customHeight="1">
      <c r="A4947" s="2" t="s">
        <v>12342</v>
      </c>
      <c r="B4947" s="2" t="s">
        <v>12343</v>
      </c>
      <c r="C4947" s="2" t="s">
        <v>31</v>
      </c>
      <c r="D4947" s="2" t="s">
        <v>32</v>
      </c>
      <c r="E4947" s="5">
        <v>-30814</v>
      </c>
      <c r="F4947" s="3" t="s">
        <v>644</v>
      </c>
      <c r="G4947" s="3" t="s">
        <v>38</v>
      </c>
      <c r="H4947" s="2" t="s">
        <v>72</v>
      </c>
      <c r="I4947" s="2" t="s">
        <v>12344</v>
      </c>
      <c r="J4947" s="3" t="str">
        <f>HYPERLINK("https://www.boe.es/gazeta/dias/1815/08/19/pdfs/GMD-1815-102.pdf#page=8","Abrir facsímil")</f>
        <v>Abrir facsímil</v>
      </c>
      <c r="K4947" s="3" t="s">
        <v>74</v>
      </c>
    </row>
    <row r="4948" spans="1:11" ht="42" customHeight="1">
      <c r="A4948" s="2" t="s">
        <v>12345</v>
      </c>
      <c r="B4948" s="2" t="s">
        <v>12345</v>
      </c>
      <c r="C4948" s="2" t="s">
        <v>31</v>
      </c>
      <c r="D4948" s="2" t="s">
        <v>32</v>
      </c>
      <c r="E4948" s="5">
        <v>-30835</v>
      </c>
      <c r="F4948" s="3" t="s">
        <v>544</v>
      </c>
      <c r="G4948" s="3" t="s">
        <v>38</v>
      </c>
      <c r="H4948" s="2" t="s">
        <v>72</v>
      </c>
      <c r="I4948" s="2" t="s">
        <v>12346</v>
      </c>
      <c r="J4948" s="3" t="str">
        <f>HYPERLINK("https://www.boe.es/gazeta/dias/1815/07/29/pdfs/GMD-1815-93.pdf#page=8","Abrir facsímil")</f>
        <v>Abrir facsímil</v>
      </c>
      <c r="K4948" s="3" t="s">
        <v>74</v>
      </c>
    </row>
    <row r="4949" spans="1:11" ht="42" customHeight="1">
      <c r="A4949" s="2" t="s">
        <v>12347</v>
      </c>
      <c r="B4949" s="2" t="s">
        <v>12348</v>
      </c>
      <c r="C4949" s="2" t="s">
        <v>49</v>
      </c>
      <c r="D4949" s="2" t="s">
        <v>50</v>
      </c>
      <c r="E4949" s="5">
        <v>-30921</v>
      </c>
      <c r="F4949" s="3" t="s">
        <v>191</v>
      </c>
      <c r="G4949" s="3" t="s">
        <v>71</v>
      </c>
      <c r="H4949" s="2" t="s">
        <v>72</v>
      </c>
      <c r="I4949" s="2" t="s">
        <v>12349</v>
      </c>
      <c r="J4949" s="3" t="str">
        <f>HYPERLINK("https://www.boe.es/gazeta/dias/1815/05/04/pdfs/GMD-1815-54.pdf#page=7","Abrir facsímil")</f>
        <v>Abrir facsímil</v>
      </c>
      <c r="K4949" s="3" t="s">
        <v>74</v>
      </c>
    </row>
    <row r="4950" spans="1:11" ht="42" customHeight="1">
      <c r="A4950" s="2" t="s">
        <v>12350</v>
      </c>
      <c r="B4950" s="2" t="s">
        <v>12351</v>
      </c>
      <c r="C4950" s="2" t="s">
        <v>195</v>
      </c>
      <c r="D4950" s="2" t="s">
        <v>50</v>
      </c>
      <c r="E4950" s="5">
        <v>-30716</v>
      </c>
      <c r="F4950" s="3" t="s">
        <v>589</v>
      </c>
      <c r="G4950" s="3" t="s">
        <v>27</v>
      </c>
      <c r="H4950" s="2" t="s">
        <v>72</v>
      </c>
      <c r="I4950" s="2" t="s">
        <v>12352</v>
      </c>
      <c r="J4950" s="3" t="str">
        <f>HYPERLINK("https://www.boe.es/gazeta/dias/1815/11/25/pdfs/GMD-1815-147.pdf#page=6","Abrir facsímil")</f>
        <v>Abrir facsímil</v>
      </c>
      <c r="K4950" s="3" t="s">
        <v>74</v>
      </c>
    </row>
    <row r="4951" spans="1:11" ht="42" customHeight="1">
      <c r="A4951" s="2" t="s">
        <v>12350</v>
      </c>
      <c r="B4951" s="2" t="s">
        <v>12351</v>
      </c>
      <c r="C4951" s="2" t="s">
        <v>61</v>
      </c>
      <c r="D4951" s="2" t="s">
        <v>50</v>
      </c>
      <c r="E4951" s="5">
        <v>-30716</v>
      </c>
      <c r="F4951" s="3" t="s">
        <v>589</v>
      </c>
      <c r="G4951" s="3" t="s">
        <v>71</v>
      </c>
      <c r="H4951" s="2" t="s">
        <v>72</v>
      </c>
      <c r="I4951" s="2" t="s">
        <v>12353</v>
      </c>
      <c r="J4951" s="3" t="str">
        <f>HYPERLINK("https://www.boe.es/gazeta/dias/1815/11/25/pdfs/GMD-1815-147.pdf#page=7","Abrir facsímil")</f>
        <v>Abrir facsímil</v>
      </c>
      <c r="K4951" s="3" t="s">
        <v>74</v>
      </c>
    </row>
    <row r="4952" spans="1:11" ht="42" customHeight="1">
      <c r="A4952" s="2" t="s">
        <v>12354</v>
      </c>
      <c r="B4952" s="2" t="s">
        <v>12354</v>
      </c>
      <c r="C4952" s="2" t="s">
        <v>31</v>
      </c>
      <c r="D4952" s="2" t="s">
        <v>32</v>
      </c>
      <c r="E4952" s="5">
        <v>-30816</v>
      </c>
      <c r="F4952" s="3" t="s">
        <v>1253</v>
      </c>
      <c r="G4952" s="3" t="s">
        <v>88</v>
      </c>
      <c r="H4952" s="2" t="s">
        <v>72</v>
      </c>
      <c r="I4952" s="2" t="s">
        <v>12355</v>
      </c>
      <c r="J4952" s="3" t="str">
        <f>HYPERLINK("https://www.boe.es/gazeta/dias/1815/08/17/pdfs/GMD-1815-101.pdf#page=10","Abrir facsímil")</f>
        <v>Abrir facsímil</v>
      </c>
      <c r="K4952" s="3" t="s">
        <v>74</v>
      </c>
    </row>
    <row r="4953" spans="1:11" ht="42" customHeight="1">
      <c r="A4953" s="2" t="s">
        <v>12356</v>
      </c>
      <c r="B4953" s="2" t="s">
        <v>12357</v>
      </c>
      <c r="C4953" s="2" t="s">
        <v>31</v>
      </c>
      <c r="D4953" s="2" t="s">
        <v>32</v>
      </c>
      <c r="E4953" s="5">
        <v>-30842</v>
      </c>
      <c r="F4953" s="3" t="s">
        <v>126</v>
      </c>
      <c r="G4953" s="3" t="s">
        <v>224</v>
      </c>
      <c r="H4953" s="2" t="s">
        <v>72</v>
      </c>
      <c r="I4953" s="2" t="s">
        <v>12358</v>
      </c>
      <c r="J4953" s="3" t="str">
        <f>HYPERLINK("https://www.boe.es/gazeta/dias/1815/07/22/pdfs/GMD-1815-90.pdf#page=9","Abrir facsímil")</f>
        <v>Abrir facsímil</v>
      </c>
      <c r="K4953" s="3" t="s">
        <v>74</v>
      </c>
    </row>
    <row r="4954" spans="1:11" ht="42" customHeight="1">
      <c r="A4954" s="2" t="s">
        <v>12359</v>
      </c>
      <c r="B4954" s="2" t="s">
        <v>12360</v>
      </c>
      <c r="C4954" s="2" t="s">
        <v>49</v>
      </c>
      <c r="D4954" s="2" t="s">
        <v>50</v>
      </c>
      <c r="E4954" s="5">
        <v>-30865</v>
      </c>
      <c r="F4954" s="3" t="s">
        <v>163</v>
      </c>
      <c r="G4954" s="3" t="s">
        <v>71</v>
      </c>
      <c r="H4954" s="2" t="s">
        <v>72</v>
      </c>
      <c r="I4954" s="2" t="s">
        <v>12361</v>
      </c>
      <c r="J4954" s="3" t="str">
        <f>HYPERLINK("https://www.boe.es/gazeta/dias/1815/06/29/pdfs/GMD-1815-78.pdf#page=7","Abrir facsímil")</f>
        <v>Abrir facsímil</v>
      </c>
      <c r="K4954" s="3" t="s">
        <v>74</v>
      </c>
    </row>
    <row r="4955" spans="1:11" ht="42" customHeight="1">
      <c r="A4955" s="2" t="s">
        <v>12362</v>
      </c>
      <c r="B4955" s="2" t="s">
        <v>12362</v>
      </c>
      <c r="C4955" s="2" t="s">
        <v>31</v>
      </c>
      <c r="D4955" s="2" t="s">
        <v>32</v>
      </c>
      <c r="E4955" s="5">
        <v>-30886</v>
      </c>
      <c r="F4955" s="3" t="s">
        <v>140</v>
      </c>
      <c r="G4955" s="3" t="s">
        <v>410</v>
      </c>
      <c r="H4955" s="2" t="s">
        <v>72</v>
      </c>
      <c r="I4955" s="2" t="s">
        <v>12363</v>
      </c>
      <c r="J4955" s="3" t="str">
        <f>HYPERLINK("https://www.boe.es/gazeta/dias/1815/06/08/pdfs/GMD-1815-69.pdf#page=1","Abrir facsímil")</f>
        <v>Abrir facsímil</v>
      </c>
      <c r="K4955" s="3" t="s">
        <v>74</v>
      </c>
    </row>
    <row r="4956" spans="1:11" ht="42" customHeight="1">
      <c r="A4956" s="2" t="s">
        <v>12364</v>
      </c>
      <c r="B4956" s="2" t="s">
        <v>12365</v>
      </c>
      <c r="C4956" s="2" t="s">
        <v>49</v>
      </c>
      <c r="D4956" s="2" t="s">
        <v>50</v>
      </c>
      <c r="E4956" s="5">
        <v>-30886</v>
      </c>
      <c r="F4956" s="3" t="s">
        <v>140</v>
      </c>
      <c r="G4956" s="3" t="s">
        <v>38</v>
      </c>
      <c r="H4956" s="2" t="s">
        <v>72</v>
      </c>
      <c r="I4956" s="2" t="s">
        <v>12366</v>
      </c>
      <c r="J4956" s="3" t="str">
        <f>HYPERLINK("https://www.boe.es/gazeta/dias/1815/06/08/pdfs/GMD-1815-69.pdf#page=8","Abrir facsímil")</f>
        <v>Abrir facsímil</v>
      </c>
      <c r="K4956" s="3" t="s">
        <v>74</v>
      </c>
    </row>
    <row r="4957" spans="1:11" ht="42" customHeight="1">
      <c r="A4957" s="2" t="s">
        <v>12367</v>
      </c>
      <c r="B4957" s="2" t="s">
        <v>12368</v>
      </c>
      <c r="C4957" s="2" t="s">
        <v>49</v>
      </c>
      <c r="D4957" s="2" t="s">
        <v>50</v>
      </c>
      <c r="E4957" s="5">
        <v>-30865</v>
      </c>
      <c r="F4957" s="3" t="s">
        <v>163</v>
      </c>
      <c r="G4957" s="3" t="s">
        <v>71</v>
      </c>
      <c r="H4957" s="2" t="s">
        <v>72</v>
      </c>
      <c r="I4957" s="2" t="s">
        <v>12369</v>
      </c>
      <c r="J4957" s="3" t="str">
        <f>HYPERLINK("https://www.boe.es/gazeta/dias/1815/06/29/pdfs/GMD-1815-78.pdf#page=7","Abrir facsímil")</f>
        <v>Abrir facsímil</v>
      </c>
      <c r="K4957" s="3" t="s">
        <v>74</v>
      </c>
    </row>
    <row r="4958" spans="1:11" ht="42" customHeight="1">
      <c r="A4958" s="2" t="s">
        <v>12370</v>
      </c>
      <c r="B4958" s="2" t="s">
        <v>12371</v>
      </c>
      <c r="C4958" s="2" t="s">
        <v>195</v>
      </c>
      <c r="D4958" s="2" t="s">
        <v>50</v>
      </c>
      <c r="E4958" s="5">
        <v>-30872</v>
      </c>
      <c r="F4958" s="3" t="s">
        <v>167</v>
      </c>
      <c r="G4958" s="3" t="s">
        <v>342</v>
      </c>
      <c r="H4958" s="2" t="s">
        <v>72</v>
      </c>
      <c r="I4958" s="2" t="s">
        <v>12372</v>
      </c>
      <c r="J4958" s="3" t="str">
        <f>HYPERLINK("https://www.boe.es/gazeta/dias/1815/06/22/pdfs/GMD-1815-75.pdf#page=8","Abrir facsímil")</f>
        <v>Abrir facsímil</v>
      </c>
      <c r="K4958" s="3" t="s">
        <v>74</v>
      </c>
    </row>
    <row r="4959" spans="1:11" ht="42" customHeight="1">
      <c r="A4959" s="2" t="s">
        <v>12373</v>
      </c>
      <c r="B4959" s="2" t="s">
        <v>12373</v>
      </c>
      <c r="C4959" s="2" t="s">
        <v>31</v>
      </c>
      <c r="D4959" s="2" t="s">
        <v>32</v>
      </c>
      <c r="E4959" s="5">
        <v>-30737</v>
      </c>
      <c r="F4959" s="3" t="s">
        <v>1932</v>
      </c>
      <c r="G4959" s="3" t="s">
        <v>377</v>
      </c>
      <c r="H4959" s="2" t="s">
        <v>72</v>
      </c>
      <c r="I4959" s="2" t="s">
        <v>12374</v>
      </c>
      <c r="J4959" s="3" t="str">
        <f>HYPERLINK("https://www.boe.es/gazeta/dias/1815/11/04/pdfs/GMD-1815-138.pdf#page=2","Abrir facsímil")</f>
        <v>Abrir facsímil</v>
      </c>
      <c r="K4959" s="3" t="s">
        <v>74</v>
      </c>
    </row>
    <row r="4960" spans="1:11" ht="42" customHeight="1">
      <c r="A4960" s="2" t="s">
        <v>12375</v>
      </c>
      <c r="B4960" s="2" t="s">
        <v>12376</v>
      </c>
      <c r="C4960" s="2" t="s">
        <v>61</v>
      </c>
      <c r="D4960" s="2" t="s">
        <v>50</v>
      </c>
      <c r="E4960" s="5">
        <v>-30872</v>
      </c>
      <c r="F4960" s="3" t="s">
        <v>167</v>
      </c>
      <c r="G4960" s="3" t="s">
        <v>224</v>
      </c>
      <c r="H4960" s="2" t="s">
        <v>72</v>
      </c>
      <c r="I4960" s="2" t="s">
        <v>12377</v>
      </c>
      <c r="J4960" s="3" t="str">
        <f>HYPERLINK("https://www.boe.es/gazeta/dias/1815/06/22/pdfs/GMD-1815-75.pdf#page=9","Abrir facsímil")</f>
        <v>Abrir facsímil</v>
      </c>
      <c r="K4960" s="3" t="s">
        <v>74</v>
      </c>
    </row>
    <row r="4961" spans="1:11" ht="42" customHeight="1">
      <c r="A4961" s="2" t="s">
        <v>12378</v>
      </c>
      <c r="B4961" s="2" t="s">
        <v>12379</v>
      </c>
      <c r="C4961" s="2" t="s">
        <v>49</v>
      </c>
      <c r="D4961" s="2" t="s">
        <v>50</v>
      </c>
      <c r="E4961" s="5">
        <v>-30865</v>
      </c>
      <c r="F4961" s="3" t="s">
        <v>163</v>
      </c>
      <c r="G4961" s="3" t="s">
        <v>27</v>
      </c>
      <c r="H4961" s="2" t="s">
        <v>72</v>
      </c>
      <c r="I4961" s="2" t="s">
        <v>12380</v>
      </c>
      <c r="J4961" s="3" t="str">
        <f>HYPERLINK("https://www.boe.es/gazeta/dias/1815/06/29/pdfs/GMD-1815-78.pdf#page=6","Abrir facsímil")</f>
        <v>Abrir facsímil</v>
      </c>
      <c r="K4961" s="3" t="s">
        <v>74</v>
      </c>
    </row>
    <row r="4962" spans="1:11" ht="42" customHeight="1">
      <c r="A4962" s="2" t="s">
        <v>12381</v>
      </c>
      <c r="B4962" s="2" t="s">
        <v>12382</v>
      </c>
      <c r="C4962" s="2" t="s">
        <v>31</v>
      </c>
      <c r="D4962" s="2" t="s">
        <v>32</v>
      </c>
      <c r="E4962" s="5">
        <v>-30933</v>
      </c>
      <c r="F4962" s="3" t="s">
        <v>725</v>
      </c>
      <c r="G4962" s="3" t="s">
        <v>57</v>
      </c>
      <c r="H4962" s="2" t="s">
        <v>72</v>
      </c>
      <c r="I4962" s="2" t="s">
        <v>12383</v>
      </c>
      <c r="J4962" s="3" t="str">
        <f>HYPERLINK("https://www.boe.es/gazeta/dias/1815/04/22/pdfs/GMD-1815-49.pdf#page=5","Abrir facsímil")</f>
        <v>Abrir facsímil</v>
      </c>
      <c r="K4962" s="3" t="s">
        <v>74</v>
      </c>
    </row>
    <row r="4963" spans="1:11" ht="42" customHeight="1">
      <c r="A4963" s="2" t="s">
        <v>12384</v>
      </c>
      <c r="B4963" s="2" t="s">
        <v>12385</v>
      </c>
      <c r="C4963" s="2" t="s">
        <v>17</v>
      </c>
      <c r="D4963" s="2" t="s">
        <v>18</v>
      </c>
      <c r="E4963" s="5">
        <v>-30942</v>
      </c>
      <c r="F4963" s="3" t="s">
        <v>730</v>
      </c>
      <c r="G4963" s="3" t="s">
        <v>71</v>
      </c>
      <c r="H4963" s="2" t="s">
        <v>72</v>
      </c>
      <c r="I4963" s="2" t="s">
        <v>12386</v>
      </c>
      <c r="J4963" s="3" t="str">
        <f>HYPERLINK("https://www.boe.es/gazeta/dias/1815/04/13/pdfs/GMD-1815-45.pdf#page=7","Abrir facsímil")</f>
        <v>Abrir facsímil</v>
      </c>
      <c r="K4963" s="3" t="s">
        <v>74</v>
      </c>
    </row>
    <row r="4964" spans="1:11" ht="42" customHeight="1">
      <c r="A4964" s="2" t="s">
        <v>12387</v>
      </c>
      <c r="B4964" s="2" t="s">
        <v>12388</v>
      </c>
      <c r="C4964" s="2" t="s">
        <v>195</v>
      </c>
      <c r="D4964" s="2" t="s">
        <v>50</v>
      </c>
      <c r="E4964" s="5">
        <v>-31003</v>
      </c>
      <c r="F4964" s="3" t="s">
        <v>405</v>
      </c>
      <c r="G4964" s="3" t="s">
        <v>1136</v>
      </c>
      <c r="H4964" s="2" t="s">
        <v>72</v>
      </c>
      <c r="I4964" s="2" t="s">
        <v>12389</v>
      </c>
      <c r="J4964" s="3" t="str">
        <f>HYPERLINK("https://www.boe.es/gazeta/dias/1815/02/11/pdfs/GMD-1815-18.pdf#page=7","Abrir facsímil")</f>
        <v>Abrir facsímil</v>
      </c>
      <c r="K4964" s="3" t="s">
        <v>74</v>
      </c>
    </row>
    <row r="4965" spans="1:11" ht="42" customHeight="1">
      <c r="A4965" s="2" t="s">
        <v>12390</v>
      </c>
      <c r="B4965" s="2" t="s">
        <v>12391</v>
      </c>
      <c r="C4965" s="2" t="s">
        <v>49</v>
      </c>
      <c r="D4965" s="2" t="s">
        <v>50</v>
      </c>
      <c r="E4965" s="5">
        <v>-30958</v>
      </c>
      <c r="F4965" s="3" t="s">
        <v>297</v>
      </c>
      <c r="G4965" s="3" t="s">
        <v>27</v>
      </c>
      <c r="H4965" s="2" t="s">
        <v>72</v>
      </c>
      <c r="I4965" s="2" t="s">
        <v>12392</v>
      </c>
      <c r="J4965" s="3" t="str">
        <f>HYPERLINK("https://www.boe.es/gazeta/dias/1815/03/28/pdfs/GMD-1815-37.pdf#page=6","Abrir facsímil")</f>
        <v>Abrir facsímil</v>
      </c>
      <c r="K4965" s="3" t="s">
        <v>74</v>
      </c>
    </row>
    <row r="4966" spans="1:11" ht="42" customHeight="1">
      <c r="A4966" s="2" t="s">
        <v>12393</v>
      </c>
      <c r="B4966" s="2" t="s">
        <v>12394</v>
      </c>
      <c r="C4966" s="2" t="s">
        <v>31</v>
      </c>
      <c r="D4966" s="2" t="s">
        <v>32</v>
      </c>
      <c r="E4966" s="5">
        <v>-30907</v>
      </c>
      <c r="F4966" s="3" t="s">
        <v>301</v>
      </c>
      <c r="G4966" s="3" t="s">
        <v>6596</v>
      </c>
      <c r="H4966" s="2" t="s">
        <v>72</v>
      </c>
      <c r="I4966" s="2" t="s">
        <v>12395</v>
      </c>
      <c r="J4966" s="3" t="str">
        <f>HYPERLINK("https://www.boe.es/gazeta/dias/1815/05/18/pdfs/GMD-1815-60.pdf#page=6","Abrir facsímil")</f>
        <v>Abrir facsímil</v>
      </c>
      <c r="K4966" s="3" t="s">
        <v>74</v>
      </c>
    </row>
    <row r="4967" spans="1:11" ht="42" customHeight="1">
      <c r="A4967" s="2" t="s">
        <v>12396</v>
      </c>
      <c r="B4967" s="2" t="s">
        <v>12397</v>
      </c>
      <c r="C4967" s="2" t="s">
        <v>31</v>
      </c>
      <c r="D4967" s="2" t="s">
        <v>32</v>
      </c>
      <c r="E4967" s="5">
        <v>-30730</v>
      </c>
      <c r="F4967" s="3" t="s">
        <v>953</v>
      </c>
      <c r="G4967" s="3" t="s">
        <v>38</v>
      </c>
      <c r="H4967" s="2" t="s">
        <v>72</v>
      </c>
      <c r="I4967" s="2" t="s">
        <v>12398</v>
      </c>
      <c r="J4967" s="3" t="str">
        <f>HYPERLINK("https://www.boe.es/gazeta/dias/1815/11/11/pdfs/GMD-1815-141.pdf#page=8","Abrir facsímil")</f>
        <v>Abrir facsímil</v>
      </c>
      <c r="K4967" s="3" t="s">
        <v>74</v>
      </c>
    </row>
    <row r="4968" spans="1:11" ht="42" customHeight="1">
      <c r="A4968" s="2" t="s">
        <v>12399</v>
      </c>
      <c r="B4968" s="2" t="s">
        <v>12400</v>
      </c>
      <c r="C4968" s="2" t="s">
        <v>49</v>
      </c>
      <c r="D4968" s="2" t="s">
        <v>50</v>
      </c>
      <c r="E4968" s="5">
        <v>-30832</v>
      </c>
      <c r="F4968" s="3" t="s">
        <v>266</v>
      </c>
      <c r="G4968" s="3" t="s">
        <v>88</v>
      </c>
      <c r="H4968" s="2" t="s">
        <v>72</v>
      </c>
      <c r="I4968" s="2" t="s">
        <v>12401</v>
      </c>
      <c r="J4968" s="3" t="str">
        <f>HYPERLINK("https://www.boe.es/gazeta/dias/1815/08/01/pdfs/GMD-1815-94.pdf#page=10","Abrir facsímil")</f>
        <v>Abrir facsímil</v>
      </c>
      <c r="K4968" s="3" t="s">
        <v>74</v>
      </c>
    </row>
    <row r="4969" spans="1:11" ht="42" customHeight="1">
      <c r="A4969" s="2" t="s">
        <v>12402</v>
      </c>
      <c r="B4969" s="2" t="s">
        <v>12402</v>
      </c>
      <c r="C4969" s="2" t="s">
        <v>31</v>
      </c>
      <c r="D4969" s="2" t="s">
        <v>32</v>
      </c>
      <c r="E4969" s="5">
        <v>-30961</v>
      </c>
      <c r="F4969" s="3" t="s">
        <v>1176</v>
      </c>
      <c r="G4969" s="3" t="s">
        <v>97</v>
      </c>
      <c r="H4969" s="2" t="s">
        <v>72</v>
      </c>
      <c r="I4969" s="2" t="s">
        <v>12403</v>
      </c>
      <c r="J4969" s="3" t="str">
        <f>HYPERLINK("https://www.boe.es/gazeta/dias/1815/03/25/pdfs/GMD-1815-36.pdf#page=3","Abrir facsímil")</f>
        <v>Abrir facsímil</v>
      </c>
      <c r="K4969" s="3" t="s">
        <v>74</v>
      </c>
    </row>
    <row r="4970" spans="1:11" ht="42" customHeight="1">
      <c r="A4970" s="2" t="s">
        <v>12404</v>
      </c>
      <c r="B4970" s="2" t="s">
        <v>12405</v>
      </c>
      <c r="C4970" s="2" t="s">
        <v>17</v>
      </c>
      <c r="D4970" s="2" t="s">
        <v>18</v>
      </c>
      <c r="E4970" s="5">
        <v>-30888</v>
      </c>
      <c r="F4970" s="3" t="s">
        <v>368</v>
      </c>
      <c r="G4970" s="3" t="s">
        <v>52</v>
      </c>
      <c r="H4970" s="2" t="s">
        <v>72</v>
      </c>
      <c r="I4970" s="2" t="s">
        <v>12406</v>
      </c>
      <c r="J4970" s="3" t="str">
        <f>HYPERLINK("https://www.boe.es/gazeta/dias/1815/06/06/pdfs/GMD-1815-68.pdf#page=11","Abrir facsímil")</f>
        <v>Abrir facsímil</v>
      </c>
      <c r="K4970" s="3" t="s">
        <v>74</v>
      </c>
    </row>
    <row r="4971" spans="1:11" ht="42" customHeight="1">
      <c r="A4971" s="2" t="s">
        <v>12407</v>
      </c>
      <c r="B4971" s="2" t="s">
        <v>12408</v>
      </c>
      <c r="C4971" s="2" t="s">
        <v>195</v>
      </c>
      <c r="D4971" s="2" t="s">
        <v>50</v>
      </c>
      <c r="E4971" s="5">
        <v>-30874</v>
      </c>
      <c r="F4971" s="3" t="s">
        <v>208</v>
      </c>
      <c r="G4971" s="3" t="s">
        <v>38</v>
      </c>
      <c r="H4971" s="2" t="s">
        <v>72</v>
      </c>
      <c r="I4971" s="2" t="s">
        <v>12409</v>
      </c>
      <c r="J4971" s="3" t="str">
        <f>HYPERLINK("https://www.boe.es/gazeta/dias/1815/06/20/pdfs/GMD-1815-74.pdf#page=8","Abrir facsímil")</f>
        <v>Abrir facsímil</v>
      </c>
      <c r="K4971" s="3" t="s">
        <v>74</v>
      </c>
    </row>
    <row r="4972" spans="1:11" ht="42" customHeight="1">
      <c r="A4972" s="2" t="s">
        <v>12407</v>
      </c>
      <c r="B4972" s="2" t="s">
        <v>12408</v>
      </c>
      <c r="C4972" s="2" t="s">
        <v>31</v>
      </c>
      <c r="D4972" s="2" t="s">
        <v>32</v>
      </c>
      <c r="E4972" s="5">
        <v>-30858</v>
      </c>
      <c r="F4972" s="3" t="s">
        <v>1928</v>
      </c>
      <c r="G4972" s="3" t="s">
        <v>71</v>
      </c>
      <c r="H4972" s="2" t="s">
        <v>72</v>
      </c>
      <c r="I4972" s="2" t="s">
        <v>12410</v>
      </c>
      <c r="J4972" s="3" t="str">
        <f>HYPERLINK("https://www.boe.es/gazeta/dias/1815/07/06/pdfs/GMD-1815-83.pdf#page=7","Abrir facsímil")</f>
        <v>Abrir facsímil</v>
      </c>
      <c r="K4972" s="3" t="s">
        <v>74</v>
      </c>
    </row>
    <row r="4973" spans="1:11" ht="42" customHeight="1">
      <c r="A4973" s="2" t="s">
        <v>12411</v>
      </c>
      <c r="B4973" s="2" t="s">
        <v>12412</v>
      </c>
      <c r="C4973" s="2" t="s">
        <v>49</v>
      </c>
      <c r="D4973" s="2" t="s">
        <v>50</v>
      </c>
      <c r="E4973" s="5">
        <v>-30865</v>
      </c>
      <c r="F4973" s="3" t="s">
        <v>163</v>
      </c>
      <c r="G4973" s="3" t="s">
        <v>71</v>
      </c>
      <c r="H4973" s="2" t="s">
        <v>72</v>
      </c>
      <c r="I4973" s="2" t="s">
        <v>12413</v>
      </c>
      <c r="J4973" s="3" t="str">
        <f>HYPERLINK("https://www.boe.es/gazeta/dias/1815/06/29/pdfs/GMD-1815-78.pdf#page=7","Abrir facsímil")</f>
        <v>Abrir facsímil</v>
      </c>
      <c r="K4973" s="3" t="s">
        <v>74</v>
      </c>
    </row>
    <row r="4974" spans="1:11" ht="42" customHeight="1">
      <c r="A4974" s="2" t="s">
        <v>12414</v>
      </c>
      <c r="B4974" s="2" t="s">
        <v>12415</v>
      </c>
      <c r="C4974" s="2" t="s">
        <v>195</v>
      </c>
      <c r="D4974" s="2" t="s">
        <v>50</v>
      </c>
      <c r="E4974" s="5">
        <v>-30914</v>
      </c>
      <c r="F4974" s="3" t="s">
        <v>338</v>
      </c>
      <c r="G4974" s="3" t="s">
        <v>88</v>
      </c>
      <c r="H4974" s="2" t="s">
        <v>72</v>
      </c>
      <c r="I4974" s="2" t="s">
        <v>12416</v>
      </c>
      <c r="J4974" s="3" t="str">
        <f>HYPERLINK("https://www.boe.es/gazeta/dias/1815/05/11/pdfs/GMD-1815-57.pdf#page=10","Abrir facsímil")</f>
        <v>Abrir facsímil</v>
      </c>
      <c r="K4974" s="3" t="s">
        <v>74</v>
      </c>
    </row>
    <row r="4975" spans="1:11" ht="42" customHeight="1">
      <c r="A4975" s="2" t="s">
        <v>12417</v>
      </c>
      <c r="B4975" s="2" t="s">
        <v>12417</v>
      </c>
      <c r="C4975" s="2" t="s">
        <v>31</v>
      </c>
      <c r="D4975" s="2" t="s">
        <v>32</v>
      </c>
      <c r="E4975" s="5">
        <v>-30797</v>
      </c>
      <c r="F4975" s="3" t="s">
        <v>248</v>
      </c>
      <c r="G4975" s="3" t="s">
        <v>377</v>
      </c>
      <c r="H4975" s="2" t="s">
        <v>72</v>
      </c>
      <c r="I4975" s="2" t="s">
        <v>12418</v>
      </c>
      <c r="J4975" s="3" t="str">
        <f>HYPERLINK("https://www.boe.es/gazeta/dias/1815/09/05/pdfs/GMD-1815-110.pdf#page=2","Abrir facsímil")</f>
        <v>Abrir facsímil</v>
      </c>
      <c r="K4975" s="3" t="s">
        <v>74</v>
      </c>
    </row>
    <row r="4976" spans="1:11" ht="42" customHeight="1">
      <c r="A4976" s="2" t="s">
        <v>12419</v>
      </c>
      <c r="B4976" s="2" t="s">
        <v>12420</v>
      </c>
      <c r="C4976" s="2" t="s">
        <v>17</v>
      </c>
      <c r="D4976" s="2" t="s">
        <v>18</v>
      </c>
      <c r="E4976" s="5">
        <v>-30804</v>
      </c>
      <c r="F4976" s="3" t="s">
        <v>891</v>
      </c>
      <c r="G4976" s="3" t="s">
        <v>38</v>
      </c>
      <c r="H4976" s="2" t="s">
        <v>72</v>
      </c>
      <c r="I4976" s="2" t="s">
        <v>12421</v>
      </c>
      <c r="J4976" s="3" t="str">
        <f>HYPERLINK("https://www.boe.es/gazeta/dias/1815/08/29/pdfs/GMD-1815-106.pdf#page=8","Abrir facsímil")</f>
        <v>Abrir facsímil</v>
      </c>
      <c r="K4976" s="3" t="s">
        <v>74</v>
      </c>
    </row>
    <row r="4977" spans="1:11" ht="42" customHeight="1">
      <c r="A4977" s="2" t="s">
        <v>12422</v>
      </c>
      <c r="B4977" s="2" t="s">
        <v>12423</v>
      </c>
      <c r="C4977" s="2" t="s">
        <v>31</v>
      </c>
      <c r="D4977" s="2" t="s">
        <v>32</v>
      </c>
      <c r="E4977" s="5">
        <v>-30958</v>
      </c>
      <c r="F4977" s="3" t="s">
        <v>297</v>
      </c>
      <c r="G4977" s="3" t="s">
        <v>27</v>
      </c>
      <c r="H4977" s="2" t="s">
        <v>72</v>
      </c>
      <c r="I4977" s="2" t="s">
        <v>12424</v>
      </c>
      <c r="J4977" s="3" t="str">
        <f>HYPERLINK("https://www.boe.es/gazeta/dias/1815/03/28/pdfs/GMD-1815-37.pdf#page=6","Abrir facsímil")</f>
        <v>Abrir facsímil</v>
      </c>
      <c r="K4977" s="3" t="s">
        <v>74</v>
      </c>
    </row>
    <row r="4978" spans="1:11" ht="42" customHeight="1">
      <c r="A4978" s="2" t="s">
        <v>12425</v>
      </c>
      <c r="B4978" s="2" t="s">
        <v>12426</v>
      </c>
      <c r="C4978" s="2" t="s">
        <v>49</v>
      </c>
      <c r="D4978" s="2" t="s">
        <v>50</v>
      </c>
      <c r="E4978" s="5">
        <v>-30860</v>
      </c>
      <c r="F4978" s="3" t="s">
        <v>184</v>
      </c>
      <c r="G4978" s="3" t="s">
        <v>20</v>
      </c>
      <c r="H4978" s="2" t="s">
        <v>72</v>
      </c>
      <c r="I4978" s="2" t="s">
        <v>12427</v>
      </c>
      <c r="J4978" s="3" t="str">
        <f>HYPERLINK("https://www.boe.es/gazeta/dias/1815/07/04/pdfs/GMD-1815-81.pdf#page=4","Abrir facsímil")</f>
        <v>Abrir facsímil</v>
      </c>
      <c r="K4978" s="3" t="s">
        <v>74</v>
      </c>
    </row>
    <row r="4979" spans="1:11" ht="42" customHeight="1">
      <c r="A4979" s="2" t="s">
        <v>12428</v>
      </c>
      <c r="B4979" s="2" t="s">
        <v>12429</v>
      </c>
      <c r="C4979" s="2" t="s">
        <v>49</v>
      </c>
      <c r="D4979" s="2" t="s">
        <v>50</v>
      </c>
      <c r="E4979" s="5">
        <v>-30863</v>
      </c>
      <c r="F4979" s="3" t="s">
        <v>110</v>
      </c>
      <c r="G4979" s="3" t="s">
        <v>224</v>
      </c>
      <c r="H4979" s="2" t="s">
        <v>72</v>
      </c>
      <c r="I4979" s="2" t="s">
        <v>12430</v>
      </c>
      <c r="J4979" s="3" t="str">
        <f>HYPERLINK("https://www.boe.es/gazeta/dias/1815/07/01/pdfs/GMD-1815-79.pdf#page=9","Abrir facsímil")</f>
        <v>Abrir facsímil</v>
      </c>
      <c r="K4979" s="3" t="s">
        <v>74</v>
      </c>
    </row>
    <row r="4980" spans="1:11" ht="42" customHeight="1">
      <c r="A4980" s="2" t="s">
        <v>12431</v>
      </c>
      <c r="B4980" s="2" t="s">
        <v>12432</v>
      </c>
      <c r="C4980" s="2" t="s">
        <v>49</v>
      </c>
      <c r="D4980" s="2" t="s">
        <v>50</v>
      </c>
      <c r="E4980" s="5">
        <v>-30916</v>
      </c>
      <c r="F4980" s="3" t="s">
        <v>147</v>
      </c>
      <c r="G4980" s="3" t="s">
        <v>38</v>
      </c>
      <c r="H4980" s="2" t="s">
        <v>72</v>
      </c>
      <c r="I4980" s="2" t="s">
        <v>12433</v>
      </c>
      <c r="J4980" s="3" t="str">
        <f>HYPERLINK("https://www.boe.es/gazeta/dias/1815/05/09/pdfs/GMD-1815-56.pdf#page=8","Abrir facsímil")</f>
        <v>Abrir facsímil</v>
      </c>
      <c r="K4980" s="3" t="s">
        <v>74</v>
      </c>
    </row>
    <row r="4981" spans="1:11" ht="42" customHeight="1">
      <c r="A4981" s="2" t="s">
        <v>12434</v>
      </c>
      <c r="B4981" s="2" t="s">
        <v>12435</v>
      </c>
      <c r="C4981" s="2" t="s">
        <v>61</v>
      </c>
      <c r="D4981" s="2" t="s">
        <v>50</v>
      </c>
      <c r="E4981" s="5">
        <v>-30685</v>
      </c>
      <c r="F4981" s="3" t="s">
        <v>1453</v>
      </c>
      <c r="G4981" s="3" t="s">
        <v>38</v>
      </c>
      <c r="H4981" s="2" t="s">
        <v>72</v>
      </c>
      <c r="I4981" s="2" t="s">
        <v>12436</v>
      </c>
      <c r="J4981" s="3" t="str">
        <f>HYPERLINK("https://www.boe.es/gazeta/dias/1815/12/26/pdfs/GMD-1815-160.pdf#page=8","Abrir facsímil")</f>
        <v>Abrir facsímil</v>
      </c>
      <c r="K4981" s="3" t="s">
        <v>74</v>
      </c>
    </row>
    <row r="4982" spans="1:11" ht="42" customHeight="1">
      <c r="A4982" s="2" t="s">
        <v>12437</v>
      </c>
      <c r="B4982" s="2" t="s">
        <v>12438</v>
      </c>
      <c r="C4982" s="2" t="s">
        <v>31</v>
      </c>
      <c r="D4982" s="2" t="s">
        <v>32</v>
      </c>
      <c r="E4982" s="5">
        <v>-30886</v>
      </c>
      <c r="F4982" s="3" t="s">
        <v>140</v>
      </c>
      <c r="G4982" s="3" t="s">
        <v>88</v>
      </c>
      <c r="H4982" s="2" t="s">
        <v>72</v>
      </c>
      <c r="I4982" s="2" t="s">
        <v>12439</v>
      </c>
      <c r="J4982" s="3" t="str">
        <f>HYPERLINK("https://www.boe.es/gazeta/dias/1815/06/08/pdfs/GMD-1815-69.pdf#page=10","Abrir facsímil")</f>
        <v>Abrir facsímil</v>
      </c>
      <c r="K4982" s="3" t="s">
        <v>74</v>
      </c>
    </row>
    <row r="4983" spans="1:11" ht="42" customHeight="1">
      <c r="A4983" s="2" t="s">
        <v>12440</v>
      </c>
      <c r="B4983" s="2" t="s">
        <v>12441</v>
      </c>
      <c r="C4983" s="2" t="s">
        <v>195</v>
      </c>
      <c r="D4983" s="2" t="s">
        <v>50</v>
      </c>
      <c r="E4983" s="5">
        <v>-31000</v>
      </c>
      <c r="F4983" s="3" t="s">
        <v>70</v>
      </c>
      <c r="G4983" s="3" t="s">
        <v>847</v>
      </c>
      <c r="H4983" s="2" t="s">
        <v>72</v>
      </c>
      <c r="I4983" s="2" t="s">
        <v>12442</v>
      </c>
      <c r="J4983" s="3" t="str">
        <f>HYPERLINK("https://www.boe.es/gazeta/dias/1815/02/14/pdfs/GMD-1815-19.pdf#page=6","Abrir facsímil")</f>
        <v>Abrir facsímil</v>
      </c>
      <c r="K4983" s="3" t="s">
        <v>74</v>
      </c>
    </row>
    <row r="4984" spans="1:11" ht="42" customHeight="1">
      <c r="A4984" s="2" t="s">
        <v>12443</v>
      </c>
      <c r="B4984" s="2" t="s">
        <v>12444</v>
      </c>
      <c r="C4984" s="2" t="s">
        <v>49</v>
      </c>
      <c r="D4984" s="2" t="s">
        <v>50</v>
      </c>
      <c r="E4984" s="5">
        <v>-30690</v>
      </c>
      <c r="F4984" s="3" t="s">
        <v>1449</v>
      </c>
      <c r="G4984" s="3" t="s">
        <v>71</v>
      </c>
      <c r="H4984" s="2" t="s">
        <v>72</v>
      </c>
      <c r="I4984" s="2" t="s">
        <v>12445</v>
      </c>
      <c r="J4984" s="3" t="str">
        <f>HYPERLINK("https://www.boe.es/gazeta/dias/1815/12/21/pdfs/GMD-1815-158.pdf#page=7","Abrir facsímil")</f>
        <v>Abrir facsímil</v>
      </c>
      <c r="K4984" s="3" t="s">
        <v>74</v>
      </c>
    </row>
    <row r="4985" spans="1:11" ht="42" customHeight="1">
      <c r="A4985" s="2" t="s">
        <v>12446</v>
      </c>
      <c r="B4985" s="2" t="s">
        <v>12447</v>
      </c>
      <c r="C4985" s="2" t="s">
        <v>17</v>
      </c>
      <c r="D4985" s="2" t="s">
        <v>18</v>
      </c>
      <c r="E4985" s="5">
        <v>-30849</v>
      </c>
      <c r="F4985" s="3" t="s">
        <v>501</v>
      </c>
      <c r="G4985" s="3" t="s">
        <v>276</v>
      </c>
      <c r="H4985" s="2" t="s">
        <v>72</v>
      </c>
      <c r="I4985" s="2" t="s">
        <v>12448</v>
      </c>
      <c r="J4985" s="3" t="str">
        <f>HYPERLINK("https://www.boe.es/gazeta/dias/1815/07/15/pdfs/GMD-1815-87.pdf#page=12","Abrir facsímil")</f>
        <v>Abrir facsímil</v>
      </c>
      <c r="K4985" s="3" t="s">
        <v>74</v>
      </c>
    </row>
    <row r="4986" spans="1:11" ht="42" customHeight="1">
      <c r="A4986" s="2" t="s">
        <v>12449</v>
      </c>
      <c r="B4986" s="2" t="s">
        <v>12450</v>
      </c>
      <c r="C4986" s="2" t="s">
        <v>17</v>
      </c>
      <c r="D4986" s="2" t="s">
        <v>18</v>
      </c>
      <c r="E4986" s="5">
        <v>-30977</v>
      </c>
      <c r="F4986" s="3" t="s">
        <v>37</v>
      </c>
      <c r="G4986" s="3" t="s">
        <v>5408</v>
      </c>
      <c r="H4986" s="2" t="s">
        <v>21</v>
      </c>
      <c r="I4986" s="2" t="s">
        <v>12451</v>
      </c>
      <c r="J4986" s="3" t="str">
        <f>HYPERLINK("https://www.boe.es/gazeta/dias/1815/03/09/pdfs/GMD-1815-29.pdf#page=6","Abrir facsímil")</f>
        <v>Abrir facsímil</v>
      </c>
      <c r="K4986" s="3" t="s">
        <v>23</v>
      </c>
    </row>
    <row r="4987" spans="1:11" ht="42" customHeight="1">
      <c r="A4987" s="2" t="s">
        <v>12452</v>
      </c>
      <c r="B4987" s="2" t="s">
        <v>12453</v>
      </c>
      <c r="C4987" s="2" t="s">
        <v>17</v>
      </c>
      <c r="D4987" s="2" t="s">
        <v>18</v>
      </c>
      <c r="E4987" s="5">
        <v>-30993</v>
      </c>
      <c r="F4987" s="3" t="s">
        <v>66</v>
      </c>
      <c r="G4987" s="3" t="s">
        <v>38</v>
      </c>
      <c r="H4987" s="2" t="s">
        <v>72</v>
      </c>
      <c r="I4987" s="2" t="s">
        <v>12454</v>
      </c>
      <c r="J4987" s="3" t="str">
        <f>HYPERLINK("https://www.boe.es/gazeta/dias/1815/02/21/pdfs/GMD-1815-22.pdf#page=8","Abrir facsímil")</f>
        <v>Abrir facsímil</v>
      </c>
      <c r="K4987" s="3" t="s">
        <v>74</v>
      </c>
    </row>
    <row r="4988" spans="1:11" ht="42" customHeight="1">
      <c r="A4988" s="2" t="s">
        <v>12455</v>
      </c>
      <c r="B4988" s="2" t="s">
        <v>12456</v>
      </c>
      <c r="C4988" s="2" t="s">
        <v>31</v>
      </c>
      <c r="D4988" s="2" t="s">
        <v>32</v>
      </c>
      <c r="E4988" s="5">
        <v>-30916</v>
      </c>
      <c r="F4988" s="3" t="s">
        <v>147</v>
      </c>
      <c r="G4988" s="3" t="s">
        <v>38</v>
      </c>
      <c r="H4988" s="2" t="s">
        <v>72</v>
      </c>
      <c r="I4988" s="2" t="s">
        <v>12457</v>
      </c>
      <c r="J4988" s="3" t="str">
        <f>HYPERLINK("https://www.boe.es/gazeta/dias/1815/05/09/pdfs/GMD-1815-56.pdf#page=8","Abrir facsímil")</f>
        <v>Abrir facsímil</v>
      </c>
      <c r="K4988" s="3" t="s">
        <v>74</v>
      </c>
    </row>
    <row r="4989" spans="1:11" ht="42" customHeight="1">
      <c r="A4989" s="2" t="s">
        <v>12458</v>
      </c>
      <c r="B4989" s="2" t="s">
        <v>12459</v>
      </c>
      <c r="C4989" s="2" t="s">
        <v>49</v>
      </c>
      <c r="D4989" s="2" t="s">
        <v>50</v>
      </c>
      <c r="E4989" s="5">
        <v>-30865</v>
      </c>
      <c r="F4989" s="3" t="s">
        <v>163</v>
      </c>
      <c r="G4989" s="3" t="s">
        <v>71</v>
      </c>
      <c r="H4989" s="2" t="s">
        <v>72</v>
      </c>
      <c r="I4989" s="2" t="s">
        <v>12460</v>
      </c>
      <c r="J4989" s="3" t="str">
        <f>HYPERLINK("https://www.boe.es/gazeta/dias/1815/06/29/pdfs/GMD-1815-78.pdf#page=7","Abrir facsímil")</f>
        <v>Abrir facsímil</v>
      </c>
      <c r="K4989" s="3" t="s">
        <v>74</v>
      </c>
    </row>
    <row r="4990" spans="1:11" ht="42" customHeight="1">
      <c r="A4990" s="2" t="s">
        <v>12461</v>
      </c>
      <c r="B4990" s="2" t="s">
        <v>12462</v>
      </c>
      <c r="C4990" s="2" t="s">
        <v>49</v>
      </c>
      <c r="D4990" s="2" t="s">
        <v>50</v>
      </c>
      <c r="E4990" s="5">
        <v>-30734</v>
      </c>
      <c r="F4990" s="3" t="s">
        <v>376</v>
      </c>
      <c r="G4990" s="3" t="s">
        <v>57</v>
      </c>
      <c r="H4990" s="2" t="s">
        <v>72</v>
      </c>
      <c r="I4990" s="2" t="s">
        <v>12463</v>
      </c>
      <c r="J4990" s="3" t="str">
        <f>HYPERLINK("https://www.boe.es/gazeta/dias/1815/11/07/pdfs/GMD-1815-139.pdf#page=5","Abrir facsímil")</f>
        <v>Abrir facsímil</v>
      </c>
      <c r="K4990" s="3" t="s">
        <v>74</v>
      </c>
    </row>
    <row r="4991" spans="1:11" ht="42" customHeight="1">
      <c r="A4991" s="2" t="s">
        <v>12464</v>
      </c>
      <c r="B4991" s="2" t="s">
        <v>12465</v>
      </c>
      <c r="C4991" s="2" t="s">
        <v>49</v>
      </c>
      <c r="D4991" s="2" t="s">
        <v>50</v>
      </c>
      <c r="E4991" s="5">
        <v>-30734</v>
      </c>
      <c r="F4991" s="3" t="s">
        <v>376</v>
      </c>
      <c r="G4991" s="3" t="s">
        <v>57</v>
      </c>
      <c r="H4991" s="2" t="s">
        <v>72</v>
      </c>
      <c r="I4991" s="2" t="s">
        <v>12466</v>
      </c>
      <c r="J4991" s="3" t="str">
        <f>HYPERLINK("https://www.boe.es/gazeta/dias/1815/11/07/pdfs/GMD-1815-139.pdf#page=5","Abrir facsímil")</f>
        <v>Abrir facsímil</v>
      </c>
      <c r="K4991" s="3" t="s">
        <v>74</v>
      </c>
    </row>
    <row r="4992" spans="1:11" ht="42" customHeight="1">
      <c r="A4992" s="2" t="s">
        <v>12467</v>
      </c>
      <c r="B4992" s="2" t="s">
        <v>12467</v>
      </c>
      <c r="C4992" s="2" t="s">
        <v>31</v>
      </c>
      <c r="D4992" s="2" t="s">
        <v>32</v>
      </c>
      <c r="E4992" s="5">
        <v>-30902</v>
      </c>
      <c r="F4992" s="3" t="s">
        <v>648</v>
      </c>
      <c r="G4992" s="3" t="s">
        <v>38</v>
      </c>
      <c r="H4992" s="2" t="s">
        <v>72</v>
      </c>
      <c r="I4992" s="2" t="s">
        <v>12468</v>
      </c>
      <c r="J4992" s="3" t="str">
        <f>HYPERLINK("https://www.boe.es/gazeta/dias/1815/05/23/pdfs/GMD-1815-62.pdf#page=8","Abrir facsímil")</f>
        <v>Abrir facsímil</v>
      </c>
      <c r="K4992" s="3" t="s">
        <v>74</v>
      </c>
    </row>
    <row r="4993" spans="1:11" ht="42" customHeight="1">
      <c r="A4993" s="2" t="s">
        <v>12467</v>
      </c>
      <c r="B4993" s="2" t="s">
        <v>12467</v>
      </c>
      <c r="C4993" s="2" t="s">
        <v>31</v>
      </c>
      <c r="D4993" s="2" t="s">
        <v>32</v>
      </c>
      <c r="E4993" s="5">
        <v>-30699</v>
      </c>
      <c r="F4993" s="3" t="s">
        <v>810</v>
      </c>
      <c r="G4993" s="3" t="s">
        <v>38</v>
      </c>
      <c r="H4993" s="2" t="s">
        <v>72</v>
      </c>
      <c r="I4993" s="2" t="s">
        <v>12469</v>
      </c>
      <c r="J4993" s="3" t="str">
        <f>HYPERLINK("https://www.boe.es/gazeta/dias/1815/12/12/pdfs/GMD-1815-154.pdf#page=8","Abrir facsímil")</f>
        <v>Abrir facsímil</v>
      </c>
      <c r="K4993" s="3" t="s">
        <v>74</v>
      </c>
    </row>
    <row r="4994" spans="1:11" ht="42" customHeight="1">
      <c r="A4994" s="2" t="s">
        <v>12470</v>
      </c>
      <c r="B4994" s="2" t="s">
        <v>12470</v>
      </c>
      <c r="C4994" s="2" t="s">
        <v>49</v>
      </c>
      <c r="D4994" s="2" t="s">
        <v>50</v>
      </c>
      <c r="E4994" s="5">
        <v>-30870</v>
      </c>
      <c r="F4994" s="3" t="s">
        <v>122</v>
      </c>
      <c r="G4994" s="3" t="s">
        <v>88</v>
      </c>
      <c r="H4994" s="2" t="s">
        <v>72</v>
      </c>
      <c r="I4994" s="2" t="s">
        <v>12471</v>
      </c>
      <c r="J4994" s="3" t="str">
        <f>HYPERLINK("https://www.boe.es/gazeta/dias/1815/06/24/pdfs/GMD-1815-76.pdf#page=10","Abrir facsímil")</f>
        <v>Abrir facsímil</v>
      </c>
      <c r="K4994" s="3" t="s">
        <v>74</v>
      </c>
    </row>
    <row r="4995" spans="1:11" ht="42" customHeight="1">
      <c r="A4995" s="2" t="s">
        <v>12472</v>
      </c>
      <c r="B4995" s="2" t="s">
        <v>12472</v>
      </c>
      <c r="C4995" s="2" t="s">
        <v>31</v>
      </c>
      <c r="D4995" s="2" t="s">
        <v>32</v>
      </c>
      <c r="E4995" s="5">
        <v>-30844</v>
      </c>
      <c r="F4995" s="3" t="s">
        <v>114</v>
      </c>
      <c r="G4995" s="3" t="s">
        <v>38</v>
      </c>
      <c r="H4995" s="2" t="s">
        <v>72</v>
      </c>
      <c r="I4995" s="2" t="s">
        <v>12473</v>
      </c>
      <c r="J4995" s="3" t="str">
        <f>HYPERLINK("https://www.boe.es/gazeta/dias/1815/07/20/pdfs/GMD-1815-89.pdf#page=8","Abrir facsímil")</f>
        <v>Abrir facsímil</v>
      </c>
      <c r="K4995" s="3" t="s">
        <v>74</v>
      </c>
    </row>
    <row r="4996" spans="1:11" ht="42" customHeight="1">
      <c r="A4996" s="2" t="s">
        <v>12474</v>
      </c>
      <c r="B4996" s="2" t="s">
        <v>12475</v>
      </c>
      <c r="C4996" s="2" t="s">
        <v>49</v>
      </c>
      <c r="D4996" s="2" t="s">
        <v>50</v>
      </c>
      <c r="E4996" s="5">
        <v>-30844</v>
      </c>
      <c r="F4996" s="3" t="s">
        <v>114</v>
      </c>
      <c r="G4996" s="3" t="s">
        <v>57</v>
      </c>
      <c r="H4996" s="2" t="s">
        <v>72</v>
      </c>
      <c r="I4996" s="2" t="s">
        <v>12476</v>
      </c>
      <c r="J4996" s="3" t="str">
        <f>HYPERLINK("https://www.boe.es/gazeta/dias/1815/07/20/pdfs/GMD-1815-89.pdf#page=5","Abrir facsímil")</f>
        <v>Abrir facsímil</v>
      </c>
      <c r="K4996" s="3" t="s">
        <v>74</v>
      </c>
    </row>
    <row r="4997" spans="1:11" ht="42" customHeight="1">
      <c r="A4997" s="2" t="s">
        <v>12477</v>
      </c>
      <c r="B4997" s="2" t="s">
        <v>12478</v>
      </c>
      <c r="C4997" s="2" t="s">
        <v>49</v>
      </c>
      <c r="D4997" s="2" t="s">
        <v>50</v>
      </c>
      <c r="E4997" s="5">
        <v>-31026</v>
      </c>
      <c r="F4997" s="3" t="s">
        <v>874</v>
      </c>
      <c r="G4997" s="3" t="s">
        <v>38</v>
      </c>
      <c r="H4997" s="2" t="s">
        <v>72</v>
      </c>
      <c r="I4997" s="2" t="s">
        <v>12479</v>
      </c>
      <c r="J4997" s="3" t="str">
        <f>HYPERLINK("https://www.boe.es/gazeta/dias/1815/01/19/pdfs/GMD-1815-8.pdf#page=8","Abrir facsímil")</f>
        <v>Abrir facsímil</v>
      </c>
      <c r="K4997" s="3" t="s">
        <v>74</v>
      </c>
    </row>
    <row r="4998" spans="1:11" ht="42" customHeight="1">
      <c r="A4998" s="2" t="s">
        <v>12480</v>
      </c>
      <c r="B4998" s="2" t="s">
        <v>12480</v>
      </c>
      <c r="C4998" s="2" t="s">
        <v>31</v>
      </c>
      <c r="D4998" s="2" t="s">
        <v>32</v>
      </c>
      <c r="E4998" s="5">
        <v>-30828</v>
      </c>
      <c r="F4998" s="3" t="s">
        <v>1402</v>
      </c>
      <c r="G4998" s="3" t="s">
        <v>20</v>
      </c>
      <c r="H4998" s="2" t="s">
        <v>72</v>
      </c>
      <c r="I4998" s="2" t="s">
        <v>12481</v>
      </c>
      <c r="J4998" s="3" t="str">
        <f>HYPERLINK("https://www.boe.es/gazeta/dias/1815/08/05/pdfs/GMD-1815-96.pdf#page=4","Abrir facsímil")</f>
        <v>Abrir facsímil</v>
      </c>
      <c r="K4998" s="3" t="s">
        <v>74</v>
      </c>
    </row>
    <row r="4999" spans="1:11" ht="42" customHeight="1">
      <c r="A4999" s="2" t="s">
        <v>12482</v>
      </c>
      <c r="B4999" s="2" t="s">
        <v>12482</v>
      </c>
      <c r="C4999" s="2" t="s">
        <v>49</v>
      </c>
      <c r="D4999" s="2" t="s">
        <v>50</v>
      </c>
      <c r="E4999" s="5">
        <v>-30870</v>
      </c>
      <c r="F4999" s="3" t="s">
        <v>122</v>
      </c>
      <c r="G4999" s="3" t="s">
        <v>88</v>
      </c>
      <c r="H4999" s="2" t="s">
        <v>72</v>
      </c>
      <c r="I4999" s="2" t="s">
        <v>12483</v>
      </c>
      <c r="J4999" s="3" t="str">
        <f>HYPERLINK("https://www.boe.es/gazeta/dias/1815/06/24/pdfs/GMD-1815-76.pdf#page=10","Abrir facsímil")</f>
        <v>Abrir facsímil</v>
      </c>
      <c r="K4999" s="3" t="s">
        <v>74</v>
      </c>
    </row>
    <row r="5000" spans="1:11" ht="42" customHeight="1">
      <c r="A5000" s="2" t="s">
        <v>12484</v>
      </c>
      <c r="B5000" s="2" t="s">
        <v>12485</v>
      </c>
      <c r="C5000" s="2" t="s">
        <v>49</v>
      </c>
      <c r="D5000" s="2" t="s">
        <v>50</v>
      </c>
      <c r="E5000" s="5">
        <v>-30886</v>
      </c>
      <c r="F5000" s="3" t="s">
        <v>140</v>
      </c>
      <c r="G5000" s="3" t="s">
        <v>224</v>
      </c>
      <c r="H5000" s="2" t="s">
        <v>72</v>
      </c>
      <c r="I5000" s="2" t="s">
        <v>12486</v>
      </c>
      <c r="J5000" s="3" t="str">
        <f>HYPERLINK("https://www.boe.es/gazeta/dias/1815/06/08/pdfs/GMD-1815-69.pdf#page=9","Abrir facsímil")</f>
        <v>Abrir facsímil</v>
      </c>
      <c r="K5000" s="3" t="s">
        <v>74</v>
      </c>
    </row>
    <row r="5001" spans="1:11" ht="42" customHeight="1">
      <c r="A5001" s="2" t="s">
        <v>12487</v>
      </c>
      <c r="B5001" s="2" t="s">
        <v>12488</v>
      </c>
      <c r="C5001" s="2" t="s">
        <v>49</v>
      </c>
      <c r="D5001" s="2" t="s">
        <v>50</v>
      </c>
      <c r="E5001" s="5">
        <v>-30886</v>
      </c>
      <c r="F5001" s="3" t="s">
        <v>140</v>
      </c>
      <c r="G5001" s="3" t="s">
        <v>224</v>
      </c>
      <c r="H5001" s="2" t="s">
        <v>72</v>
      </c>
      <c r="I5001" s="2" t="s">
        <v>12489</v>
      </c>
      <c r="J5001" s="3" t="str">
        <f>HYPERLINK("https://www.boe.es/gazeta/dias/1815/06/08/pdfs/GMD-1815-69.pdf#page=9","Abrir facsímil")</f>
        <v>Abrir facsímil</v>
      </c>
      <c r="K5001" s="3" t="s">
        <v>74</v>
      </c>
    </row>
    <row r="5002" spans="1:11" ht="42" customHeight="1">
      <c r="A5002" s="2" t="s">
        <v>12490</v>
      </c>
      <c r="B5002" s="2" t="s">
        <v>12491</v>
      </c>
      <c r="C5002" s="2" t="s">
        <v>81</v>
      </c>
      <c r="D5002" s="2" t="s">
        <v>50</v>
      </c>
      <c r="E5002" s="5">
        <v>-30891</v>
      </c>
      <c r="F5002" s="3" t="s">
        <v>498</v>
      </c>
      <c r="G5002" s="3" t="s">
        <v>71</v>
      </c>
      <c r="H5002" s="2" t="s">
        <v>72</v>
      </c>
      <c r="I5002" s="2" t="s">
        <v>12492</v>
      </c>
      <c r="J5002" s="3" t="str">
        <f>HYPERLINK("https://www.boe.es/gazeta/dias/1815/06/03/pdfs/GMD-1815-67.pdf#page=7","Abrir facsímil")</f>
        <v>Abrir facsímil</v>
      </c>
      <c r="K5002" s="3" t="s">
        <v>74</v>
      </c>
    </row>
    <row r="5003" spans="1:11" ht="42" customHeight="1">
      <c r="A5003" s="2" t="s">
        <v>12493</v>
      </c>
      <c r="B5003" s="2" t="s">
        <v>12494</v>
      </c>
      <c r="C5003" s="2" t="s">
        <v>17</v>
      </c>
      <c r="D5003" s="2" t="s">
        <v>18</v>
      </c>
      <c r="E5003" s="5">
        <v>-30930</v>
      </c>
      <c r="F5003" s="3" t="s">
        <v>51</v>
      </c>
      <c r="G5003" s="3" t="s">
        <v>27</v>
      </c>
      <c r="H5003" s="2" t="s">
        <v>72</v>
      </c>
      <c r="I5003" s="2" t="s">
        <v>12495</v>
      </c>
      <c r="J5003" s="3" t="str">
        <f>HYPERLINK("https://www.boe.es/gazeta/dias/1815/04/25/pdfs/GMD-1815-50.pdf#page=6","Abrir facsímil")</f>
        <v>Abrir facsímil</v>
      </c>
      <c r="K5003" s="3" t="s">
        <v>74</v>
      </c>
    </row>
    <row r="5004" spans="1:11" ht="42" customHeight="1">
      <c r="A5004" s="2" t="s">
        <v>12493</v>
      </c>
      <c r="B5004" s="2" t="s">
        <v>12494</v>
      </c>
      <c r="C5004" s="2" t="s">
        <v>31</v>
      </c>
      <c r="D5004" s="2" t="s">
        <v>32</v>
      </c>
      <c r="E5004" s="5">
        <v>-30748</v>
      </c>
      <c r="F5004" s="3" t="s">
        <v>2077</v>
      </c>
      <c r="G5004" s="3" t="s">
        <v>57</v>
      </c>
      <c r="H5004" s="2" t="s">
        <v>72</v>
      </c>
      <c r="I5004" s="2" t="s">
        <v>12496</v>
      </c>
      <c r="J5004" s="3" t="str">
        <f>HYPERLINK("https://www.boe.es/gazeta/dias/1815/10/24/pdfs/GMD-1815-133.pdf#page=5","Abrir facsímil")</f>
        <v>Abrir facsímil</v>
      </c>
      <c r="K5004" s="3" t="s">
        <v>74</v>
      </c>
    </row>
    <row r="5005" spans="1:11" ht="42" customHeight="1">
      <c r="A5005" s="2" t="s">
        <v>12497</v>
      </c>
      <c r="B5005" s="2" t="s">
        <v>12498</v>
      </c>
      <c r="C5005" s="2" t="s">
        <v>31</v>
      </c>
      <c r="D5005" s="2" t="s">
        <v>32</v>
      </c>
      <c r="E5005" s="5">
        <v>-30874</v>
      </c>
      <c r="F5005" s="3" t="s">
        <v>208</v>
      </c>
      <c r="G5005" s="3" t="s">
        <v>71</v>
      </c>
      <c r="H5005" s="2" t="s">
        <v>72</v>
      </c>
      <c r="I5005" s="2" t="s">
        <v>12499</v>
      </c>
      <c r="J5005" s="3" t="str">
        <f>HYPERLINK("https://www.boe.es/gazeta/dias/1815/06/20/pdfs/GMD-1815-74.pdf#page=7","Abrir facsímil")</f>
        <v>Abrir facsímil</v>
      </c>
      <c r="K5005" s="3" t="s">
        <v>74</v>
      </c>
    </row>
    <row r="5006" spans="1:11" ht="42" customHeight="1">
      <c r="A5006" s="2" t="s">
        <v>12500</v>
      </c>
      <c r="B5006" s="2" t="s">
        <v>12501</v>
      </c>
      <c r="C5006" s="2" t="s">
        <v>49</v>
      </c>
      <c r="D5006" s="2" t="s">
        <v>50</v>
      </c>
      <c r="E5006" s="5">
        <v>-30888</v>
      </c>
      <c r="F5006" s="3" t="s">
        <v>368</v>
      </c>
      <c r="G5006" s="3" t="s">
        <v>276</v>
      </c>
      <c r="H5006" s="2" t="s">
        <v>72</v>
      </c>
      <c r="I5006" s="2" t="s">
        <v>12502</v>
      </c>
      <c r="J5006" s="3" t="str">
        <f>HYPERLINK("https://www.boe.es/gazeta/dias/1815/06/06/pdfs/GMD-1815-68.pdf#page=12","Abrir facsímil")</f>
        <v>Abrir facsímil</v>
      </c>
      <c r="K5006" s="3" t="s">
        <v>74</v>
      </c>
    </row>
    <row r="5007" spans="1:11" ht="42" customHeight="1">
      <c r="A5007" s="2" t="s">
        <v>12503</v>
      </c>
      <c r="B5007" s="2" t="s">
        <v>12504</v>
      </c>
      <c r="C5007" s="2" t="s">
        <v>17</v>
      </c>
      <c r="D5007" s="2" t="s">
        <v>18</v>
      </c>
      <c r="E5007" s="5">
        <v>-30984</v>
      </c>
      <c r="F5007" s="3" t="s">
        <v>748</v>
      </c>
      <c r="G5007" s="3" t="s">
        <v>4039</v>
      </c>
      <c r="H5007" s="2" t="s">
        <v>72</v>
      </c>
      <c r="I5007" s="2" t="s">
        <v>12505</v>
      </c>
      <c r="J5007" s="3" t="str">
        <f>HYPERLINK("https://www.boe.es/gazeta/dias/1815/03/02/pdfs/GMD-1815-26.pdf#page=7","Abrir facsímil")</f>
        <v>Abrir facsímil</v>
      </c>
      <c r="K5007" s="3" t="s">
        <v>74</v>
      </c>
    </row>
    <row r="5008" spans="1:11" ht="42" customHeight="1">
      <c r="A5008" s="2" t="s">
        <v>12506</v>
      </c>
      <c r="B5008" s="2" t="s">
        <v>12506</v>
      </c>
      <c r="C5008" s="2" t="s">
        <v>49</v>
      </c>
      <c r="D5008" s="2" t="s">
        <v>50</v>
      </c>
      <c r="E5008" s="5">
        <v>-30912</v>
      </c>
      <c r="F5008" s="3" t="s">
        <v>579</v>
      </c>
      <c r="G5008" s="3" t="s">
        <v>97</v>
      </c>
      <c r="H5008" s="2" t="s">
        <v>72</v>
      </c>
      <c r="I5008" s="2" t="s">
        <v>12507</v>
      </c>
      <c r="J5008" s="3" t="str">
        <f>HYPERLINK("https://www.boe.es/gazeta/dias/1815/05/13/pdfs/GMD-1815-58.pdf#page=3","Abrir facsímil")</f>
        <v>Abrir facsímil</v>
      </c>
      <c r="K5008" s="3" t="s">
        <v>74</v>
      </c>
    </row>
    <row r="5009" spans="1:11" ht="42" customHeight="1">
      <c r="A5009" s="2" t="s">
        <v>12508</v>
      </c>
      <c r="B5009" s="2" t="s">
        <v>12509</v>
      </c>
      <c r="C5009" s="2" t="s">
        <v>17</v>
      </c>
      <c r="D5009" s="2" t="s">
        <v>18</v>
      </c>
      <c r="E5009" s="5">
        <v>-30767</v>
      </c>
      <c r="F5009" s="3" t="s">
        <v>228</v>
      </c>
      <c r="G5009" s="3" t="s">
        <v>224</v>
      </c>
      <c r="H5009" s="2" t="s">
        <v>72</v>
      </c>
      <c r="I5009" s="2" t="s">
        <v>12510</v>
      </c>
      <c r="J5009" s="3" t="str">
        <f>HYPERLINK("https://www.boe.es/gazeta/dias/1815/10/05/pdfs/GMD-1815-125.pdf#page=9","Abrir facsímil")</f>
        <v>Abrir facsímil</v>
      </c>
      <c r="K5009" s="3" t="s">
        <v>74</v>
      </c>
    </row>
    <row r="5010" spans="1:11" ht="42" customHeight="1">
      <c r="A5010" s="2" t="s">
        <v>12511</v>
      </c>
      <c r="B5010" s="2" t="s">
        <v>12512</v>
      </c>
      <c r="C5010" s="2" t="s">
        <v>49</v>
      </c>
      <c r="D5010" s="2" t="s">
        <v>50</v>
      </c>
      <c r="E5010" s="5">
        <v>-31017</v>
      </c>
      <c r="F5010" s="3" t="s">
        <v>456</v>
      </c>
      <c r="G5010" s="3" t="s">
        <v>20</v>
      </c>
      <c r="H5010" s="2" t="s">
        <v>72</v>
      </c>
      <c r="I5010" s="2" t="s">
        <v>12513</v>
      </c>
      <c r="J5010" s="3" t="str">
        <f>HYPERLINK("https://www.boe.es/gazeta/dias/1815/01/28/pdfs/GMD-1815-12.pdf#page=4","Abrir facsímil")</f>
        <v>Abrir facsímil</v>
      </c>
      <c r="K5010" s="3" t="s">
        <v>74</v>
      </c>
    </row>
    <row r="5011" spans="1:11" ht="42" customHeight="1">
      <c r="A5011" s="2" t="s">
        <v>12514</v>
      </c>
      <c r="B5011" s="2" t="s">
        <v>12515</v>
      </c>
      <c r="C5011" s="2" t="s">
        <v>31</v>
      </c>
      <c r="D5011" s="2" t="s">
        <v>32</v>
      </c>
      <c r="E5011" s="5">
        <v>-30891</v>
      </c>
      <c r="F5011" s="3" t="s">
        <v>498</v>
      </c>
      <c r="G5011" s="3" t="s">
        <v>27</v>
      </c>
      <c r="H5011" s="2" t="s">
        <v>72</v>
      </c>
      <c r="I5011" s="2" t="s">
        <v>12516</v>
      </c>
      <c r="J5011" s="3" t="str">
        <f>HYPERLINK("https://www.boe.es/gazeta/dias/1815/06/03/pdfs/GMD-1815-67.pdf#page=6","Abrir facsímil")</f>
        <v>Abrir facsímil</v>
      </c>
      <c r="K5011" s="3" t="s">
        <v>74</v>
      </c>
    </row>
    <row r="5012" spans="1:11" ht="42" customHeight="1">
      <c r="A5012" s="2" t="s">
        <v>12517</v>
      </c>
      <c r="B5012" s="2" t="s">
        <v>12518</v>
      </c>
      <c r="C5012" s="2" t="s">
        <v>31</v>
      </c>
      <c r="D5012" s="2" t="s">
        <v>32</v>
      </c>
      <c r="E5012" s="5">
        <v>-31026</v>
      </c>
      <c r="F5012" s="3" t="s">
        <v>874</v>
      </c>
      <c r="G5012" s="3" t="s">
        <v>27</v>
      </c>
      <c r="H5012" s="2" t="s">
        <v>21</v>
      </c>
      <c r="I5012" s="2" t="s">
        <v>12519</v>
      </c>
      <c r="J5012" s="3" t="str">
        <f>HYPERLINK("https://www.boe.es/gazeta/dias/1815/01/19/pdfs/GMD-1815-8.pdf#page=6","Abrir facsímil")</f>
        <v>Abrir facsímil</v>
      </c>
      <c r="K5012" s="3" t="s">
        <v>23</v>
      </c>
    </row>
    <row r="5013" spans="1:11" ht="42" customHeight="1">
      <c r="A5013" s="2" t="s">
        <v>12520</v>
      </c>
      <c r="B5013" s="2" t="s">
        <v>12521</v>
      </c>
      <c r="C5013" s="2" t="s">
        <v>61</v>
      </c>
      <c r="D5013" s="2" t="s">
        <v>50</v>
      </c>
      <c r="E5013" s="5">
        <v>-30816</v>
      </c>
      <c r="F5013" s="3" t="s">
        <v>1253</v>
      </c>
      <c r="G5013" s="3" t="s">
        <v>276</v>
      </c>
      <c r="H5013" s="2" t="s">
        <v>72</v>
      </c>
      <c r="I5013" s="2" t="s">
        <v>12522</v>
      </c>
      <c r="J5013" s="3" t="str">
        <f>HYPERLINK("https://www.boe.es/gazeta/dias/1815/08/17/pdfs/GMD-1815-101.pdf#page=12","Abrir facsímil")</f>
        <v>Abrir facsímil</v>
      </c>
      <c r="K5013" s="3" t="s">
        <v>74</v>
      </c>
    </row>
    <row r="5014" spans="1:11" ht="42" customHeight="1">
      <c r="A5014" s="2" t="s">
        <v>12523</v>
      </c>
      <c r="B5014" s="2" t="s">
        <v>12524</v>
      </c>
      <c r="C5014" s="2" t="s">
        <v>31</v>
      </c>
      <c r="D5014" s="2" t="s">
        <v>32</v>
      </c>
      <c r="E5014" s="5">
        <v>-30970</v>
      </c>
      <c r="F5014" s="3" t="s">
        <v>436</v>
      </c>
      <c r="G5014" s="3" t="s">
        <v>57</v>
      </c>
      <c r="H5014" s="2" t="s">
        <v>72</v>
      </c>
      <c r="I5014" s="2" t="s">
        <v>12525</v>
      </c>
      <c r="J5014" s="3" t="str">
        <f>HYPERLINK("https://www.boe.es/gazeta/dias/1815/03/16/pdfs/GMD-1815-32.pdf#page=5","Abrir facsímil")</f>
        <v>Abrir facsímil</v>
      </c>
      <c r="K5014" s="3" t="s">
        <v>74</v>
      </c>
    </row>
    <row r="5015" spans="1:11" ht="42" customHeight="1">
      <c r="A5015" s="2" t="s">
        <v>12526</v>
      </c>
      <c r="B5015" s="2" t="s">
        <v>12527</v>
      </c>
      <c r="C5015" s="2" t="s">
        <v>17</v>
      </c>
      <c r="D5015" s="2" t="s">
        <v>18</v>
      </c>
      <c r="E5015" s="5">
        <v>-30898</v>
      </c>
      <c r="F5015" s="3" t="s">
        <v>212</v>
      </c>
      <c r="G5015" s="3" t="s">
        <v>27</v>
      </c>
      <c r="H5015" s="2" t="s">
        <v>72</v>
      </c>
      <c r="I5015" s="2" t="s">
        <v>12528</v>
      </c>
      <c r="J5015" s="3" t="str">
        <f>HYPERLINK("https://www.boe.es/gazeta/dias/1815/05/27/pdfs/GMD-1815-64.pdf#page=6","Abrir facsímil")</f>
        <v>Abrir facsímil</v>
      </c>
      <c r="K5015" s="3" t="s">
        <v>74</v>
      </c>
    </row>
    <row r="5016" spans="1:11" ht="42" customHeight="1">
      <c r="A5016" s="2" t="s">
        <v>12529</v>
      </c>
      <c r="B5016" s="2" t="s">
        <v>12530</v>
      </c>
      <c r="C5016" s="2" t="s">
        <v>49</v>
      </c>
      <c r="D5016" s="2" t="s">
        <v>50</v>
      </c>
      <c r="E5016" s="5">
        <v>-30865</v>
      </c>
      <c r="F5016" s="3" t="s">
        <v>163</v>
      </c>
      <c r="G5016" s="3" t="s">
        <v>71</v>
      </c>
      <c r="H5016" s="2" t="s">
        <v>72</v>
      </c>
      <c r="I5016" s="2" t="s">
        <v>12531</v>
      </c>
      <c r="J5016" s="3" t="str">
        <f>HYPERLINK("https://www.boe.es/gazeta/dias/1815/06/29/pdfs/GMD-1815-78.pdf#page=7","Abrir facsímil")</f>
        <v>Abrir facsímil</v>
      </c>
      <c r="K5016" s="3" t="s">
        <v>74</v>
      </c>
    </row>
    <row r="5017" spans="1:11" ht="42" customHeight="1">
      <c r="A5017" s="2" t="s">
        <v>12532</v>
      </c>
      <c r="B5017" s="2" t="s">
        <v>12533</v>
      </c>
      <c r="C5017" s="2" t="s">
        <v>131</v>
      </c>
      <c r="D5017" s="2" t="s">
        <v>50</v>
      </c>
      <c r="E5017" s="5">
        <v>-30874</v>
      </c>
      <c r="F5017" s="3" t="s">
        <v>208</v>
      </c>
      <c r="G5017" s="3" t="s">
        <v>27</v>
      </c>
      <c r="H5017" s="2" t="s">
        <v>72</v>
      </c>
      <c r="I5017" s="2" t="s">
        <v>12534</v>
      </c>
      <c r="J5017" s="3" t="str">
        <f>HYPERLINK("https://www.boe.es/gazeta/dias/1815/06/20/pdfs/GMD-1815-74.pdf#page=6","Abrir facsímil")</f>
        <v>Abrir facsímil</v>
      </c>
      <c r="K5017" s="3" t="s">
        <v>74</v>
      </c>
    </row>
    <row r="5018" spans="1:11" ht="42" customHeight="1">
      <c r="A5018" s="2" t="s">
        <v>12535</v>
      </c>
      <c r="B5018" s="2" t="s">
        <v>12536</v>
      </c>
      <c r="C5018" s="2" t="s">
        <v>31</v>
      </c>
      <c r="D5018" s="2" t="s">
        <v>32</v>
      </c>
      <c r="E5018" s="5">
        <v>-31038</v>
      </c>
      <c r="F5018" s="3" t="s">
        <v>395</v>
      </c>
      <c r="G5018" s="3" t="s">
        <v>396</v>
      </c>
      <c r="H5018" s="2" t="s">
        <v>72</v>
      </c>
      <c r="I5018" s="2" t="s">
        <v>12537</v>
      </c>
      <c r="J5018" s="3" t="str">
        <f>HYPERLINK("https://www.boe.es/gazeta/dias/1815/01/07/pdfs/GMD-1815-3.pdf#page=5","Abrir facsímil")</f>
        <v>Abrir facsímil</v>
      </c>
      <c r="K5018" s="3" t="s">
        <v>74</v>
      </c>
    </row>
    <row r="5019" spans="1:11" ht="42" customHeight="1">
      <c r="A5019" s="2" t="s">
        <v>12538</v>
      </c>
      <c r="B5019" s="2" t="s">
        <v>12539</v>
      </c>
      <c r="C5019" s="2" t="s">
        <v>49</v>
      </c>
      <c r="D5019" s="2" t="s">
        <v>50</v>
      </c>
      <c r="E5019" s="5">
        <v>-30874</v>
      </c>
      <c r="F5019" s="3" t="s">
        <v>208</v>
      </c>
      <c r="G5019" s="3" t="s">
        <v>224</v>
      </c>
      <c r="H5019" s="2" t="s">
        <v>72</v>
      </c>
      <c r="I5019" s="2" t="s">
        <v>12540</v>
      </c>
      <c r="J5019" s="3" t="str">
        <f>HYPERLINK("https://www.boe.es/gazeta/dias/1815/06/20/pdfs/GMD-1815-74.pdf#page=9","Abrir facsímil")</f>
        <v>Abrir facsímil</v>
      </c>
      <c r="K5019" s="3" t="s">
        <v>74</v>
      </c>
    </row>
    <row r="5020" spans="1:11" ht="42" customHeight="1">
      <c r="A5020" s="2" t="s">
        <v>12541</v>
      </c>
      <c r="B5020" s="2" t="s">
        <v>12542</v>
      </c>
      <c r="C5020" s="2" t="s">
        <v>17</v>
      </c>
      <c r="D5020" s="2" t="s">
        <v>18</v>
      </c>
      <c r="E5020" s="5">
        <v>-30844</v>
      </c>
      <c r="F5020" s="3" t="s">
        <v>114</v>
      </c>
      <c r="G5020" s="3" t="s">
        <v>71</v>
      </c>
      <c r="H5020" s="2" t="s">
        <v>72</v>
      </c>
      <c r="I5020" s="2" t="s">
        <v>12543</v>
      </c>
      <c r="J5020" s="3" t="str">
        <f>HYPERLINK("https://www.boe.es/gazeta/dias/1815/07/20/pdfs/GMD-1815-89.pdf#page=7","Abrir facsímil")</f>
        <v>Abrir facsímil</v>
      </c>
      <c r="K5020" s="3" t="s">
        <v>74</v>
      </c>
    </row>
    <row r="5021" spans="1:11" ht="42" customHeight="1">
      <c r="A5021" s="2" t="s">
        <v>12544</v>
      </c>
      <c r="B5021" s="2" t="s">
        <v>12545</v>
      </c>
      <c r="C5021" s="2" t="s">
        <v>49</v>
      </c>
      <c r="D5021" s="2" t="s">
        <v>50</v>
      </c>
      <c r="E5021" s="5">
        <v>-31040</v>
      </c>
      <c r="F5021" s="3" t="s">
        <v>326</v>
      </c>
      <c r="G5021" s="3" t="s">
        <v>38</v>
      </c>
      <c r="H5021" s="2" t="s">
        <v>21</v>
      </c>
      <c r="I5021" s="2" t="s">
        <v>12546</v>
      </c>
      <c r="J5021" s="3" t="str">
        <f>HYPERLINK("https://www.boe.es/gazeta/dias/1815/01/05/pdfs/GMD-1815-2.pdf#page=8","Abrir facsímil")</f>
        <v>Abrir facsímil</v>
      </c>
      <c r="K5021" s="3" t="s">
        <v>23</v>
      </c>
    </row>
    <row r="5022" spans="1:11" ht="42" customHeight="1">
      <c r="A5022" s="2" t="s">
        <v>12547</v>
      </c>
      <c r="B5022" s="2" t="s">
        <v>12548</v>
      </c>
      <c r="C5022" s="2" t="s">
        <v>17</v>
      </c>
      <c r="D5022" s="2" t="s">
        <v>18</v>
      </c>
      <c r="E5022" s="5">
        <v>-30930</v>
      </c>
      <c r="F5022" s="3" t="s">
        <v>51</v>
      </c>
      <c r="G5022" s="3" t="s">
        <v>27</v>
      </c>
      <c r="H5022" s="2" t="s">
        <v>72</v>
      </c>
      <c r="I5022" s="2" t="s">
        <v>12549</v>
      </c>
      <c r="J5022" s="3" t="str">
        <f>HYPERLINK("https://www.boe.es/gazeta/dias/1815/04/25/pdfs/GMD-1815-50.pdf#page=6","Abrir facsímil")</f>
        <v>Abrir facsímil</v>
      </c>
      <c r="K5022" s="3" t="s">
        <v>74</v>
      </c>
    </row>
    <row r="5023" spans="1:11" ht="42" customHeight="1">
      <c r="A5023" s="2" t="s">
        <v>12547</v>
      </c>
      <c r="B5023" s="2" t="s">
        <v>12548</v>
      </c>
      <c r="C5023" s="2" t="s">
        <v>31</v>
      </c>
      <c r="D5023" s="2" t="s">
        <v>32</v>
      </c>
      <c r="E5023" s="5">
        <v>-30725</v>
      </c>
      <c r="F5023" s="3" t="s">
        <v>1535</v>
      </c>
      <c r="G5023" s="3" t="s">
        <v>5348</v>
      </c>
      <c r="H5023" s="2" t="s">
        <v>72</v>
      </c>
      <c r="I5023" s="2" t="s">
        <v>12550</v>
      </c>
      <c r="J5023" s="3" t="str">
        <f>HYPERLINK("https://www.boe.es/gazeta/dias/1815/11/16/pdfs/GMD-1815-143.pdf#page=7","Abrir facsímil")</f>
        <v>Abrir facsímil</v>
      </c>
      <c r="K5023" s="3" t="s">
        <v>74</v>
      </c>
    </row>
    <row r="5024" spans="1:11" ht="42" customHeight="1">
      <c r="A5024" s="2" t="s">
        <v>12551</v>
      </c>
      <c r="B5024" s="2" t="s">
        <v>12551</v>
      </c>
      <c r="C5024" s="2" t="s">
        <v>31</v>
      </c>
      <c r="D5024" s="2" t="s">
        <v>32</v>
      </c>
      <c r="E5024" s="5">
        <v>-30893</v>
      </c>
      <c r="F5024" s="3" t="s">
        <v>132</v>
      </c>
      <c r="G5024" s="3" t="s">
        <v>410</v>
      </c>
      <c r="H5024" s="2" t="s">
        <v>72</v>
      </c>
      <c r="I5024" s="2" t="s">
        <v>12552</v>
      </c>
      <c r="J5024" s="3" t="str">
        <f>HYPERLINK("https://www.boe.es/gazeta/dias/1815/06/01/pdfs/GMD-1815-66.pdf#page=1","Abrir facsímil")</f>
        <v>Abrir facsímil</v>
      </c>
      <c r="K5024" s="3" t="s">
        <v>74</v>
      </c>
    </row>
    <row r="5025" spans="1:11" ht="42" customHeight="1">
      <c r="A5025" s="2" t="s">
        <v>12553</v>
      </c>
      <c r="B5025" s="2" t="s">
        <v>12554</v>
      </c>
      <c r="C5025" s="2" t="s">
        <v>31</v>
      </c>
      <c r="D5025" s="2" t="s">
        <v>179</v>
      </c>
      <c r="E5025" s="5">
        <v>-30860</v>
      </c>
      <c r="F5025" s="3" t="s">
        <v>180</v>
      </c>
      <c r="G5025" s="3" t="s">
        <v>20</v>
      </c>
      <c r="H5025" s="2" t="s">
        <v>72</v>
      </c>
      <c r="I5025" s="2" t="s">
        <v>12555</v>
      </c>
      <c r="J5025" s="3" t="str">
        <f>HYPERLINK("https://www.boe.es/gazeta/dias/1815/07/04/pdfs/GMD-1815-82E.pdf#page=4","Abrir facsímil")</f>
        <v>Abrir facsímil</v>
      </c>
      <c r="K5025" s="3" t="s">
        <v>74</v>
      </c>
    </row>
    <row r="5026" spans="1:11" ht="42" customHeight="1">
      <c r="A5026" s="2" t="s">
        <v>12556</v>
      </c>
      <c r="B5026" s="2" t="s">
        <v>12557</v>
      </c>
      <c r="C5026" s="2" t="s">
        <v>31</v>
      </c>
      <c r="D5026" s="2" t="s">
        <v>179</v>
      </c>
      <c r="E5026" s="5">
        <v>-30860</v>
      </c>
      <c r="F5026" s="3" t="s">
        <v>180</v>
      </c>
      <c r="G5026" s="3" t="s">
        <v>20</v>
      </c>
      <c r="H5026" s="2" t="s">
        <v>21</v>
      </c>
      <c r="I5026" s="2" t="s">
        <v>12558</v>
      </c>
      <c r="J5026" s="3" t="str">
        <f>HYPERLINK("https://www.boe.es/gazeta/dias/1815/07/04/pdfs/GMD-1815-82E.pdf#page=4","Abrir facsímil")</f>
        <v>Abrir facsímil</v>
      </c>
      <c r="K5026" s="3" t="s">
        <v>23</v>
      </c>
    </row>
    <row r="5027" spans="1:11" ht="42" customHeight="1">
      <c r="A5027" s="2" t="s">
        <v>12559</v>
      </c>
      <c r="B5027" s="2" t="s">
        <v>12559</v>
      </c>
      <c r="C5027" s="2" t="s">
        <v>31</v>
      </c>
      <c r="D5027" s="2" t="s">
        <v>32</v>
      </c>
      <c r="E5027" s="5">
        <v>-30720</v>
      </c>
      <c r="F5027" s="3" t="s">
        <v>373</v>
      </c>
      <c r="G5027" s="3" t="s">
        <v>97</v>
      </c>
      <c r="H5027" s="2" t="s">
        <v>72</v>
      </c>
      <c r="I5027" s="2" t="s">
        <v>12560</v>
      </c>
      <c r="J5027" s="3" t="str">
        <f>HYPERLINK("https://www.boe.es/gazeta/dias/1815/11/21/pdfs/GMD-1815-145.pdf#page=3","Abrir facsímil")</f>
        <v>Abrir facsímil</v>
      </c>
      <c r="K5027" s="3" t="s">
        <v>74</v>
      </c>
    </row>
    <row r="5028" spans="1:11" ht="42" customHeight="1">
      <c r="A5028" s="2" t="s">
        <v>12561</v>
      </c>
      <c r="B5028" s="2" t="s">
        <v>12561</v>
      </c>
      <c r="C5028" s="2" t="s">
        <v>49</v>
      </c>
      <c r="D5028" s="2" t="s">
        <v>50</v>
      </c>
      <c r="E5028" s="5">
        <v>-30942</v>
      </c>
      <c r="F5028" s="3" t="s">
        <v>730</v>
      </c>
      <c r="G5028" s="3" t="s">
        <v>97</v>
      </c>
      <c r="H5028" s="2" t="s">
        <v>72</v>
      </c>
      <c r="I5028" s="2" t="s">
        <v>12562</v>
      </c>
      <c r="J5028" s="3" t="str">
        <f>HYPERLINK("https://www.boe.es/gazeta/dias/1815/04/13/pdfs/GMD-1815-45.pdf#page=3","Abrir facsímil")</f>
        <v>Abrir facsímil</v>
      </c>
      <c r="K5028" s="3" t="s">
        <v>74</v>
      </c>
    </row>
    <row r="5029" spans="1:11" ht="42" customHeight="1">
      <c r="A5029" s="2" t="s">
        <v>12563</v>
      </c>
      <c r="B5029" s="2" t="s">
        <v>12564</v>
      </c>
      <c r="C5029" s="2" t="s">
        <v>17</v>
      </c>
      <c r="D5029" s="2" t="s">
        <v>18</v>
      </c>
      <c r="E5029" s="5">
        <v>-31000</v>
      </c>
      <c r="F5029" s="3" t="s">
        <v>70</v>
      </c>
      <c r="G5029" s="3" t="s">
        <v>847</v>
      </c>
      <c r="H5029" s="2" t="s">
        <v>72</v>
      </c>
      <c r="I5029" s="2" t="s">
        <v>12565</v>
      </c>
      <c r="J5029" s="3" t="str">
        <f>HYPERLINK("https://www.boe.es/gazeta/dias/1815/02/14/pdfs/GMD-1815-19.pdf#page=6","Abrir facsímil")</f>
        <v>Abrir facsímil</v>
      </c>
      <c r="K5029" s="3" t="s">
        <v>74</v>
      </c>
    </row>
    <row r="5030" spans="1:11" ht="42" customHeight="1">
      <c r="A5030" s="2" t="s">
        <v>12566</v>
      </c>
      <c r="B5030" s="2" t="s">
        <v>12567</v>
      </c>
      <c r="C5030" s="2" t="s">
        <v>31</v>
      </c>
      <c r="D5030" s="2" t="s">
        <v>32</v>
      </c>
      <c r="E5030" s="5">
        <v>-30977</v>
      </c>
      <c r="F5030" s="3" t="s">
        <v>37</v>
      </c>
      <c r="G5030" s="3" t="s">
        <v>38</v>
      </c>
      <c r="H5030" s="2" t="s">
        <v>72</v>
      </c>
      <c r="I5030" s="2" t="s">
        <v>12568</v>
      </c>
      <c r="J5030" s="3" t="str">
        <f>HYPERLINK("https://www.boe.es/gazeta/dias/1815/03/09/pdfs/GMD-1815-29.pdf#page=8","Abrir facsímil")</f>
        <v>Abrir facsímil</v>
      </c>
      <c r="K5030" s="3" t="s">
        <v>74</v>
      </c>
    </row>
    <row r="5031" spans="1:11" ht="42" customHeight="1">
      <c r="A5031" s="2" t="s">
        <v>12569</v>
      </c>
      <c r="B5031" s="2" t="s">
        <v>12570</v>
      </c>
      <c r="C5031" s="2" t="s">
        <v>31</v>
      </c>
      <c r="D5031" s="2" t="s">
        <v>32</v>
      </c>
      <c r="E5031" s="5">
        <v>-30860</v>
      </c>
      <c r="F5031" s="3" t="s">
        <v>184</v>
      </c>
      <c r="G5031" s="3" t="s">
        <v>20</v>
      </c>
      <c r="H5031" s="2" t="s">
        <v>72</v>
      </c>
      <c r="I5031" s="2" t="s">
        <v>12571</v>
      </c>
      <c r="J5031" s="3" t="str">
        <f>HYPERLINK("https://www.boe.es/gazeta/dias/1815/07/04/pdfs/GMD-1815-81.pdf#page=4","Abrir facsímil")</f>
        <v>Abrir facsímil</v>
      </c>
      <c r="K5031" s="3" t="s">
        <v>74</v>
      </c>
    </row>
    <row r="5032" spans="1:11" ht="42" customHeight="1">
      <c r="A5032" s="2" t="s">
        <v>12572</v>
      </c>
      <c r="B5032" s="2" t="s">
        <v>12573</v>
      </c>
      <c r="C5032" s="2" t="s">
        <v>31</v>
      </c>
      <c r="D5032" s="2" t="s">
        <v>32</v>
      </c>
      <c r="E5032" s="5">
        <v>-30968</v>
      </c>
      <c r="F5032" s="3" t="s">
        <v>2695</v>
      </c>
      <c r="G5032" s="3" t="s">
        <v>2814</v>
      </c>
      <c r="H5032" s="2" t="s">
        <v>72</v>
      </c>
      <c r="I5032" s="2" t="s">
        <v>12574</v>
      </c>
      <c r="J5032" s="3" t="str">
        <f>HYPERLINK("https://www.boe.es/gazeta/dias/1815/03/18/pdfs/GMD-1815-33.pdf#page=10","Abrir facsímil")</f>
        <v>Abrir facsímil</v>
      </c>
      <c r="K5032" s="3" t="s">
        <v>74</v>
      </c>
    </row>
    <row r="5033" spans="1:11" ht="42" customHeight="1">
      <c r="A5033" s="2" t="s">
        <v>12575</v>
      </c>
      <c r="B5033" s="2" t="s">
        <v>12576</v>
      </c>
      <c r="C5033" s="2" t="s">
        <v>17</v>
      </c>
      <c r="D5033" s="2" t="s">
        <v>18</v>
      </c>
      <c r="E5033" s="5">
        <v>-30949</v>
      </c>
      <c r="F5033" s="3" t="s">
        <v>420</v>
      </c>
      <c r="G5033" s="3" t="s">
        <v>27</v>
      </c>
      <c r="H5033" s="2" t="s">
        <v>72</v>
      </c>
      <c r="I5033" s="2" t="s">
        <v>12577</v>
      </c>
      <c r="J5033" s="3" t="str">
        <f>HYPERLINK("https://www.boe.es/gazeta/dias/1815/04/06/pdfs/GMD-1815-42.pdf#page=6","Abrir facsímil")</f>
        <v>Abrir facsímil</v>
      </c>
      <c r="K5033" s="3" t="s">
        <v>74</v>
      </c>
    </row>
    <row r="5034" spans="1:11" ht="42" customHeight="1">
      <c r="A5034" s="2" t="s">
        <v>12578</v>
      </c>
      <c r="B5034" s="2" t="s">
        <v>12579</v>
      </c>
      <c r="C5034" s="2" t="s">
        <v>61</v>
      </c>
      <c r="D5034" s="2" t="s">
        <v>50</v>
      </c>
      <c r="E5034" s="5">
        <v>-31012</v>
      </c>
      <c r="F5034" s="3" t="s">
        <v>529</v>
      </c>
      <c r="G5034" s="3" t="s">
        <v>530</v>
      </c>
      <c r="H5034" s="2" t="s">
        <v>72</v>
      </c>
      <c r="I5034" s="2" t="s">
        <v>12580</v>
      </c>
      <c r="J5034" s="3" t="str">
        <f>HYPERLINK("https://www.boe.es/gazeta/dias/1815/02/02/pdfs/GMD-1815-14.pdf#page=6","Abrir facsímil")</f>
        <v>Abrir facsímil</v>
      </c>
      <c r="K5034" s="3" t="s">
        <v>74</v>
      </c>
    </row>
    <row r="5035" spans="1:11" ht="42" customHeight="1">
      <c r="A5035" s="2" t="s">
        <v>12581</v>
      </c>
      <c r="B5035" s="2" t="s">
        <v>12582</v>
      </c>
      <c r="C5035" s="2" t="s">
        <v>49</v>
      </c>
      <c r="D5035" s="2" t="s">
        <v>50</v>
      </c>
      <c r="E5035" s="5">
        <v>-30690</v>
      </c>
      <c r="F5035" s="3" t="s">
        <v>1449</v>
      </c>
      <c r="G5035" s="3" t="s">
        <v>71</v>
      </c>
      <c r="H5035" s="2" t="s">
        <v>72</v>
      </c>
      <c r="I5035" s="2" t="s">
        <v>12583</v>
      </c>
      <c r="J5035" s="3" t="str">
        <f>HYPERLINK("https://www.boe.es/gazeta/dias/1815/12/21/pdfs/GMD-1815-158.pdf#page=7","Abrir facsímil")</f>
        <v>Abrir facsímil</v>
      </c>
      <c r="K5035" s="3" t="s">
        <v>74</v>
      </c>
    </row>
    <row r="5036" spans="1:11" ht="42" customHeight="1">
      <c r="A5036" s="2" t="s">
        <v>12584</v>
      </c>
      <c r="B5036" s="2" t="s">
        <v>12585</v>
      </c>
      <c r="C5036" s="2" t="s">
        <v>131</v>
      </c>
      <c r="D5036" s="2" t="s">
        <v>50</v>
      </c>
      <c r="E5036" s="5">
        <v>-31000</v>
      </c>
      <c r="F5036" s="3" t="s">
        <v>70</v>
      </c>
      <c r="G5036" s="3" t="s">
        <v>38</v>
      </c>
      <c r="H5036" s="2" t="s">
        <v>72</v>
      </c>
      <c r="I5036" s="2" t="s">
        <v>12586</v>
      </c>
      <c r="J5036" s="3" t="str">
        <f>HYPERLINK("https://www.boe.es/gazeta/dias/1815/02/14/pdfs/GMD-1815-19.pdf#page=8","Abrir facsímil")</f>
        <v>Abrir facsímil</v>
      </c>
      <c r="K5036" s="3" t="s">
        <v>74</v>
      </c>
    </row>
    <row r="5037" spans="1:11" ht="42" customHeight="1">
      <c r="A5037" s="2" t="s">
        <v>12587</v>
      </c>
      <c r="B5037" s="2" t="s">
        <v>12588</v>
      </c>
      <c r="C5037" s="2" t="s">
        <v>31</v>
      </c>
      <c r="D5037" s="2" t="s">
        <v>32</v>
      </c>
      <c r="E5037" s="5">
        <v>-30958</v>
      </c>
      <c r="F5037" s="3" t="s">
        <v>297</v>
      </c>
      <c r="G5037" s="3" t="s">
        <v>71</v>
      </c>
      <c r="H5037" s="2" t="s">
        <v>72</v>
      </c>
      <c r="I5037" s="2" t="s">
        <v>12589</v>
      </c>
      <c r="J5037" s="3" t="str">
        <f>HYPERLINK("https://www.boe.es/gazeta/dias/1815/03/28/pdfs/GMD-1815-37.pdf#page=7","Abrir facsímil")</f>
        <v>Abrir facsímil</v>
      </c>
      <c r="K5037" s="3" t="s">
        <v>74</v>
      </c>
    </row>
    <row r="5038" spans="1:11" ht="42" customHeight="1">
      <c r="A5038" s="2" t="s">
        <v>12590</v>
      </c>
      <c r="B5038" s="2" t="s">
        <v>12591</v>
      </c>
      <c r="C5038" s="2" t="s">
        <v>31</v>
      </c>
      <c r="D5038" s="2" t="s">
        <v>32</v>
      </c>
      <c r="E5038" s="5">
        <v>-30979</v>
      </c>
      <c r="F5038" s="3" t="s">
        <v>56</v>
      </c>
      <c r="G5038" s="3" t="s">
        <v>57</v>
      </c>
      <c r="H5038" s="2" t="s">
        <v>72</v>
      </c>
      <c r="I5038" s="2" t="s">
        <v>12592</v>
      </c>
      <c r="J5038" s="3" t="str">
        <f>HYPERLINK("https://www.boe.es/gazeta/dias/1815/03/07/pdfs/GMD-1815-28.pdf#page=5","Abrir facsímil")</f>
        <v>Abrir facsímil</v>
      </c>
      <c r="K5038" s="3" t="s">
        <v>74</v>
      </c>
    </row>
    <row r="5039" spans="1:11" ht="42" customHeight="1">
      <c r="A5039" s="2" t="s">
        <v>12593</v>
      </c>
      <c r="B5039" s="2" t="s">
        <v>12594</v>
      </c>
      <c r="C5039" s="2" t="s">
        <v>49</v>
      </c>
      <c r="D5039" s="2" t="s">
        <v>50</v>
      </c>
      <c r="E5039" s="5">
        <v>-30886</v>
      </c>
      <c r="F5039" s="3" t="s">
        <v>140</v>
      </c>
      <c r="G5039" s="3" t="s">
        <v>224</v>
      </c>
      <c r="H5039" s="2" t="s">
        <v>72</v>
      </c>
      <c r="I5039" s="2" t="s">
        <v>12595</v>
      </c>
      <c r="J5039" s="3" t="str">
        <f>HYPERLINK("https://www.boe.es/gazeta/dias/1815/06/08/pdfs/GMD-1815-69.pdf#page=9","Abrir facsímil")</f>
        <v>Abrir facsímil</v>
      </c>
      <c r="K5039" s="3" t="s">
        <v>74</v>
      </c>
    </row>
    <row r="5040" spans="1:11" ht="42" customHeight="1">
      <c r="A5040" s="2" t="s">
        <v>12596</v>
      </c>
      <c r="B5040" s="2" t="s">
        <v>12597</v>
      </c>
      <c r="C5040" s="2" t="s">
        <v>49</v>
      </c>
      <c r="D5040" s="2" t="s">
        <v>50</v>
      </c>
      <c r="E5040" s="5">
        <v>-30767</v>
      </c>
      <c r="F5040" s="3" t="s">
        <v>228</v>
      </c>
      <c r="G5040" s="3" t="s">
        <v>88</v>
      </c>
      <c r="H5040" s="2" t="s">
        <v>72</v>
      </c>
      <c r="I5040" s="2" t="s">
        <v>12598</v>
      </c>
      <c r="J5040" s="3" t="str">
        <f>HYPERLINK("https://www.boe.es/gazeta/dias/1815/10/05/pdfs/GMD-1815-125.pdf#page=10","Abrir facsímil")</f>
        <v>Abrir facsímil</v>
      </c>
      <c r="K5040" s="3" t="s">
        <v>74</v>
      </c>
    </row>
    <row r="5041" spans="1:11" ht="42" customHeight="1">
      <c r="A5041" s="2" t="s">
        <v>12599</v>
      </c>
      <c r="B5041" s="2" t="s">
        <v>12600</v>
      </c>
      <c r="C5041" s="2" t="s">
        <v>897</v>
      </c>
      <c r="D5041" s="2" t="s">
        <v>50</v>
      </c>
      <c r="E5041" s="5">
        <v>-30886</v>
      </c>
      <c r="F5041" s="3" t="s">
        <v>140</v>
      </c>
      <c r="G5041" s="3" t="s">
        <v>276</v>
      </c>
      <c r="H5041" s="2" t="s">
        <v>72</v>
      </c>
      <c r="I5041" s="2" t="s">
        <v>12601</v>
      </c>
      <c r="J5041" s="3" t="str">
        <f>HYPERLINK("https://www.boe.es/gazeta/dias/1815/06/08/pdfs/GMD-1815-69.pdf#page=12","Abrir facsímil")</f>
        <v>Abrir facsímil</v>
      </c>
      <c r="K5041" s="3" t="s">
        <v>74</v>
      </c>
    </row>
    <row r="5042" spans="1:11" ht="42" customHeight="1">
      <c r="A5042" s="2" t="s">
        <v>12602</v>
      </c>
      <c r="B5042" s="2" t="s">
        <v>12603</v>
      </c>
      <c r="C5042" s="2" t="s">
        <v>31</v>
      </c>
      <c r="D5042" s="2" t="s">
        <v>32</v>
      </c>
      <c r="E5042" s="5">
        <v>-30863</v>
      </c>
      <c r="F5042" s="3" t="s">
        <v>110</v>
      </c>
      <c r="G5042" s="3" t="s">
        <v>88</v>
      </c>
      <c r="H5042" s="2" t="s">
        <v>72</v>
      </c>
      <c r="I5042" s="2" t="s">
        <v>12604</v>
      </c>
      <c r="J5042" s="3" t="str">
        <f>HYPERLINK("https://www.boe.es/gazeta/dias/1815/07/01/pdfs/GMD-1815-79.pdf#page=10","Abrir facsímil")</f>
        <v>Abrir facsímil</v>
      </c>
      <c r="K5042" s="3" t="s">
        <v>74</v>
      </c>
    </row>
    <row r="5043" spans="1:11" ht="42" customHeight="1">
      <c r="A5043" s="2" t="s">
        <v>12605</v>
      </c>
      <c r="B5043" s="2" t="s">
        <v>12606</v>
      </c>
      <c r="C5043" s="2" t="s">
        <v>49</v>
      </c>
      <c r="D5043" s="2" t="s">
        <v>50</v>
      </c>
      <c r="E5043" s="5">
        <v>-30977</v>
      </c>
      <c r="F5043" s="3" t="s">
        <v>37</v>
      </c>
      <c r="G5043" s="3" t="s">
        <v>71</v>
      </c>
      <c r="H5043" s="2" t="s">
        <v>72</v>
      </c>
      <c r="I5043" s="2" t="s">
        <v>12607</v>
      </c>
      <c r="J5043" s="3" t="str">
        <f>HYPERLINK("https://www.boe.es/gazeta/dias/1815/03/09/pdfs/GMD-1815-29.pdf#page=7","Abrir facsímil")</f>
        <v>Abrir facsímil</v>
      </c>
      <c r="K5043" s="3" t="s">
        <v>74</v>
      </c>
    </row>
    <row r="5044" spans="1:11" ht="42" customHeight="1">
      <c r="A5044" s="2" t="s">
        <v>12608</v>
      </c>
      <c r="B5044" s="2" t="s">
        <v>12609</v>
      </c>
      <c r="C5044" s="2" t="s">
        <v>49</v>
      </c>
      <c r="D5044" s="2" t="s">
        <v>50</v>
      </c>
      <c r="E5044" s="5">
        <v>-30893</v>
      </c>
      <c r="F5044" s="3" t="s">
        <v>132</v>
      </c>
      <c r="G5044" s="3" t="s">
        <v>38</v>
      </c>
      <c r="H5044" s="2" t="s">
        <v>72</v>
      </c>
      <c r="I5044" s="2" t="s">
        <v>12610</v>
      </c>
      <c r="J5044" s="3" t="str">
        <f>HYPERLINK("https://www.boe.es/gazeta/dias/1815/06/01/pdfs/GMD-1815-66.pdf#page=8","Abrir facsímil")</f>
        <v>Abrir facsímil</v>
      </c>
      <c r="K5044" s="3" t="s">
        <v>74</v>
      </c>
    </row>
    <row r="5045" spans="1:11" ht="42" customHeight="1">
      <c r="A5045" s="2" t="s">
        <v>12611</v>
      </c>
      <c r="B5045" s="2" t="s">
        <v>12612</v>
      </c>
      <c r="C5045" s="2" t="s">
        <v>131</v>
      </c>
      <c r="D5045" s="2" t="s">
        <v>50</v>
      </c>
      <c r="E5045" s="5">
        <v>-30853</v>
      </c>
      <c r="F5045" s="3" t="s">
        <v>1473</v>
      </c>
      <c r="G5045" s="3" t="s">
        <v>38</v>
      </c>
      <c r="H5045" s="2" t="s">
        <v>72</v>
      </c>
      <c r="I5045" s="2" t="s">
        <v>12613</v>
      </c>
      <c r="J5045" s="3" t="str">
        <f>HYPERLINK("https://www.boe.es/gazeta/dias/1815/07/11/pdfs/GMD-1815-85.pdf#page=8","Abrir facsímil")</f>
        <v>Abrir facsímil</v>
      </c>
      <c r="K5045" s="3" t="s">
        <v>74</v>
      </c>
    </row>
    <row r="5046" spans="1:11" ht="42" customHeight="1">
      <c r="A5046" s="2" t="s">
        <v>12614</v>
      </c>
      <c r="B5046" s="2" t="s">
        <v>12615</v>
      </c>
      <c r="C5046" s="2" t="s">
        <v>49</v>
      </c>
      <c r="D5046" s="2" t="s">
        <v>50</v>
      </c>
      <c r="E5046" s="5">
        <v>-30865</v>
      </c>
      <c r="F5046" s="3" t="s">
        <v>163</v>
      </c>
      <c r="G5046" s="3" t="s">
        <v>71</v>
      </c>
      <c r="H5046" s="2" t="s">
        <v>72</v>
      </c>
      <c r="I5046" s="2" t="s">
        <v>12616</v>
      </c>
      <c r="J5046" s="3" t="str">
        <f>HYPERLINK("https://www.boe.es/gazeta/dias/1815/06/29/pdfs/GMD-1815-78.pdf#page=7","Abrir facsímil")</f>
        <v>Abrir facsímil</v>
      </c>
      <c r="K5046" s="3" t="s">
        <v>74</v>
      </c>
    </row>
    <row r="5047" spans="1:11" ht="42" customHeight="1">
      <c r="A5047" s="2" t="s">
        <v>12617</v>
      </c>
      <c r="B5047" s="2" t="s">
        <v>12618</v>
      </c>
      <c r="C5047" s="2" t="s">
        <v>31</v>
      </c>
      <c r="D5047" s="2" t="s">
        <v>32</v>
      </c>
      <c r="E5047" s="5">
        <v>-30767</v>
      </c>
      <c r="F5047" s="3" t="s">
        <v>228</v>
      </c>
      <c r="G5047" s="3" t="s">
        <v>224</v>
      </c>
      <c r="H5047" s="2" t="s">
        <v>72</v>
      </c>
      <c r="I5047" s="2" t="s">
        <v>12619</v>
      </c>
      <c r="J5047" s="3" t="str">
        <f>HYPERLINK("https://www.boe.es/gazeta/dias/1815/10/05/pdfs/GMD-1815-125.pdf#page=9","Abrir facsímil")</f>
        <v>Abrir facsímil</v>
      </c>
      <c r="K5047" s="3" t="s">
        <v>74</v>
      </c>
    </row>
    <row r="5048" spans="1:11" ht="42" customHeight="1">
      <c r="A5048" s="2" t="s">
        <v>12620</v>
      </c>
      <c r="B5048" s="2" t="s">
        <v>12621</v>
      </c>
      <c r="C5048" s="2" t="s">
        <v>49</v>
      </c>
      <c r="D5048" s="2" t="s">
        <v>50</v>
      </c>
      <c r="E5048" s="5">
        <v>-30730</v>
      </c>
      <c r="F5048" s="3" t="s">
        <v>953</v>
      </c>
      <c r="G5048" s="3" t="s">
        <v>38</v>
      </c>
      <c r="H5048" s="2" t="s">
        <v>72</v>
      </c>
      <c r="I5048" s="2" t="s">
        <v>12622</v>
      </c>
      <c r="J5048" s="3" t="str">
        <f>HYPERLINK("https://www.boe.es/gazeta/dias/1815/11/11/pdfs/GMD-1815-141.pdf#page=8","Abrir facsímil")</f>
        <v>Abrir facsímil</v>
      </c>
      <c r="K5048" s="3" t="s">
        <v>74</v>
      </c>
    </row>
    <row r="5049" spans="1:11" ht="42" customHeight="1">
      <c r="A5049" s="2" t="s">
        <v>12623</v>
      </c>
      <c r="B5049" s="2" t="s">
        <v>12624</v>
      </c>
      <c r="C5049" s="2" t="s">
        <v>195</v>
      </c>
      <c r="D5049" s="2" t="s">
        <v>50</v>
      </c>
      <c r="E5049" s="5">
        <v>-31000</v>
      </c>
      <c r="F5049" s="3" t="s">
        <v>70</v>
      </c>
      <c r="G5049" s="3" t="s">
        <v>847</v>
      </c>
      <c r="H5049" s="2" t="s">
        <v>72</v>
      </c>
      <c r="I5049" s="2" t="s">
        <v>12625</v>
      </c>
      <c r="J5049" s="3" t="str">
        <f>HYPERLINK("https://www.boe.es/gazeta/dias/1815/02/14/pdfs/GMD-1815-19.pdf#page=6","Abrir facsímil")</f>
        <v>Abrir facsímil</v>
      </c>
      <c r="K5049" s="3" t="s">
        <v>74</v>
      </c>
    </row>
    <row r="5050" spans="1:11" ht="42" customHeight="1">
      <c r="A5050" s="2" t="s">
        <v>12626</v>
      </c>
      <c r="B5050" s="2" t="s">
        <v>12627</v>
      </c>
      <c r="C5050" s="2" t="s">
        <v>31</v>
      </c>
      <c r="D5050" s="2" t="s">
        <v>32</v>
      </c>
      <c r="E5050" s="5">
        <v>-30923</v>
      </c>
      <c r="F5050" s="3" t="s">
        <v>524</v>
      </c>
      <c r="G5050" s="3" t="s">
        <v>1289</v>
      </c>
      <c r="H5050" s="2" t="s">
        <v>72</v>
      </c>
      <c r="I5050" s="2" t="s">
        <v>12628</v>
      </c>
      <c r="J5050" s="3" t="str">
        <f>HYPERLINK("https://www.boe.es/gazeta/dias/1815/05/02/pdfs/GMD-1815-53.pdf#page=11","Abrir facsímil")</f>
        <v>Abrir facsímil</v>
      </c>
      <c r="K5050" s="3" t="s">
        <v>74</v>
      </c>
    </row>
    <row r="5051" spans="1:11" ht="42" customHeight="1">
      <c r="A5051" s="2" t="s">
        <v>12629</v>
      </c>
      <c r="B5051" s="2" t="s">
        <v>12629</v>
      </c>
      <c r="C5051" s="2" t="s">
        <v>49</v>
      </c>
      <c r="D5051" s="2" t="s">
        <v>50</v>
      </c>
      <c r="E5051" s="5">
        <v>-30725</v>
      </c>
      <c r="F5051" s="3" t="s">
        <v>1535</v>
      </c>
      <c r="G5051" s="3" t="s">
        <v>7182</v>
      </c>
      <c r="H5051" s="2" t="s">
        <v>72</v>
      </c>
      <c r="I5051" s="2" t="s">
        <v>12630</v>
      </c>
      <c r="J5051" s="3" t="str">
        <f>HYPERLINK("https://www.boe.es/gazeta/dias/1815/11/16/pdfs/GMD-1815-143.pdf#page=6","Abrir facsímil")</f>
        <v>Abrir facsímil</v>
      </c>
      <c r="K5051" s="3" t="s">
        <v>74</v>
      </c>
    </row>
    <row r="5052" spans="1:11" ht="42" customHeight="1">
      <c r="A5052" s="2" t="s">
        <v>12629</v>
      </c>
      <c r="B5052" s="2" t="s">
        <v>12629</v>
      </c>
      <c r="C5052" s="2" t="s">
        <v>31</v>
      </c>
      <c r="D5052" s="2" t="s">
        <v>32</v>
      </c>
      <c r="E5052" s="5">
        <v>-30681</v>
      </c>
      <c r="F5052" s="3" t="s">
        <v>2093</v>
      </c>
      <c r="G5052" s="3" t="s">
        <v>27</v>
      </c>
      <c r="H5052" s="2" t="s">
        <v>72</v>
      </c>
      <c r="I5052" s="2" t="s">
        <v>12631</v>
      </c>
      <c r="J5052" s="3" t="str">
        <f>HYPERLINK("https://www.boe.es/gazeta/dias/1815/12/30/pdfs/GMD-1815-162.pdf#page=6","Abrir facsímil")</f>
        <v>Abrir facsímil</v>
      </c>
      <c r="K5052" s="3" t="s">
        <v>74</v>
      </c>
    </row>
    <row r="5053" spans="1:11" ht="42" customHeight="1">
      <c r="A5053" s="2" t="s">
        <v>12632</v>
      </c>
      <c r="B5053" s="2" t="s">
        <v>12632</v>
      </c>
      <c r="C5053" s="2" t="s">
        <v>31</v>
      </c>
      <c r="D5053" s="2" t="s">
        <v>32</v>
      </c>
      <c r="E5053" s="5">
        <v>-30821</v>
      </c>
      <c r="F5053" s="3" t="s">
        <v>915</v>
      </c>
      <c r="G5053" s="3" t="s">
        <v>97</v>
      </c>
      <c r="H5053" s="2" t="s">
        <v>72</v>
      </c>
      <c r="I5053" s="2" t="s">
        <v>12633</v>
      </c>
      <c r="J5053" s="3" t="str">
        <f>HYPERLINK("https://www.boe.es/gazeta/dias/1815/08/12/pdfs/GMD-1815-99.pdf#page=3","Abrir facsímil")</f>
        <v>Abrir facsímil</v>
      </c>
      <c r="K5053" s="3" t="s">
        <v>74</v>
      </c>
    </row>
    <row r="5054" spans="1:11" ht="42" customHeight="1">
      <c r="A5054" s="2" t="s">
        <v>12634</v>
      </c>
      <c r="B5054" s="2" t="s">
        <v>12635</v>
      </c>
      <c r="C5054" s="2" t="s">
        <v>17</v>
      </c>
      <c r="D5054" s="2" t="s">
        <v>18</v>
      </c>
      <c r="E5054" s="5">
        <v>-30886</v>
      </c>
      <c r="F5054" s="3" t="s">
        <v>140</v>
      </c>
      <c r="G5054" s="3" t="s">
        <v>224</v>
      </c>
      <c r="H5054" s="2" t="s">
        <v>72</v>
      </c>
      <c r="I5054" s="2" t="s">
        <v>12636</v>
      </c>
      <c r="J5054" s="3" t="str">
        <f>HYPERLINK("https://www.boe.es/gazeta/dias/1815/06/08/pdfs/GMD-1815-69.pdf#page=9","Abrir facsímil")</f>
        <v>Abrir facsímil</v>
      </c>
      <c r="K5054" s="3" t="s">
        <v>74</v>
      </c>
    </row>
    <row r="5055" spans="1:11" ht="42" customHeight="1">
      <c r="A5055" s="2" t="s">
        <v>12637</v>
      </c>
      <c r="B5055" s="2" t="s">
        <v>12638</v>
      </c>
      <c r="C5055" s="2" t="s">
        <v>49</v>
      </c>
      <c r="D5055" s="2" t="s">
        <v>50</v>
      </c>
      <c r="E5055" s="5">
        <v>-30865</v>
      </c>
      <c r="F5055" s="3" t="s">
        <v>163</v>
      </c>
      <c r="G5055" s="3" t="s">
        <v>71</v>
      </c>
      <c r="H5055" s="2" t="s">
        <v>72</v>
      </c>
      <c r="I5055" s="2" t="s">
        <v>12639</v>
      </c>
      <c r="J5055" s="3" t="str">
        <f>HYPERLINK("https://www.boe.es/gazeta/dias/1815/06/29/pdfs/GMD-1815-78.pdf#page=7","Abrir facsímil")</f>
        <v>Abrir facsímil</v>
      </c>
      <c r="K5055" s="3" t="s">
        <v>74</v>
      </c>
    </row>
    <row r="5056" spans="1:11" ht="42" customHeight="1">
      <c r="A5056" s="2" t="s">
        <v>12640</v>
      </c>
      <c r="B5056" s="2" t="s">
        <v>12640</v>
      </c>
      <c r="C5056" s="2" t="s">
        <v>31</v>
      </c>
      <c r="D5056" s="2" t="s">
        <v>32</v>
      </c>
      <c r="E5056" s="5">
        <v>-30732</v>
      </c>
      <c r="F5056" s="3" t="s">
        <v>554</v>
      </c>
      <c r="G5056" s="3" t="s">
        <v>377</v>
      </c>
      <c r="H5056" s="2" t="s">
        <v>72</v>
      </c>
      <c r="I5056" s="2" t="s">
        <v>12641</v>
      </c>
      <c r="J5056" s="3" t="str">
        <f>HYPERLINK("https://www.boe.es/gazeta/dias/1815/11/09/pdfs/GMD-1815-140.pdf#page=2","Abrir facsímil")</f>
        <v>Abrir facsímil</v>
      </c>
      <c r="K5056" s="3" t="s">
        <v>74</v>
      </c>
    </row>
    <row r="5057" spans="1:11" ht="42" customHeight="1">
      <c r="A5057" s="2" t="s">
        <v>12642</v>
      </c>
      <c r="B5057" s="2" t="s">
        <v>12643</v>
      </c>
      <c r="C5057" s="2" t="s">
        <v>49</v>
      </c>
      <c r="D5057" s="2" t="s">
        <v>50</v>
      </c>
      <c r="E5057" s="5">
        <v>-30886</v>
      </c>
      <c r="F5057" s="3" t="s">
        <v>140</v>
      </c>
      <c r="G5057" s="3" t="s">
        <v>224</v>
      </c>
      <c r="H5057" s="2" t="s">
        <v>72</v>
      </c>
      <c r="I5057" s="2" t="s">
        <v>12644</v>
      </c>
      <c r="J5057" s="3" t="str">
        <f>HYPERLINK("https://www.boe.es/gazeta/dias/1815/06/08/pdfs/GMD-1815-69.pdf#page=9","Abrir facsímil")</f>
        <v>Abrir facsímil</v>
      </c>
      <c r="K5057" s="3" t="s">
        <v>74</v>
      </c>
    </row>
    <row r="5058" spans="1:11" ht="42" customHeight="1">
      <c r="A5058" s="2" t="s">
        <v>12645</v>
      </c>
      <c r="B5058" s="2" t="s">
        <v>12646</v>
      </c>
      <c r="C5058" s="2" t="s">
        <v>31</v>
      </c>
      <c r="D5058" s="2" t="s">
        <v>32</v>
      </c>
      <c r="E5058" s="5">
        <v>-30870</v>
      </c>
      <c r="F5058" s="3" t="s">
        <v>122</v>
      </c>
      <c r="G5058" s="3" t="s">
        <v>52</v>
      </c>
      <c r="H5058" s="2" t="s">
        <v>72</v>
      </c>
      <c r="I5058" s="2" t="s">
        <v>12647</v>
      </c>
      <c r="J5058" s="3" t="str">
        <f>HYPERLINK("https://www.boe.es/gazeta/dias/1815/06/24/pdfs/GMD-1815-76.pdf#page=11","Abrir facsímil")</f>
        <v>Abrir facsímil</v>
      </c>
      <c r="K5058" s="3" t="s">
        <v>74</v>
      </c>
    </row>
    <row r="5059" spans="1:11" ht="42" customHeight="1">
      <c r="A5059" s="2" t="s">
        <v>12648</v>
      </c>
      <c r="B5059" s="2" t="s">
        <v>12649</v>
      </c>
      <c r="C5059" s="2" t="s">
        <v>195</v>
      </c>
      <c r="D5059" s="2" t="s">
        <v>50</v>
      </c>
      <c r="E5059" s="5">
        <v>-31024</v>
      </c>
      <c r="F5059" s="3" t="s">
        <v>101</v>
      </c>
      <c r="G5059" s="3" t="s">
        <v>258</v>
      </c>
      <c r="H5059" s="2" t="s">
        <v>72</v>
      </c>
      <c r="I5059" s="2" t="s">
        <v>12650</v>
      </c>
      <c r="J5059" s="3" t="str">
        <f>HYPERLINK("https://www.boe.es/gazeta/dias/1815/01/21/pdfs/GMD-1815-9.pdf#page=6","Abrir facsímil")</f>
        <v>Abrir facsímil</v>
      </c>
      <c r="K5059" s="3" t="s">
        <v>74</v>
      </c>
    </row>
    <row r="5060" spans="1:11" ht="42" customHeight="1">
      <c r="A5060" s="2" t="s">
        <v>12651</v>
      </c>
      <c r="B5060" s="2" t="s">
        <v>12652</v>
      </c>
      <c r="C5060" s="2" t="s">
        <v>61</v>
      </c>
      <c r="D5060" s="2" t="s">
        <v>50</v>
      </c>
      <c r="E5060" s="5">
        <v>-30702</v>
      </c>
      <c r="F5060" s="3" t="s">
        <v>196</v>
      </c>
      <c r="G5060" s="3" t="s">
        <v>27</v>
      </c>
      <c r="H5060" s="2" t="s">
        <v>72</v>
      </c>
      <c r="I5060" s="2" t="s">
        <v>12653</v>
      </c>
      <c r="J5060" s="3" t="str">
        <f>HYPERLINK("https://www.boe.es/gazeta/dias/1815/12/09/pdfs/GMD-1815-153.pdf#page=6","Abrir facsímil")</f>
        <v>Abrir facsímil</v>
      </c>
      <c r="K5060" s="3" t="s">
        <v>74</v>
      </c>
    </row>
    <row r="5061" spans="1:11" ht="42" customHeight="1">
      <c r="A5061" s="2" t="s">
        <v>12654</v>
      </c>
      <c r="B5061" s="2" t="s">
        <v>12655</v>
      </c>
      <c r="C5061" s="2" t="s">
        <v>49</v>
      </c>
      <c r="D5061" s="2" t="s">
        <v>50</v>
      </c>
      <c r="E5061" s="5">
        <v>-30772</v>
      </c>
      <c r="F5061" s="3" t="s">
        <v>216</v>
      </c>
      <c r="G5061" s="3" t="s">
        <v>990</v>
      </c>
      <c r="H5061" s="2" t="s">
        <v>72</v>
      </c>
      <c r="I5061" s="2" t="s">
        <v>12656</v>
      </c>
      <c r="J5061" s="3" t="str">
        <f>HYPERLINK("https://www.boe.es/gazeta/dias/1815/09/30/pdfs/GMD-1815-123.pdf#page=8","Abrir facsímil")</f>
        <v>Abrir facsímil</v>
      </c>
      <c r="K5061" s="3" t="s">
        <v>74</v>
      </c>
    </row>
    <row r="5062" spans="1:11" ht="42" customHeight="1">
      <c r="A5062" s="2" t="s">
        <v>12657</v>
      </c>
      <c r="B5062" s="2" t="s">
        <v>12658</v>
      </c>
      <c r="C5062" s="2" t="s">
        <v>49</v>
      </c>
      <c r="D5062" s="2" t="s">
        <v>50</v>
      </c>
      <c r="E5062" s="5">
        <v>-30891</v>
      </c>
      <c r="F5062" s="3" t="s">
        <v>498</v>
      </c>
      <c r="G5062" s="3" t="s">
        <v>20</v>
      </c>
      <c r="H5062" s="2" t="s">
        <v>72</v>
      </c>
      <c r="I5062" s="2" t="s">
        <v>12659</v>
      </c>
      <c r="J5062" s="3" t="str">
        <f>HYPERLINK("https://www.boe.es/gazeta/dias/1815/06/03/pdfs/GMD-1815-67.pdf#page=4","Abrir facsímil")</f>
        <v>Abrir facsímil</v>
      </c>
      <c r="K5062" s="3" t="s">
        <v>74</v>
      </c>
    </row>
    <row r="5063" spans="1:11" ht="42" customHeight="1">
      <c r="A5063" s="2" t="s">
        <v>12660</v>
      </c>
      <c r="B5063" s="2" t="s">
        <v>12661</v>
      </c>
      <c r="C5063" s="2" t="s">
        <v>195</v>
      </c>
      <c r="D5063" s="2" t="s">
        <v>50</v>
      </c>
      <c r="E5063" s="5">
        <v>-30793</v>
      </c>
      <c r="F5063" s="3" t="s">
        <v>1704</v>
      </c>
      <c r="G5063" s="3" t="s">
        <v>38</v>
      </c>
      <c r="H5063" s="2" t="s">
        <v>21</v>
      </c>
      <c r="I5063" s="2" t="s">
        <v>12662</v>
      </c>
      <c r="J5063" s="3" t="str">
        <f>HYPERLINK("https://www.boe.es/gazeta/dias/1815/09/09/pdfs/GMD-1815-112.pdf#page=8","Abrir facsímil")</f>
        <v>Abrir facsímil</v>
      </c>
      <c r="K5063" s="3" t="s">
        <v>23</v>
      </c>
    </row>
    <row r="5064" spans="1:11" ht="42" customHeight="1">
      <c r="A5064" s="2" t="s">
        <v>12663</v>
      </c>
      <c r="B5064" s="2" t="s">
        <v>12663</v>
      </c>
      <c r="C5064" s="2" t="s">
        <v>49</v>
      </c>
      <c r="D5064" s="2" t="s">
        <v>50</v>
      </c>
      <c r="E5064" s="5">
        <v>-30858</v>
      </c>
      <c r="F5064" s="3" t="s">
        <v>1928</v>
      </c>
      <c r="G5064" s="3" t="s">
        <v>410</v>
      </c>
      <c r="H5064" s="2" t="s">
        <v>72</v>
      </c>
      <c r="I5064" s="2" t="s">
        <v>12664</v>
      </c>
      <c r="J5064" s="3" t="str">
        <f>HYPERLINK("https://www.boe.es/gazeta/dias/1815/07/06/pdfs/GMD-1815-83.pdf#page=1","Abrir facsímil")</f>
        <v>Abrir facsímil</v>
      </c>
      <c r="K5064" s="3" t="s">
        <v>74</v>
      </c>
    </row>
    <row r="5065" spans="1:11" ht="42" customHeight="1">
      <c r="A5065" s="2" t="s">
        <v>12665</v>
      </c>
      <c r="B5065" s="2" t="s">
        <v>12665</v>
      </c>
      <c r="C5065" s="2" t="s">
        <v>61</v>
      </c>
      <c r="D5065" s="2" t="s">
        <v>50</v>
      </c>
      <c r="E5065" s="5">
        <v>-30965</v>
      </c>
      <c r="F5065" s="3" t="s">
        <v>1679</v>
      </c>
      <c r="G5065" s="3" t="s">
        <v>97</v>
      </c>
      <c r="H5065" s="2" t="s">
        <v>72</v>
      </c>
      <c r="I5065" s="2" t="s">
        <v>12666</v>
      </c>
      <c r="J5065" s="3" t="str">
        <f>HYPERLINK("https://www.boe.es/gazeta/dias/1815/03/21/pdfs/GMD-1815-34.pdf#page=3","Abrir facsímil")</f>
        <v>Abrir facsímil</v>
      </c>
      <c r="K5065" s="3" t="s">
        <v>74</v>
      </c>
    </row>
    <row r="5066" spans="1:11" ht="42" customHeight="1">
      <c r="A5066" s="2" t="s">
        <v>12667</v>
      </c>
      <c r="B5066" s="2" t="s">
        <v>12667</v>
      </c>
      <c r="C5066" s="2" t="s">
        <v>31</v>
      </c>
      <c r="D5066" s="2" t="s">
        <v>32</v>
      </c>
      <c r="E5066" s="5">
        <v>-30893</v>
      </c>
      <c r="F5066" s="3" t="s">
        <v>132</v>
      </c>
      <c r="G5066" s="3" t="s">
        <v>410</v>
      </c>
      <c r="H5066" s="2" t="s">
        <v>72</v>
      </c>
      <c r="I5066" s="2" t="s">
        <v>12668</v>
      </c>
      <c r="J5066" s="3" t="str">
        <f>HYPERLINK("https://www.boe.es/gazeta/dias/1815/06/01/pdfs/GMD-1815-66.pdf#page=1","Abrir facsímil")</f>
        <v>Abrir facsímil</v>
      </c>
      <c r="K5066" s="3" t="s">
        <v>74</v>
      </c>
    </row>
    <row r="5067" spans="1:11" ht="42" customHeight="1">
      <c r="A5067" s="2" t="s">
        <v>12669</v>
      </c>
      <c r="B5067" s="2" t="s">
        <v>12669</v>
      </c>
      <c r="C5067" s="2" t="s">
        <v>61</v>
      </c>
      <c r="D5067" s="2" t="s">
        <v>50</v>
      </c>
      <c r="E5067" s="5">
        <v>-30807</v>
      </c>
      <c r="F5067" s="3" t="s">
        <v>586</v>
      </c>
      <c r="G5067" s="3" t="s">
        <v>377</v>
      </c>
      <c r="H5067" s="2" t="s">
        <v>72</v>
      </c>
      <c r="I5067" s="2" t="s">
        <v>12670</v>
      </c>
      <c r="J5067" s="3" t="str">
        <f>HYPERLINK("https://www.boe.es/gazeta/dias/1815/08/26/pdfs/GMD-1815-105.pdf#page=2","Abrir facsímil")</f>
        <v>Abrir facsímil</v>
      </c>
      <c r="K5067" s="3" t="s">
        <v>74</v>
      </c>
    </row>
    <row r="5068" spans="1:11" ht="42" customHeight="1">
      <c r="A5068" s="2" t="s">
        <v>12671</v>
      </c>
      <c r="B5068" s="2" t="s">
        <v>12671</v>
      </c>
      <c r="C5068" s="2" t="s">
        <v>31</v>
      </c>
      <c r="D5068" s="2" t="s">
        <v>32</v>
      </c>
      <c r="E5068" s="5">
        <v>-30982</v>
      </c>
      <c r="F5068" s="3" t="s">
        <v>220</v>
      </c>
      <c r="G5068" s="3" t="s">
        <v>377</v>
      </c>
      <c r="H5068" s="2" t="s">
        <v>72</v>
      </c>
      <c r="I5068" s="2" t="s">
        <v>12672</v>
      </c>
      <c r="J5068" s="3" t="str">
        <f>HYPERLINK("https://www.boe.es/gazeta/dias/1815/03/04/pdfs/GMD-1815-27.pdf#page=2","Abrir facsímil")</f>
        <v>Abrir facsímil</v>
      </c>
      <c r="K5068" s="3" t="s">
        <v>74</v>
      </c>
    </row>
    <row r="5069" spans="1:11" ht="42" customHeight="1">
      <c r="A5069" s="2" t="s">
        <v>12671</v>
      </c>
      <c r="B5069" s="2" t="s">
        <v>12671</v>
      </c>
      <c r="C5069" s="2" t="s">
        <v>31</v>
      </c>
      <c r="D5069" s="2" t="s">
        <v>32</v>
      </c>
      <c r="E5069" s="5">
        <v>-30823</v>
      </c>
      <c r="F5069" s="3" t="s">
        <v>305</v>
      </c>
      <c r="G5069" s="3" t="s">
        <v>410</v>
      </c>
      <c r="H5069" s="2" t="s">
        <v>72</v>
      </c>
      <c r="I5069" s="2" t="s">
        <v>12673</v>
      </c>
      <c r="J5069" s="3" t="str">
        <f>HYPERLINK("https://www.boe.es/gazeta/dias/1815/08/10/pdfs/GMD-1815-98.pdf#page=1","Abrir facsímil")</f>
        <v>Abrir facsímil</v>
      </c>
      <c r="K5069" s="3" t="s">
        <v>74</v>
      </c>
    </row>
    <row r="5070" spans="1:11" ht="42" customHeight="1">
      <c r="A5070" s="2" t="s">
        <v>12671</v>
      </c>
      <c r="B5070" s="2" t="s">
        <v>12671</v>
      </c>
      <c r="C5070" s="2" t="s">
        <v>31</v>
      </c>
      <c r="D5070" s="2" t="s">
        <v>32</v>
      </c>
      <c r="E5070" s="5">
        <v>-30823</v>
      </c>
      <c r="F5070" s="3" t="s">
        <v>305</v>
      </c>
      <c r="G5070" s="3" t="s">
        <v>57</v>
      </c>
      <c r="H5070" s="2" t="s">
        <v>72</v>
      </c>
      <c r="I5070" s="2" t="s">
        <v>12674</v>
      </c>
      <c r="J5070" s="3" t="str">
        <f>HYPERLINK("https://www.boe.es/gazeta/dias/1815/08/10/pdfs/GMD-1815-98.pdf#page=5","Abrir facsímil")</f>
        <v>Abrir facsímil</v>
      </c>
      <c r="K5070" s="3" t="s">
        <v>74</v>
      </c>
    </row>
    <row r="5071" spans="1:11" ht="42" customHeight="1">
      <c r="A5071" s="2" t="s">
        <v>12671</v>
      </c>
      <c r="B5071" s="2" t="s">
        <v>12671</v>
      </c>
      <c r="C5071" s="2" t="s">
        <v>31</v>
      </c>
      <c r="D5071" s="2" t="s">
        <v>32</v>
      </c>
      <c r="E5071" s="5">
        <v>-30744</v>
      </c>
      <c r="F5071" s="3" t="s">
        <v>391</v>
      </c>
      <c r="G5071" s="3" t="s">
        <v>377</v>
      </c>
      <c r="H5071" s="2" t="s">
        <v>72</v>
      </c>
      <c r="I5071" s="2" t="s">
        <v>12675</v>
      </c>
      <c r="J5071" s="3" t="str">
        <f>HYPERLINK("https://www.boe.es/gazeta/dias/1815/10/28/pdfs/GMD-1815-135.pdf#page=2","Abrir facsímil")</f>
        <v>Abrir facsímil</v>
      </c>
      <c r="K5071" s="3" t="s">
        <v>74</v>
      </c>
    </row>
    <row r="5072" spans="1:11" ht="42" customHeight="1">
      <c r="A5072" s="2" t="s">
        <v>12676</v>
      </c>
      <c r="B5072" s="2" t="s">
        <v>12676</v>
      </c>
      <c r="C5072" s="2" t="s">
        <v>31</v>
      </c>
      <c r="D5072" s="2" t="s">
        <v>32</v>
      </c>
      <c r="E5072" s="5">
        <v>-30839</v>
      </c>
      <c r="F5072" s="3" t="s">
        <v>616</v>
      </c>
      <c r="G5072" s="3" t="s">
        <v>20</v>
      </c>
      <c r="H5072" s="2" t="s">
        <v>72</v>
      </c>
      <c r="I5072" s="2" t="s">
        <v>12677</v>
      </c>
      <c r="J5072" s="3" t="str">
        <f>HYPERLINK("https://www.boe.es/gazeta/dias/1815/07/25/pdfs/GMD-1815-91.pdf#page=4","Abrir facsímil")</f>
        <v>Abrir facsímil</v>
      </c>
      <c r="K5072" s="3" t="s">
        <v>74</v>
      </c>
    </row>
    <row r="5073" spans="1:11" ht="42" customHeight="1">
      <c r="A5073" s="2" t="s">
        <v>12678</v>
      </c>
      <c r="B5073" s="2" t="s">
        <v>12678</v>
      </c>
      <c r="C5073" s="2" t="s">
        <v>31</v>
      </c>
      <c r="D5073" s="2" t="s">
        <v>32</v>
      </c>
      <c r="E5073" s="5">
        <v>-30933</v>
      </c>
      <c r="F5073" s="3" t="s">
        <v>725</v>
      </c>
      <c r="G5073" s="3" t="s">
        <v>377</v>
      </c>
      <c r="H5073" s="2" t="s">
        <v>72</v>
      </c>
      <c r="I5073" s="2" t="s">
        <v>12679</v>
      </c>
      <c r="J5073" s="3" t="str">
        <f>HYPERLINK("https://www.boe.es/gazeta/dias/1815/04/22/pdfs/GMD-1815-49.pdf#page=2","Abrir facsímil")</f>
        <v>Abrir facsímil</v>
      </c>
      <c r="K5073" s="3" t="s">
        <v>74</v>
      </c>
    </row>
    <row r="5074" spans="1:11" ht="42" customHeight="1">
      <c r="A5074" s="2" t="s">
        <v>12680</v>
      </c>
      <c r="B5074" s="2" t="s">
        <v>12681</v>
      </c>
      <c r="C5074" s="2" t="s">
        <v>31</v>
      </c>
      <c r="D5074" s="2" t="s">
        <v>32</v>
      </c>
      <c r="E5074" s="5">
        <v>-30716</v>
      </c>
      <c r="F5074" s="3" t="s">
        <v>589</v>
      </c>
      <c r="G5074" s="3" t="s">
        <v>27</v>
      </c>
      <c r="H5074" s="2" t="s">
        <v>72</v>
      </c>
      <c r="I5074" s="2" t="s">
        <v>12682</v>
      </c>
      <c r="J5074" s="3" t="str">
        <f>HYPERLINK("https://www.boe.es/gazeta/dias/1815/11/25/pdfs/GMD-1815-147.pdf#page=6","Abrir facsímil")</f>
        <v>Abrir facsímil</v>
      </c>
      <c r="K5074" s="3" t="s">
        <v>74</v>
      </c>
    </row>
    <row r="5075" spans="1:11" ht="42" customHeight="1">
      <c r="A5075" s="2" t="s">
        <v>12683</v>
      </c>
      <c r="B5075" s="2" t="s">
        <v>12684</v>
      </c>
      <c r="C5075" s="2" t="s">
        <v>49</v>
      </c>
      <c r="D5075" s="2" t="s">
        <v>50</v>
      </c>
      <c r="E5075" s="5">
        <v>-30781</v>
      </c>
      <c r="F5075" s="3" t="s">
        <v>685</v>
      </c>
      <c r="G5075" s="3" t="s">
        <v>27</v>
      </c>
      <c r="H5075" s="2" t="s">
        <v>72</v>
      </c>
      <c r="I5075" s="2" t="s">
        <v>12685</v>
      </c>
      <c r="J5075" s="3" t="str">
        <f>HYPERLINK("https://www.boe.es/gazeta/dias/1815/09/21/pdfs/GMD-1815-117.pdf#page=6","Abrir facsímil")</f>
        <v>Abrir facsímil</v>
      </c>
      <c r="K5075" s="3" t="s">
        <v>74</v>
      </c>
    </row>
    <row r="5076" spans="1:11" ht="42" customHeight="1">
      <c r="A5076" s="2" t="s">
        <v>12686</v>
      </c>
      <c r="B5076" s="2" t="s">
        <v>12687</v>
      </c>
      <c r="C5076" s="2" t="s">
        <v>17</v>
      </c>
      <c r="D5076" s="2" t="s">
        <v>18</v>
      </c>
      <c r="E5076" s="5">
        <v>-30991</v>
      </c>
      <c r="F5076" s="3" t="s">
        <v>318</v>
      </c>
      <c r="G5076" s="3" t="s">
        <v>319</v>
      </c>
      <c r="H5076" s="2" t="s">
        <v>72</v>
      </c>
      <c r="I5076" s="2" t="s">
        <v>12688</v>
      </c>
      <c r="J5076" s="3" t="str">
        <f>HYPERLINK("https://www.boe.es/gazeta/dias/1815/02/23/pdfs/GMD-1815-23.pdf#page=6","Abrir facsímil")</f>
        <v>Abrir facsímil</v>
      </c>
      <c r="K5076" s="3" t="s">
        <v>74</v>
      </c>
    </row>
    <row r="5077" spans="1:11" ht="42" customHeight="1">
      <c r="A5077" s="2" t="s">
        <v>12689</v>
      </c>
      <c r="B5077" s="2" t="s">
        <v>12690</v>
      </c>
      <c r="C5077" s="2" t="s">
        <v>49</v>
      </c>
      <c r="D5077" s="2" t="s">
        <v>50</v>
      </c>
      <c r="E5077" s="5">
        <v>-30916</v>
      </c>
      <c r="F5077" s="3" t="s">
        <v>147</v>
      </c>
      <c r="G5077" s="3" t="s">
        <v>38</v>
      </c>
      <c r="H5077" s="2" t="s">
        <v>72</v>
      </c>
      <c r="I5077" s="2" t="s">
        <v>12691</v>
      </c>
      <c r="J5077" s="3" t="str">
        <f>HYPERLINK("https://www.boe.es/gazeta/dias/1815/05/09/pdfs/GMD-1815-56.pdf#page=8","Abrir facsímil")</f>
        <v>Abrir facsímil</v>
      </c>
      <c r="K5077" s="3" t="s">
        <v>74</v>
      </c>
    </row>
    <row r="5078" spans="1:11" ht="42" customHeight="1">
      <c r="A5078" s="2" t="s">
        <v>12692</v>
      </c>
      <c r="B5078" s="2" t="s">
        <v>12693</v>
      </c>
      <c r="C5078" s="2" t="s">
        <v>195</v>
      </c>
      <c r="D5078" s="2" t="s">
        <v>50</v>
      </c>
      <c r="E5078" s="5">
        <v>-30888</v>
      </c>
      <c r="F5078" s="3" t="s">
        <v>368</v>
      </c>
      <c r="G5078" s="3" t="s">
        <v>224</v>
      </c>
      <c r="H5078" s="2" t="s">
        <v>72</v>
      </c>
      <c r="I5078" s="2" t="s">
        <v>12694</v>
      </c>
      <c r="J5078" s="3" t="str">
        <f>HYPERLINK("https://www.boe.es/gazeta/dias/1815/06/06/pdfs/GMD-1815-68.pdf#page=9","Abrir facsímil")</f>
        <v>Abrir facsímil</v>
      </c>
      <c r="K5078" s="3" t="s">
        <v>74</v>
      </c>
    </row>
    <row r="5079" spans="1:11" ht="42" customHeight="1">
      <c r="A5079" s="2" t="s">
        <v>12695</v>
      </c>
      <c r="B5079" s="2" t="s">
        <v>12696</v>
      </c>
      <c r="C5079" s="2" t="s">
        <v>17</v>
      </c>
      <c r="D5079" s="2" t="s">
        <v>18</v>
      </c>
      <c r="E5079" s="5">
        <v>-31040</v>
      </c>
      <c r="F5079" s="3" t="s">
        <v>326</v>
      </c>
      <c r="G5079" s="3" t="s">
        <v>71</v>
      </c>
      <c r="H5079" s="2" t="s">
        <v>72</v>
      </c>
      <c r="I5079" s="2" t="s">
        <v>12697</v>
      </c>
      <c r="J5079" s="3" t="str">
        <f>HYPERLINK("https://www.boe.es/gazeta/dias/1815/01/05/pdfs/GMD-1815-2.pdf#page=7","Abrir facsímil")</f>
        <v>Abrir facsímil</v>
      </c>
      <c r="K5079" s="3" t="s">
        <v>74</v>
      </c>
    </row>
    <row r="5080" spans="1:11" ht="42" customHeight="1">
      <c r="A5080" s="2" t="s">
        <v>12698</v>
      </c>
      <c r="B5080" s="2" t="s">
        <v>12698</v>
      </c>
      <c r="C5080" s="2" t="s">
        <v>31</v>
      </c>
      <c r="D5080" s="2" t="s">
        <v>32</v>
      </c>
      <c r="E5080" s="5">
        <v>-30958</v>
      </c>
      <c r="F5080" s="3" t="s">
        <v>297</v>
      </c>
      <c r="G5080" s="3" t="s">
        <v>38</v>
      </c>
      <c r="H5080" s="2" t="s">
        <v>72</v>
      </c>
      <c r="I5080" s="2" t="s">
        <v>12699</v>
      </c>
      <c r="J5080" s="3" t="str">
        <f>HYPERLINK("https://www.boe.es/gazeta/dias/1815/03/28/pdfs/GMD-1815-37.pdf#page=8","Abrir facsímil")</f>
        <v>Abrir facsímil</v>
      </c>
      <c r="K5080" s="3" t="s">
        <v>74</v>
      </c>
    </row>
    <row r="5081" spans="1:11" ht="42" customHeight="1">
      <c r="A5081" s="2" t="s">
        <v>12698</v>
      </c>
      <c r="B5081" s="2" t="s">
        <v>12698</v>
      </c>
      <c r="C5081" s="2" t="s">
        <v>31</v>
      </c>
      <c r="D5081" s="2" t="s">
        <v>32</v>
      </c>
      <c r="E5081" s="5">
        <v>-30937</v>
      </c>
      <c r="F5081" s="3" t="s">
        <v>322</v>
      </c>
      <c r="G5081" s="3" t="s">
        <v>377</v>
      </c>
      <c r="H5081" s="2" t="s">
        <v>72</v>
      </c>
      <c r="I5081" s="2" t="s">
        <v>12700</v>
      </c>
      <c r="J5081" s="3" t="str">
        <f>HYPERLINK("https://www.boe.es/gazeta/dias/1815/04/18/pdfs/GMD-1815-47.pdf#page=2","Abrir facsímil")</f>
        <v>Abrir facsímil</v>
      </c>
      <c r="K5081" s="3" t="s">
        <v>74</v>
      </c>
    </row>
    <row r="5082" spans="1:11" ht="42" customHeight="1">
      <c r="A5082" s="2" t="s">
        <v>12698</v>
      </c>
      <c r="B5082" s="2" t="s">
        <v>12698</v>
      </c>
      <c r="C5082" s="2" t="s">
        <v>31</v>
      </c>
      <c r="D5082" s="2" t="s">
        <v>32</v>
      </c>
      <c r="E5082" s="5">
        <v>-30916</v>
      </c>
      <c r="F5082" s="3" t="s">
        <v>147</v>
      </c>
      <c r="G5082" s="3" t="s">
        <v>20</v>
      </c>
      <c r="H5082" s="2" t="s">
        <v>72</v>
      </c>
      <c r="I5082" s="2" t="s">
        <v>12701</v>
      </c>
      <c r="J5082" s="3" t="str">
        <f>HYPERLINK("https://www.boe.es/gazeta/dias/1815/05/09/pdfs/GMD-1815-56.pdf#page=4","Abrir facsímil")</f>
        <v>Abrir facsímil</v>
      </c>
      <c r="K5082" s="3" t="s">
        <v>74</v>
      </c>
    </row>
    <row r="5083" spans="1:11" ht="42" customHeight="1">
      <c r="A5083" s="2" t="s">
        <v>12698</v>
      </c>
      <c r="B5083" s="2" t="s">
        <v>12698</v>
      </c>
      <c r="C5083" s="2" t="s">
        <v>49</v>
      </c>
      <c r="D5083" s="2" t="s">
        <v>50</v>
      </c>
      <c r="E5083" s="5">
        <v>-30835</v>
      </c>
      <c r="F5083" s="3" t="s">
        <v>544</v>
      </c>
      <c r="G5083" s="3" t="s">
        <v>377</v>
      </c>
      <c r="H5083" s="2" t="s">
        <v>72</v>
      </c>
      <c r="I5083" s="2" t="s">
        <v>12702</v>
      </c>
      <c r="J5083" s="3" t="str">
        <f>HYPERLINK("https://www.boe.es/gazeta/dias/1815/07/29/pdfs/GMD-1815-93.pdf#page=2","Abrir facsímil")</f>
        <v>Abrir facsímil</v>
      </c>
      <c r="K5083" s="3" t="s">
        <v>74</v>
      </c>
    </row>
    <row r="5084" spans="1:11" ht="42" customHeight="1">
      <c r="A5084" s="2" t="s">
        <v>12698</v>
      </c>
      <c r="B5084" s="2" t="s">
        <v>12698</v>
      </c>
      <c r="C5084" s="2" t="s">
        <v>31</v>
      </c>
      <c r="D5084" s="2" t="s">
        <v>32</v>
      </c>
      <c r="E5084" s="5">
        <v>-30835</v>
      </c>
      <c r="F5084" s="3" t="s">
        <v>544</v>
      </c>
      <c r="G5084" s="3" t="s">
        <v>57</v>
      </c>
      <c r="H5084" s="2" t="s">
        <v>72</v>
      </c>
      <c r="I5084" s="2" t="s">
        <v>12703</v>
      </c>
      <c r="J5084" s="3" t="str">
        <f>HYPERLINK("https://www.boe.es/gazeta/dias/1815/07/29/pdfs/GMD-1815-93.pdf#page=5","Abrir facsímil")</f>
        <v>Abrir facsímil</v>
      </c>
      <c r="K5084" s="3" t="s">
        <v>74</v>
      </c>
    </row>
    <row r="5085" spans="1:11" ht="42" customHeight="1">
      <c r="A5085" s="2" t="s">
        <v>12698</v>
      </c>
      <c r="B5085" s="2" t="s">
        <v>12698</v>
      </c>
      <c r="C5085" s="2" t="s">
        <v>31</v>
      </c>
      <c r="D5085" s="2" t="s">
        <v>32</v>
      </c>
      <c r="E5085" s="5">
        <v>-30823</v>
      </c>
      <c r="F5085" s="3" t="s">
        <v>305</v>
      </c>
      <c r="G5085" s="3" t="s">
        <v>97</v>
      </c>
      <c r="H5085" s="2" t="s">
        <v>72</v>
      </c>
      <c r="I5085" s="2" t="s">
        <v>12704</v>
      </c>
      <c r="J5085" s="3" t="str">
        <f>HYPERLINK("https://www.boe.es/gazeta/dias/1815/08/10/pdfs/GMD-1815-98.pdf#page=3","Abrir facsímil")</f>
        <v>Abrir facsímil</v>
      </c>
      <c r="K5085" s="3" t="s">
        <v>74</v>
      </c>
    </row>
    <row r="5086" spans="1:11" ht="42" customHeight="1">
      <c r="A5086" s="2" t="s">
        <v>12698</v>
      </c>
      <c r="B5086" s="2" t="s">
        <v>12698</v>
      </c>
      <c r="C5086" s="2" t="s">
        <v>49</v>
      </c>
      <c r="D5086" s="2" t="s">
        <v>50</v>
      </c>
      <c r="E5086" s="5">
        <v>-30821</v>
      </c>
      <c r="F5086" s="3" t="s">
        <v>915</v>
      </c>
      <c r="G5086" s="3" t="s">
        <v>1304</v>
      </c>
      <c r="H5086" s="2" t="s">
        <v>72</v>
      </c>
      <c r="I5086" s="2" t="s">
        <v>12705</v>
      </c>
      <c r="J5086" s="3" t="str">
        <f>HYPERLINK("https://www.boe.es/gazeta/dias/1815/08/12/pdfs/GMD-1815-99.pdf#page=4","Abrir facsímil")</f>
        <v>Abrir facsímil</v>
      </c>
      <c r="K5086" s="3" t="s">
        <v>74</v>
      </c>
    </row>
    <row r="5087" spans="1:11" ht="42" customHeight="1">
      <c r="A5087" s="2" t="s">
        <v>12698</v>
      </c>
      <c r="B5087" s="2" t="s">
        <v>12698</v>
      </c>
      <c r="C5087" s="2" t="s">
        <v>31</v>
      </c>
      <c r="D5087" s="2" t="s">
        <v>32</v>
      </c>
      <c r="E5087" s="5">
        <v>-30793</v>
      </c>
      <c r="F5087" s="3" t="s">
        <v>1704</v>
      </c>
      <c r="G5087" s="3" t="s">
        <v>20</v>
      </c>
      <c r="H5087" s="2" t="s">
        <v>72</v>
      </c>
      <c r="I5087" s="2" t="s">
        <v>12706</v>
      </c>
      <c r="J5087" s="3" t="str">
        <f>HYPERLINK("https://www.boe.es/gazeta/dias/1815/09/09/pdfs/GMD-1815-112.pdf#page=4","Abrir facsímil")</f>
        <v>Abrir facsímil</v>
      </c>
      <c r="K5087" s="3" t="s">
        <v>74</v>
      </c>
    </row>
    <row r="5088" spans="1:11" ht="42" customHeight="1">
      <c r="A5088" s="2" t="s">
        <v>12707</v>
      </c>
      <c r="B5088" s="2" t="s">
        <v>12707</v>
      </c>
      <c r="C5088" s="2" t="s">
        <v>31</v>
      </c>
      <c r="D5088" s="2" t="s">
        <v>32</v>
      </c>
      <c r="E5088" s="5">
        <v>-30821</v>
      </c>
      <c r="F5088" s="3" t="s">
        <v>915</v>
      </c>
      <c r="G5088" s="3" t="s">
        <v>97</v>
      </c>
      <c r="H5088" s="2" t="s">
        <v>72</v>
      </c>
      <c r="I5088" s="2" t="s">
        <v>12708</v>
      </c>
      <c r="J5088" s="3" t="str">
        <f>HYPERLINK("https://www.boe.es/gazeta/dias/1815/08/12/pdfs/GMD-1815-99.pdf#page=3","Abrir facsímil")</f>
        <v>Abrir facsímil</v>
      </c>
      <c r="K5088" s="3" t="s">
        <v>74</v>
      </c>
    </row>
    <row r="5089" spans="1:11" ht="42" customHeight="1">
      <c r="A5089" s="2" t="s">
        <v>12709</v>
      </c>
      <c r="B5089" s="2" t="s">
        <v>12710</v>
      </c>
      <c r="C5089" s="2" t="s">
        <v>195</v>
      </c>
      <c r="D5089" s="2" t="s">
        <v>50</v>
      </c>
      <c r="E5089" s="5">
        <v>-31024</v>
      </c>
      <c r="F5089" s="3" t="s">
        <v>101</v>
      </c>
      <c r="G5089" s="3" t="s">
        <v>71</v>
      </c>
      <c r="H5089" s="2" t="s">
        <v>72</v>
      </c>
      <c r="I5089" s="2" t="s">
        <v>12711</v>
      </c>
      <c r="J5089" s="3" t="str">
        <f>HYPERLINK("https://www.boe.es/gazeta/dias/1815/01/21/pdfs/GMD-1815-9.pdf#page=7","Abrir facsímil")</f>
        <v>Abrir facsímil</v>
      </c>
      <c r="K5089" s="3" t="s">
        <v>74</v>
      </c>
    </row>
    <row r="5090" spans="1:11" ht="42" customHeight="1">
      <c r="A5090" s="2" t="s">
        <v>12712</v>
      </c>
      <c r="B5090" s="2" t="s">
        <v>12712</v>
      </c>
      <c r="C5090" s="2" t="s">
        <v>31</v>
      </c>
      <c r="D5090" s="2" t="s">
        <v>32</v>
      </c>
      <c r="E5090" s="5">
        <v>-30870</v>
      </c>
      <c r="F5090" s="3" t="s">
        <v>122</v>
      </c>
      <c r="G5090" s="3" t="s">
        <v>410</v>
      </c>
      <c r="H5090" s="2" t="s">
        <v>72</v>
      </c>
      <c r="I5090" s="2" t="s">
        <v>12713</v>
      </c>
      <c r="J5090" s="3" t="str">
        <f>HYPERLINK("https://www.boe.es/gazeta/dias/1815/06/24/pdfs/GMD-1815-76.pdf#page=1","Abrir facsímil")</f>
        <v>Abrir facsímil</v>
      </c>
      <c r="K5090" s="3" t="s">
        <v>74</v>
      </c>
    </row>
    <row r="5091" spans="1:11" ht="42" customHeight="1">
      <c r="A5091" s="2" t="s">
        <v>12714</v>
      </c>
      <c r="B5091" s="2" t="s">
        <v>12715</v>
      </c>
      <c r="C5091" s="2" t="s">
        <v>61</v>
      </c>
      <c r="D5091" s="2" t="s">
        <v>50</v>
      </c>
      <c r="E5091" s="5">
        <v>-30802</v>
      </c>
      <c r="F5091" s="3" t="s">
        <v>1393</v>
      </c>
      <c r="G5091" s="3" t="s">
        <v>38</v>
      </c>
      <c r="H5091" s="2" t="s">
        <v>21</v>
      </c>
      <c r="I5091" s="2" t="s">
        <v>12716</v>
      </c>
      <c r="J5091" s="3" t="str">
        <f>HYPERLINK("https://www.boe.es/gazeta/dias/1815/08/31/pdfs/GMD-1815-107.pdf#page=8","Abrir facsímil")</f>
        <v>Abrir facsímil</v>
      </c>
      <c r="K5091" s="3" t="s">
        <v>23</v>
      </c>
    </row>
    <row r="5092" spans="1:11" ht="42" customHeight="1">
      <c r="A5092" s="2" t="s">
        <v>12717</v>
      </c>
      <c r="B5092" s="2" t="s">
        <v>12717</v>
      </c>
      <c r="C5092" s="2" t="s">
        <v>31</v>
      </c>
      <c r="D5092" s="2" t="s">
        <v>32</v>
      </c>
      <c r="E5092" s="5">
        <v>-30879</v>
      </c>
      <c r="F5092" s="3" t="s">
        <v>754</v>
      </c>
      <c r="G5092" s="3" t="s">
        <v>410</v>
      </c>
      <c r="H5092" s="2" t="s">
        <v>72</v>
      </c>
      <c r="I5092" s="2" t="s">
        <v>12718</v>
      </c>
      <c r="J5092" s="3" t="str">
        <f>HYPERLINK("https://www.boe.es/gazeta/dias/1815/06/15/pdfs/GMD-1815-72.pdf#page=1","Abrir facsímil")</f>
        <v>Abrir facsímil</v>
      </c>
      <c r="K5092" s="3" t="s">
        <v>74</v>
      </c>
    </row>
    <row r="5093" spans="1:11" ht="42" customHeight="1">
      <c r="A5093" s="2" t="s">
        <v>12719</v>
      </c>
      <c r="B5093" s="2" t="s">
        <v>12720</v>
      </c>
      <c r="C5093" s="2" t="s">
        <v>31</v>
      </c>
      <c r="D5093" s="2" t="s">
        <v>32</v>
      </c>
      <c r="E5093" s="5">
        <v>-30725</v>
      </c>
      <c r="F5093" s="3" t="s">
        <v>1535</v>
      </c>
      <c r="G5093" s="3" t="s">
        <v>20</v>
      </c>
      <c r="H5093" s="2" t="s">
        <v>72</v>
      </c>
      <c r="I5093" s="2" t="s">
        <v>12721</v>
      </c>
      <c r="J5093" s="3" t="str">
        <f>HYPERLINK("https://www.boe.es/gazeta/dias/1815/11/16/pdfs/GMD-1815-143.pdf#page=4","Abrir facsímil")</f>
        <v>Abrir facsímil</v>
      </c>
      <c r="K5093" s="3" t="s">
        <v>74</v>
      </c>
    </row>
    <row r="5094" spans="1:11" ht="42" customHeight="1">
      <c r="A5094" s="2" t="s">
        <v>12722</v>
      </c>
      <c r="B5094" s="2" t="s">
        <v>12722</v>
      </c>
      <c r="C5094" s="2" t="s">
        <v>31</v>
      </c>
      <c r="D5094" s="2" t="s">
        <v>32</v>
      </c>
      <c r="E5094" s="5">
        <v>-30867</v>
      </c>
      <c r="F5094" s="3" t="s">
        <v>3179</v>
      </c>
      <c r="G5094" s="3" t="s">
        <v>377</v>
      </c>
      <c r="H5094" s="2" t="s">
        <v>72</v>
      </c>
      <c r="I5094" s="2" t="s">
        <v>12723</v>
      </c>
      <c r="J5094" s="3" t="str">
        <f>HYPERLINK("https://www.boe.es/gazeta/dias/1815/06/27/pdfs/GMD-1815-77.pdf#page=2","Abrir facsímil")</f>
        <v>Abrir facsímil</v>
      </c>
      <c r="K5094" s="3" t="s">
        <v>74</v>
      </c>
    </row>
    <row r="5095" spans="1:11" ht="42" customHeight="1">
      <c r="A5095" s="2" t="s">
        <v>12724</v>
      </c>
      <c r="B5095" s="2" t="s">
        <v>12725</v>
      </c>
      <c r="C5095" s="2" t="s">
        <v>195</v>
      </c>
      <c r="D5095" s="2" t="s">
        <v>50</v>
      </c>
      <c r="E5095" s="5">
        <v>-30867</v>
      </c>
      <c r="F5095" s="3" t="s">
        <v>3179</v>
      </c>
      <c r="G5095" s="3" t="s">
        <v>8268</v>
      </c>
      <c r="H5095" s="2" t="s">
        <v>72</v>
      </c>
      <c r="I5095" s="2" t="s">
        <v>12726</v>
      </c>
      <c r="J5095" s="3" t="str">
        <f>HYPERLINK("https://www.boe.es/gazeta/dias/1815/06/27/pdfs/GMD-1815-77.pdf#page=7","Abrir facsímil")</f>
        <v>Abrir facsímil</v>
      </c>
      <c r="K5095" s="3" t="s">
        <v>74</v>
      </c>
    </row>
    <row r="5096" spans="1:11" ht="42" customHeight="1">
      <c r="A5096" s="2" t="s">
        <v>12727</v>
      </c>
      <c r="B5096" s="2" t="s">
        <v>12728</v>
      </c>
      <c r="C5096" s="2" t="s">
        <v>61</v>
      </c>
      <c r="D5096" s="2" t="s">
        <v>50</v>
      </c>
      <c r="E5096" s="5">
        <v>-30986</v>
      </c>
      <c r="F5096" s="3" t="s">
        <v>46</v>
      </c>
      <c r="G5096" s="3" t="s">
        <v>276</v>
      </c>
      <c r="H5096" s="2" t="s">
        <v>21</v>
      </c>
      <c r="I5096" s="2" t="s">
        <v>12729</v>
      </c>
      <c r="J5096" s="3" t="str">
        <f>HYPERLINK("https://www.boe.es/gazeta/dias/1815/02/28/pdfs/GMD-1815-25.pdf#page=12","Abrir facsímil")</f>
        <v>Abrir facsímil</v>
      </c>
      <c r="K5096" s="3" t="s">
        <v>23</v>
      </c>
    </row>
    <row r="5097" spans="1:11" ht="42" customHeight="1">
      <c r="A5097" s="2" t="s">
        <v>12730</v>
      </c>
      <c r="B5097" s="2" t="s">
        <v>12731</v>
      </c>
      <c r="C5097" s="2" t="s">
        <v>17</v>
      </c>
      <c r="D5097" s="2" t="s">
        <v>18</v>
      </c>
      <c r="E5097" s="5">
        <v>-31031</v>
      </c>
      <c r="F5097" s="3" t="s">
        <v>105</v>
      </c>
      <c r="G5097" s="3" t="s">
        <v>27</v>
      </c>
      <c r="H5097" s="2" t="s">
        <v>72</v>
      </c>
      <c r="I5097" s="2" t="s">
        <v>12732</v>
      </c>
      <c r="J5097" s="3" t="str">
        <f>HYPERLINK("https://www.boe.es/gazeta/dias/1815/01/14/pdfs/GMD-1815-6.pdf#page=6","Abrir facsímil")</f>
        <v>Abrir facsímil</v>
      </c>
      <c r="K5097" s="3" t="s">
        <v>74</v>
      </c>
    </row>
    <row r="5098" spans="1:11" ht="42" customHeight="1">
      <c r="A5098" s="2" t="s">
        <v>12733</v>
      </c>
      <c r="B5098" s="2" t="s">
        <v>12734</v>
      </c>
      <c r="C5098" s="2" t="s">
        <v>17</v>
      </c>
      <c r="D5098" s="2" t="s">
        <v>18</v>
      </c>
      <c r="E5098" s="5">
        <v>-30835</v>
      </c>
      <c r="F5098" s="3" t="s">
        <v>544</v>
      </c>
      <c r="G5098" s="3" t="s">
        <v>276</v>
      </c>
      <c r="H5098" s="2" t="s">
        <v>72</v>
      </c>
      <c r="I5098" s="2" t="s">
        <v>12735</v>
      </c>
      <c r="J5098" s="3" t="str">
        <f>HYPERLINK("https://www.boe.es/gazeta/dias/1815/07/29/pdfs/GMD-1815-93.pdf#page=12","Abrir facsímil")</f>
        <v>Abrir facsímil</v>
      </c>
      <c r="K5098" s="3" t="s">
        <v>74</v>
      </c>
    </row>
    <row r="5099" spans="1:11" ht="42" customHeight="1">
      <c r="A5099" s="2" t="s">
        <v>12736</v>
      </c>
      <c r="B5099" s="2" t="s">
        <v>12737</v>
      </c>
      <c r="C5099" s="2" t="s">
        <v>17</v>
      </c>
      <c r="D5099" s="2" t="s">
        <v>18</v>
      </c>
      <c r="E5099" s="5">
        <v>-30762</v>
      </c>
      <c r="F5099" s="3" t="s">
        <v>19</v>
      </c>
      <c r="G5099" s="3" t="s">
        <v>20</v>
      </c>
      <c r="H5099" s="2" t="s">
        <v>72</v>
      </c>
      <c r="I5099" s="2" t="s">
        <v>12738</v>
      </c>
      <c r="J5099" s="3" t="str">
        <f>HYPERLINK("https://www.boe.es/gazeta/dias/1815/10/10/pdfs/GMD-1815-127.pdf#page=4","Abrir facsímil")</f>
        <v>Abrir facsímil</v>
      </c>
      <c r="K5099" s="3" t="s">
        <v>74</v>
      </c>
    </row>
    <row r="5100" spans="1:11" ht="42" customHeight="1">
      <c r="A5100" s="2" t="s">
        <v>12739</v>
      </c>
      <c r="B5100" s="2" t="s">
        <v>12740</v>
      </c>
      <c r="C5100" s="2" t="s">
        <v>49</v>
      </c>
      <c r="D5100" s="2" t="s">
        <v>50</v>
      </c>
      <c r="E5100" s="5">
        <v>-30774</v>
      </c>
      <c r="F5100" s="3" t="s">
        <v>1143</v>
      </c>
      <c r="G5100" s="3" t="s">
        <v>20</v>
      </c>
      <c r="H5100" s="2" t="s">
        <v>21</v>
      </c>
      <c r="I5100" s="2" t="s">
        <v>12741</v>
      </c>
      <c r="J5100" s="3" t="str">
        <f>HYPERLINK("https://www.boe.es/gazeta/dias/1815/09/28/pdfs/GMD-1815-121.pdf#page=4","Abrir facsímil")</f>
        <v>Abrir facsímil</v>
      </c>
      <c r="K5100" s="3" t="s">
        <v>23</v>
      </c>
    </row>
    <row r="5101" spans="1:11" ht="42" customHeight="1">
      <c r="A5101" s="2" t="s">
        <v>12742</v>
      </c>
      <c r="B5101" s="2" t="s">
        <v>12743</v>
      </c>
      <c r="C5101" s="2" t="s">
        <v>31</v>
      </c>
      <c r="D5101" s="2" t="s">
        <v>32</v>
      </c>
      <c r="E5101" s="5">
        <v>-30905</v>
      </c>
      <c r="F5101" s="3" t="s">
        <v>901</v>
      </c>
      <c r="G5101" s="3" t="s">
        <v>71</v>
      </c>
      <c r="H5101" s="2" t="s">
        <v>72</v>
      </c>
      <c r="I5101" s="2" t="s">
        <v>12744</v>
      </c>
      <c r="J5101" s="3" t="str">
        <f>HYPERLINK("https://www.boe.es/gazeta/dias/1815/05/20/pdfs/GMD-1815-61.pdf#page=7","Abrir facsímil")</f>
        <v>Abrir facsímil</v>
      </c>
      <c r="K5101" s="3" t="s">
        <v>74</v>
      </c>
    </row>
    <row r="5102" spans="1:11" ht="42" customHeight="1">
      <c r="A5102" s="2" t="s">
        <v>12745</v>
      </c>
      <c r="B5102" s="2" t="s">
        <v>12746</v>
      </c>
      <c r="C5102" s="2" t="s">
        <v>49</v>
      </c>
      <c r="D5102" s="2" t="s">
        <v>50</v>
      </c>
      <c r="E5102" s="5">
        <v>-30839</v>
      </c>
      <c r="F5102" s="3" t="s">
        <v>616</v>
      </c>
      <c r="G5102" s="3" t="s">
        <v>71</v>
      </c>
      <c r="H5102" s="2" t="s">
        <v>72</v>
      </c>
      <c r="I5102" s="2" t="s">
        <v>12747</v>
      </c>
      <c r="J5102" s="3" t="str">
        <f>HYPERLINK("https://www.boe.es/gazeta/dias/1815/07/25/pdfs/GMD-1815-91.pdf#page=7","Abrir facsímil")</f>
        <v>Abrir facsímil</v>
      </c>
      <c r="K5102" s="3" t="s">
        <v>74</v>
      </c>
    </row>
    <row r="5103" spans="1:11" ht="42" customHeight="1">
      <c r="A5103" s="2" t="s">
        <v>12748</v>
      </c>
      <c r="B5103" s="2" t="s">
        <v>12749</v>
      </c>
      <c r="C5103" s="2" t="s">
        <v>17</v>
      </c>
      <c r="D5103" s="2" t="s">
        <v>18</v>
      </c>
      <c r="E5103" s="5">
        <v>-30713</v>
      </c>
      <c r="F5103" s="3" t="s">
        <v>895</v>
      </c>
      <c r="G5103" s="3" t="s">
        <v>71</v>
      </c>
      <c r="H5103" s="2" t="s">
        <v>72</v>
      </c>
      <c r="I5103" s="2" t="s">
        <v>12750</v>
      </c>
      <c r="J5103" s="3" t="str">
        <f>HYPERLINK("https://www.boe.es/gazeta/dias/1815/11/28/pdfs/GMD-1815-148.pdf#page=7","Abrir facsímil")</f>
        <v>Abrir facsímil</v>
      </c>
      <c r="K5103" s="3" t="s">
        <v>74</v>
      </c>
    </row>
    <row r="5104" spans="1:11" ht="42" customHeight="1">
      <c r="A5104" s="2" t="s">
        <v>12751</v>
      </c>
      <c r="B5104" s="2" t="s">
        <v>12752</v>
      </c>
      <c r="C5104" s="2" t="s">
        <v>49</v>
      </c>
      <c r="D5104" s="2" t="s">
        <v>50</v>
      </c>
      <c r="E5104" s="5">
        <v>-30781</v>
      </c>
      <c r="F5104" s="3" t="s">
        <v>685</v>
      </c>
      <c r="G5104" s="3" t="s">
        <v>71</v>
      </c>
      <c r="H5104" s="2" t="s">
        <v>72</v>
      </c>
      <c r="I5104" s="2" t="s">
        <v>12753</v>
      </c>
      <c r="J5104" s="3" t="str">
        <f>HYPERLINK("https://www.boe.es/gazeta/dias/1815/09/21/pdfs/GMD-1815-117.pdf#page=7","Abrir facsímil")</f>
        <v>Abrir facsímil</v>
      </c>
      <c r="K5104" s="3" t="s">
        <v>74</v>
      </c>
    </row>
    <row r="5105" spans="1:11" ht="42" customHeight="1">
      <c r="A5105" s="2" t="s">
        <v>12754</v>
      </c>
      <c r="B5105" s="2" t="s">
        <v>12755</v>
      </c>
      <c r="C5105" s="2" t="s">
        <v>31</v>
      </c>
      <c r="D5105" s="2" t="s">
        <v>32</v>
      </c>
      <c r="E5105" s="5">
        <v>-30916</v>
      </c>
      <c r="F5105" s="3" t="s">
        <v>147</v>
      </c>
      <c r="G5105" s="3" t="s">
        <v>148</v>
      </c>
      <c r="H5105" s="2" t="s">
        <v>72</v>
      </c>
      <c r="I5105" s="2" t="s">
        <v>12756</v>
      </c>
      <c r="J5105" s="3" t="str">
        <f>HYPERLINK("https://www.boe.es/gazeta/dias/1815/05/09/pdfs/GMD-1815-56.pdf#page=7","Abrir facsímil")</f>
        <v>Abrir facsímil</v>
      </c>
      <c r="K5105" s="3" t="s">
        <v>74</v>
      </c>
    </row>
    <row r="5106" spans="1:11" ht="42" customHeight="1">
      <c r="A5106" s="2" t="s">
        <v>12757</v>
      </c>
      <c r="B5106" s="2" t="s">
        <v>12758</v>
      </c>
      <c r="C5106" s="2" t="s">
        <v>49</v>
      </c>
      <c r="D5106" s="2" t="s">
        <v>50</v>
      </c>
      <c r="E5106" s="5">
        <v>-30886</v>
      </c>
      <c r="F5106" s="3" t="s">
        <v>140</v>
      </c>
      <c r="G5106" s="3" t="s">
        <v>224</v>
      </c>
      <c r="H5106" s="2" t="s">
        <v>72</v>
      </c>
      <c r="I5106" s="2" t="s">
        <v>12759</v>
      </c>
      <c r="J5106" s="3" t="str">
        <f>HYPERLINK("https://www.boe.es/gazeta/dias/1815/06/08/pdfs/GMD-1815-69.pdf#page=9","Abrir facsímil")</f>
        <v>Abrir facsímil</v>
      </c>
      <c r="K5106" s="3" t="s">
        <v>74</v>
      </c>
    </row>
    <row r="5107" spans="1:11" ht="42" customHeight="1">
      <c r="A5107" s="2" t="s">
        <v>12760</v>
      </c>
      <c r="B5107" s="2" t="s">
        <v>12761</v>
      </c>
      <c r="C5107" s="2" t="s">
        <v>49</v>
      </c>
      <c r="D5107" s="2" t="s">
        <v>50</v>
      </c>
      <c r="E5107" s="5">
        <v>-30886</v>
      </c>
      <c r="F5107" s="3" t="s">
        <v>140</v>
      </c>
      <c r="G5107" s="3" t="s">
        <v>224</v>
      </c>
      <c r="H5107" s="2" t="s">
        <v>72</v>
      </c>
      <c r="I5107" s="2" t="s">
        <v>12762</v>
      </c>
      <c r="J5107" s="3" t="str">
        <f>HYPERLINK("https://www.boe.es/gazeta/dias/1815/06/08/pdfs/GMD-1815-69.pdf#page=9","Abrir facsímil")</f>
        <v>Abrir facsímil</v>
      </c>
      <c r="K5107" s="3" t="s">
        <v>74</v>
      </c>
    </row>
    <row r="5108" spans="1:11" ht="42" customHeight="1">
      <c r="A5108" s="2" t="s">
        <v>12763</v>
      </c>
      <c r="B5108" s="2" t="s">
        <v>12763</v>
      </c>
      <c r="C5108" s="2" t="s">
        <v>31</v>
      </c>
      <c r="D5108" s="2" t="s">
        <v>32</v>
      </c>
      <c r="E5108" s="5">
        <v>-30821</v>
      </c>
      <c r="F5108" s="3" t="s">
        <v>915</v>
      </c>
      <c r="G5108" s="3" t="s">
        <v>57</v>
      </c>
      <c r="H5108" s="2" t="s">
        <v>72</v>
      </c>
      <c r="I5108" s="2" t="s">
        <v>12764</v>
      </c>
      <c r="J5108" s="3" t="str">
        <f>HYPERLINK("https://www.boe.es/gazeta/dias/1815/08/12/pdfs/GMD-1815-99.pdf#page=5","Abrir facsímil")</f>
        <v>Abrir facsímil</v>
      </c>
      <c r="K5108" s="3" t="s">
        <v>74</v>
      </c>
    </row>
    <row r="5109" spans="1:11" ht="42" customHeight="1">
      <c r="A5109" s="2" t="s">
        <v>12765</v>
      </c>
      <c r="B5109" s="2" t="s">
        <v>12766</v>
      </c>
      <c r="C5109" s="2" t="s">
        <v>49</v>
      </c>
      <c r="D5109" s="2" t="s">
        <v>50</v>
      </c>
      <c r="E5109" s="5">
        <v>-30865</v>
      </c>
      <c r="F5109" s="3" t="s">
        <v>163</v>
      </c>
      <c r="G5109" s="3" t="s">
        <v>38</v>
      </c>
      <c r="H5109" s="2" t="s">
        <v>72</v>
      </c>
      <c r="I5109" s="2" t="s">
        <v>12767</v>
      </c>
      <c r="J5109" s="3" t="str">
        <f>HYPERLINK("https://www.boe.es/gazeta/dias/1815/06/29/pdfs/GMD-1815-78.pdf#page=8","Abrir facsímil")</f>
        <v>Abrir facsímil</v>
      </c>
      <c r="K5109" s="3" t="s">
        <v>74</v>
      </c>
    </row>
    <row r="5110" spans="1:11" ht="42" customHeight="1">
      <c r="A5110" s="2" t="s">
        <v>12768</v>
      </c>
      <c r="B5110" s="2" t="s">
        <v>12769</v>
      </c>
      <c r="C5110" s="2" t="s">
        <v>49</v>
      </c>
      <c r="D5110" s="2" t="s">
        <v>50</v>
      </c>
      <c r="E5110" s="5">
        <v>-30986</v>
      </c>
      <c r="F5110" s="3" t="s">
        <v>46</v>
      </c>
      <c r="G5110" s="3" t="s">
        <v>47</v>
      </c>
      <c r="H5110" s="2" t="s">
        <v>72</v>
      </c>
      <c r="I5110" s="2" t="s">
        <v>12770</v>
      </c>
      <c r="J5110" s="3" t="str">
        <f>HYPERLINK("https://www.boe.es/gazeta/dias/1815/02/28/pdfs/GMD-1815-25.pdf#page=11","Abrir facsímil")</f>
        <v>Abrir facsímil</v>
      </c>
      <c r="K5110" s="3" t="s">
        <v>74</v>
      </c>
    </row>
    <row r="5111" spans="1:11" ht="42" customHeight="1">
      <c r="A5111" s="2" t="s">
        <v>12771</v>
      </c>
      <c r="B5111" s="2" t="s">
        <v>12771</v>
      </c>
      <c r="C5111" s="2" t="s">
        <v>31</v>
      </c>
      <c r="D5111" s="2" t="s">
        <v>32</v>
      </c>
      <c r="E5111" s="5">
        <v>-31017</v>
      </c>
      <c r="F5111" s="3" t="s">
        <v>456</v>
      </c>
      <c r="G5111" s="3" t="s">
        <v>97</v>
      </c>
      <c r="H5111" s="2" t="s">
        <v>72</v>
      </c>
      <c r="I5111" s="2" t="s">
        <v>12772</v>
      </c>
      <c r="J5111" s="3" t="str">
        <f>HYPERLINK("https://www.boe.es/gazeta/dias/1815/01/28/pdfs/GMD-1815-12.pdf#page=3","Abrir facsímil")</f>
        <v>Abrir facsímil</v>
      </c>
      <c r="K5111" s="3" t="s">
        <v>74</v>
      </c>
    </row>
    <row r="5112" spans="1:11" ht="42" customHeight="1">
      <c r="A5112" s="2" t="s">
        <v>12773</v>
      </c>
      <c r="B5112" s="2" t="s">
        <v>12773</v>
      </c>
      <c r="C5112" s="2" t="s">
        <v>897</v>
      </c>
      <c r="D5112" s="2" t="s">
        <v>50</v>
      </c>
      <c r="E5112" s="5">
        <v>-30863</v>
      </c>
      <c r="F5112" s="3" t="s">
        <v>110</v>
      </c>
      <c r="G5112" s="3" t="s">
        <v>71</v>
      </c>
      <c r="H5112" s="2" t="s">
        <v>72</v>
      </c>
      <c r="I5112" s="2" t="s">
        <v>12774</v>
      </c>
      <c r="J5112" s="3" t="str">
        <f>HYPERLINK("https://www.boe.es/gazeta/dias/1815/07/01/pdfs/GMD-1815-79.pdf#page=7","Abrir facsímil")</f>
        <v>Abrir facsímil</v>
      </c>
      <c r="K5112" s="3" t="s">
        <v>74</v>
      </c>
    </row>
    <row r="5113" spans="1:11" ht="42" customHeight="1">
      <c r="A5113" s="2" t="s">
        <v>12775</v>
      </c>
      <c r="B5113" s="2" t="s">
        <v>12776</v>
      </c>
      <c r="C5113" s="2" t="s">
        <v>195</v>
      </c>
      <c r="D5113" s="2" t="s">
        <v>50</v>
      </c>
      <c r="E5113" s="5">
        <v>-30765</v>
      </c>
      <c r="F5113" s="3" t="s">
        <v>2150</v>
      </c>
      <c r="G5113" s="3" t="s">
        <v>38</v>
      </c>
      <c r="H5113" s="2" t="s">
        <v>72</v>
      </c>
      <c r="I5113" s="2" t="s">
        <v>12777</v>
      </c>
      <c r="J5113" s="3" t="str">
        <f>HYPERLINK("https://www.boe.es/gazeta/dias/1815/10/07/pdfs/GMD-1815-126.pdf#page=8","Abrir facsímil")</f>
        <v>Abrir facsímil</v>
      </c>
      <c r="K5113" s="3" t="s">
        <v>74</v>
      </c>
    </row>
    <row r="5114" spans="1:11" ht="42" customHeight="1">
      <c r="A5114" s="2" t="s">
        <v>12778</v>
      </c>
      <c r="B5114" s="2" t="s">
        <v>12779</v>
      </c>
      <c r="C5114" s="2" t="s">
        <v>17</v>
      </c>
      <c r="D5114" s="2" t="s">
        <v>18</v>
      </c>
      <c r="E5114" s="5">
        <v>-31040</v>
      </c>
      <c r="F5114" s="3" t="s">
        <v>326</v>
      </c>
      <c r="G5114" s="3" t="s">
        <v>27</v>
      </c>
      <c r="H5114" s="2" t="s">
        <v>72</v>
      </c>
      <c r="I5114" s="2" t="s">
        <v>12780</v>
      </c>
      <c r="J5114" s="3" t="str">
        <f>HYPERLINK("https://www.boe.es/gazeta/dias/1815/01/05/pdfs/GMD-1815-2.pdf#page=6","Abrir facsímil")</f>
        <v>Abrir facsímil</v>
      </c>
      <c r="K5114" s="3" t="s">
        <v>74</v>
      </c>
    </row>
    <row r="5115" spans="1:11" ht="42" customHeight="1">
      <c r="A5115" s="2" t="s">
        <v>12781</v>
      </c>
      <c r="B5115" s="2" t="s">
        <v>12782</v>
      </c>
      <c r="C5115" s="2" t="s">
        <v>17</v>
      </c>
      <c r="D5115" s="2" t="s">
        <v>18</v>
      </c>
      <c r="E5115" s="5">
        <v>-30993</v>
      </c>
      <c r="F5115" s="3" t="s">
        <v>66</v>
      </c>
      <c r="G5115" s="3" t="s">
        <v>97</v>
      </c>
      <c r="H5115" s="2" t="s">
        <v>72</v>
      </c>
      <c r="I5115" s="2" t="s">
        <v>12783</v>
      </c>
      <c r="J5115" s="3" t="str">
        <f>HYPERLINK("https://www.boe.es/gazeta/dias/1815/02/21/pdfs/GMD-1815-22.pdf#page=3","Abrir facsímil")</f>
        <v>Abrir facsímil</v>
      </c>
      <c r="K5115" s="3" t="s">
        <v>74</v>
      </c>
    </row>
    <row r="5116" spans="1:11" ht="42" customHeight="1">
      <c r="A5116" s="2" t="s">
        <v>12784</v>
      </c>
      <c r="B5116" s="2" t="s">
        <v>12784</v>
      </c>
      <c r="C5116" s="2" t="s">
        <v>897</v>
      </c>
      <c r="D5116" s="2" t="s">
        <v>50</v>
      </c>
      <c r="E5116" s="5">
        <v>-30893</v>
      </c>
      <c r="F5116" s="3" t="s">
        <v>132</v>
      </c>
      <c r="G5116" s="3" t="s">
        <v>377</v>
      </c>
      <c r="H5116" s="2" t="s">
        <v>72</v>
      </c>
      <c r="I5116" s="2" t="s">
        <v>12785</v>
      </c>
      <c r="J5116" s="3" t="str">
        <f>HYPERLINK("https://www.boe.es/gazeta/dias/1815/06/01/pdfs/GMD-1815-66.pdf#page=2","Abrir facsímil")</f>
        <v>Abrir facsímil</v>
      </c>
      <c r="K5116" s="3" t="s">
        <v>74</v>
      </c>
    </row>
    <row r="5117" spans="1:11" ht="42" customHeight="1">
      <c r="A5117" s="2" t="s">
        <v>12786</v>
      </c>
      <c r="B5117" s="2" t="s">
        <v>12786</v>
      </c>
      <c r="C5117" s="2" t="s">
        <v>31</v>
      </c>
      <c r="D5117" s="2" t="s">
        <v>32</v>
      </c>
      <c r="E5117" s="5">
        <v>-31005</v>
      </c>
      <c r="F5117" s="3" t="s">
        <v>576</v>
      </c>
      <c r="G5117" s="3" t="s">
        <v>377</v>
      </c>
      <c r="H5117" s="2" t="s">
        <v>72</v>
      </c>
      <c r="I5117" s="2" t="s">
        <v>12787</v>
      </c>
      <c r="J5117" s="3" t="str">
        <f>HYPERLINK("https://www.boe.es/gazeta/dias/1815/02/09/pdfs/GMD-1815-17.pdf#page=2","Abrir facsímil")</f>
        <v>Abrir facsímil</v>
      </c>
      <c r="K5117" s="3" t="s">
        <v>74</v>
      </c>
    </row>
    <row r="5118" spans="1:11" ht="42" customHeight="1">
      <c r="A5118" s="2" t="s">
        <v>12786</v>
      </c>
      <c r="B5118" s="2" t="s">
        <v>12786</v>
      </c>
      <c r="C5118" s="2" t="s">
        <v>897</v>
      </c>
      <c r="D5118" s="2" t="s">
        <v>179</v>
      </c>
      <c r="E5118" s="5">
        <v>-30954</v>
      </c>
      <c r="F5118" s="3" t="s">
        <v>9580</v>
      </c>
      <c r="G5118" s="3" t="s">
        <v>377</v>
      </c>
      <c r="H5118" s="2" t="s">
        <v>72</v>
      </c>
      <c r="I5118" s="2" t="s">
        <v>12788</v>
      </c>
      <c r="J5118" s="3" t="str">
        <f>HYPERLINK("https://www.boe.es/gazeta/dias/1815/04/01/pdfs/GMD-1815-40E.pdf#page=2","Abrir facsímil")</f>
        <v>Abrir facsímil</v>
      </c>
      <c r="K5118" s="3" t="s">
        <v>74</v>
      </c>
    </row>
    <row r="5119" spans="1:11" ht="42" customHeight="1">
      <c r="A5119" s="2" t="s">
        <v>12786</v>
      </c>
      <c r="B5119" s="2" t="s">
        <v>12786</v>
      </c>
      <c r="C5119" s="2" t="s">
        <v>897</v>
      </c>
      <c r="D5119" s="2" t="s">
        <v>50</v>
      </c>
      <c r="E5119" s="5">
        <v>-30893</v>
      </c>
      <c r="F5119" s="3" t="s">
        <v>132</v>
      </c>
      <c r="G5119" s="3" t="s">
        <v>377</v>
      </c>
      <c r="H5119" s="2" t="s">
        <v>72</v>
      </c>
      <c r="I5119" s="2" t="s">
        <v>12789</v>
      </c>
      <c r="J5119" s="3" t="str">
        <f>HYPERLINK("https://www.boe.es/gazeta/dias/1815/06/01/pdfs/GMD-1815-66.pdf#page=2","Abrir facsímil")</f>
        <v>Abrir facsímil</v>
      </c>
      <c r="K5119" s="3" t="s">
        <v>74</v>
      </c>
    </row>
    <row r="5120" spans="1:11" ht="42" customHeight="1">
      <c r="A5120" s="2" t="s">
        <v>12786</v>
      </c>
      <c r="B5120" s="2" t="s">
        <v>12786</v>
      </c>
      <c r="C5120" s="2" t="s">
        <v>49</v>
      </c>
      <c r="D5120" s="2" t="s">
        <v>50</v>
      </c>
      <c r="E5120" s="5">
        <v>-30858</v>
      </c>
      <c r="F5120" s="3" t="s">
        <v>1928</v>
      </c>
      <c r="G5120" s="3" t="s">
        <v>410</v>
      </c>
      <c r="H5120" s="2" t="s">
        <v>72</v>
      </c>
      <c r="I5120" s="2" t="s">
        <v>12790</v>
      </c>
      <c r="J5120" s="3" t="str">
        <f>HYPERLINK("https://www.boe.es/gazeta/dias/1815/07/06/pdfs/GMD-1815-83.pdf#page=1","Abrir facsímil")</f>
        <v>Abrir facsímil</v>
      </c>
      <c r="K5120" s="3" t="s">
        <v>74</v>
      </c>
    </row>
    <row r="5121" spans="1:11" ht="42" customHeight="1">
      <c r="A5121" s="2" t="s">
        <v>12791</v>
      </c>
      <c r="B5121" s="2" t="s">
        <v>12792</v>
      </c>
      <c r="C5121" s="2" t="s">
        <v>31</v>
      </c>
      <c r="D5121" s="2" t="s">
        <v>32</v>
      </c>
      <c r="E5121" s="5">
        <v>-31005</v>
      </c>
      <c r="F5121" s="3" t="s">
        <v>576</v>
      </c>
      <c r="G5121" s="3" t="s">
        <v>97</v>
      </c>
      <c r="H5121" s="2" t="s">
        <v>21</v>
      </c>
      <c r="I5121" s="2" t="s">
        <v>12793</v>
      </c>
      <c r="J5121" s="3" t="str">
        <f>HYPERLINK("https://www.boe.es/gazeta/dias/1815/02/09/pdfs/GMD-1815-17.pdf#page=3","Abrir facsímil")</f>
        <v>Abrir facsímil</v>
      </c>
      <c r="K5121" s="3" t="s">
        <v>23</v>
      </c>
    </row>
    <row r="5122" spans="1:11" ht="42" customHeight="1">
      <c r="A5122" s="2" t="s">
        <v>12794</v>
      </c>
      <c r="B5122" s="2" t="s">
        <v>12795</v>
      </c>
      <c r="C5122" s="2" t="s">
        <v>31</v>
      </c>
      <c r="D5122" s="2" t="s">
        <v>32</v>
      </c>
      <c r="E5122" s="5">
        <v>-31040</v>
      </c>
      <c r="F5122" s="3" t="s">
        <v>326</v>
      </c>
      <c r="G5122" s="3" t="s">
        <v>4855</v>
      </c>
      <c r="H5122" s="2" t="s">
        <v>72</v>
      </c>
      <c r="I5122" s="2" t="s">
        <v>12796</v>
      </c>
      <c r="J5122" s="3" t="str">
        <f>HYPERLINK("https://www.boe.es/gazeta/dias/1815/01/05/pdfs/GMD-1815-2.pdf#page=5","Abrir facsímil")</f>
        <v>Abrir facsímil</v>
      </c>
      <c r="K5122" s="3" t="s">
        <v>74</v>
      </c>
    </row>
    <row r="5123" spans="1:11" ht="42" customHeight="1">
      <c r="A5123" s="2" t="s">
        <v>12797</v>
      </c>
      <c r="B5123" s="2" t="s">
        <v>12798</v>
      </c>
      <c r="C5123" s="2" t="s">
        <v>195</v>
      </c>
      <c r="D5123" s="2" t="s">
        <v>50</v>
      </c>
      <c r="E5123" s="5">
        <v>-31042</v>
      </c>
      <c r="F5123" s="3" t="s">
        <v>512</v>
      </c>
      <c r="G5123" s="3" t="s">
        <v>38</v>
      </c>
      <c r="H5123" s="2" t="s">
        <v>72</v>
      </c>
      <c r="I5123" s="2" t="s">
        <v>12799</v>
      </c>
      <c r="J5123" s="3" t="str">
        <f>HYPERLINK("https://www.boe.es/gazeta/dias/1815/01/03/pdfs/GMD-1815-1.pdf#page=8","Abrir facsímil")</f>
        <v>Abrir facsímil</v>
      </c>
      <c r="K5123" s="3" t="s">
        <v>74</v>
      </c>
    </row>
    <row r="5124" spans="1:11" ht="42" customHeight="1">
      <c r="A5124" s="2" t="s">
        <v>12797</v>
      </c>
      <c r="B5124" s="2" t="s">
        <v>12798</v>
      </c>
      <c r="C5124" s="2" t="s">
        <v>61</v>
      </c>
      <c r="D5124" s="2" t="s">
        <v>50</v>
      </c>
      <c r="E5124" s="5">
        <v>-30916</v>
      </c>
      <c r="F5124" s="3" t="s">
        <v>147</v>
      </c>
      <c r="G5124" s="3" t="s">
        <v>3394</v>
      </c>
      <c r="H5124" s="2" t="s">
        <v>72</v>
      </c>
      <c r="I5124" s="2" t="s">
        <v>12800</v>
      </c>
      <c r="J5124" s="3" t="str">
        <f>HYPERLINK("https://www.boe.es/gazeta/dias/1815/05/09/pdfs/GMD-1815-56.pdf#page=12","Abrir facsímil")</f>
        <v>Abrir facsímil</v>
      </c>
      <c r="K5124" s="3" t="s">
        <v>74</v>
      </c>
    </row>
    <row r="5125" spans="1:11" ht="42" customHeight="1">
      <c r="A5125" s="2" t="s">
        <v>12801</v>
      </c>
      <c r="B5125" s="2" t="s">
        <v>12802</v>
      </c>
      <c r="C5125" s="2" t="s">
        <v>17</v>
      </c>
      <c r="D5125" s="2" t="s">
        <v>18</v>
      </c>
      <c r="E5125" s="5">
        <v>-30937</v>
      </c>
      <c r="F5125" s="3" t="s">
        <v>322</v>
      </c>
      <c r="G5125" s="3" t="s">
        <v>3521</v>
      </c>
      <c r="H5125" s="2" t="s">
        <v>21</v>
      </c>
      <c r="I5125" s="2" t="s">
        <v>12803</v>
      </c>
      <c r="J5125" s="3" t="str">
        <f>HYPERLINK("https://www.boe.es/gazeta/dias/1815/04/18/pdfs/GMD-1815-47.pdf#page=8","Abrir facsímil")</f>
        <v>Abrir facsímil</v>
      </c>
      <c r="K5125" s="3" t="s">
        <v>23</v>
      </c>
    </row>
    <row r="5126" spans="1:11" ht="42" customHeight="1">
      <c r="A5126" s="2" t="s">
        <v>12804</v>
      </c>
      <c r="B5126" s="2" t="s">
        <v>12805</v>
      </c>
      <c r="C5126" s="2" t="s">
        <v>31</v>
      </c>
      <c r="D5126" s="2" t="s">
        <v>32</v>
      </c>
      <c r="E5126" s="5">
        <v>-30958</v>
      </c>
      <c r="F5126" s="3" t="s">
        <v>297</v>
      </c>
      <c r="G5126" s="3" t="s">
        <v>57</v>
      </c>
      <c r="H5126" s="2" t="s">
        <v>72</v>
      </c>
      <c r="I5126" s="2" t="s">
        <v>12806</v>
      </c>
      <c r="J5126" s="3" t="str">
        <f>HYPERLINK("https://www.boe.es/gazeta/dias/1815/03/28/pdfs/GMD-1815-37.pdf#page=5","Abrir facsímil")</f>
        <v>Abrir facsímil</v>
      </c>
      <c r="K5126" s="3" t="s">
        <v>74</v>
      </c>
    </row>
    <row r="5127" spans="1:11" ht="42" customHeight="1">
      <c r="A5127" s="2" t="s">
        <v>12807</v>
      </c>
      <c r="B5127" s="2" t="s">
        <v>12808</v>
      </c>
      <c r="C5127" s="2" t="s">
        <v>17</v>
      </c>
      <c r="D5127" s="2" t="s">
        <v>18</v>
      </c>
      <c r="E5127" s="5">
        <v>-31042</v>
      </c>
      <c r="F5127" s="3" t="s">
        <v>512</v>
      </c>
      <c r="G5127" s="3" t="s">
        <v>38</v>
      </c>
      <c r="H5127" s="2" t="s">
        <v>72</v>
      </c>
      <c r="I5127" s="2" t="s">
        <v>12809</v>
      </c>
      <c r="J5127" s="3" t="str">
        <f>HYPERLINK("https://www.boe.es/gazeta/dias/1815/01/03/pdfs/GMD-1815-1.pdf#page=8","Abrir facsímil")</f>
        <v>Abrir facsímil</v>
      </c>
      <c r="K5127" s="3" t="s">
        <v>74</v>
      </c>
    </row>
    <row r="5128" spans="1:11" ht="42" customHeight="1">
      <c r="A5128" s="2" t="s">
        <v>12810</v>
      </c>
      <c r="B5128" s="2" t="s">
        <v>12811</v>
      </c>
      <c r="C5128" s="2" t="s">
        <v>49</v>
      </c>
      <c r="D5128" s="2" t="s">
        <v>50</v>
      </c>
      <c r="E5128" s="5">
        <v>-30893</v>
      </c>
      <c r="F5128" s="3" t="s">
        <v>132</v>
      </c>
      <c r="G5128" s="3" t="s">
        <v>155</v>
      </c>
      <c r="H5128" s="2" t="s">
        <v>72</v>
      </c>
      <c r="I5128" s="2" t="s">
        <v>12812</v>
      </c>
      <c r="J5128" s="3" t="str">
        <f>HYPERLINK("https://www.boe.es/gazeta/dias/1815/06/01/pdfs/GMD-1815-66.pdf#page=6","Abrir facsímil")</f>
        <v>Abrir facsímil</v>
      </c>
      <c r="K5128" s="3" t="s">
        <v>74</v>
      </c>
    </row>
    <row r="5129" spans="1:11" ht="42" customHeight="1">
      <c r="A5129" s="2" t="s">
        <v>12813</v>
      </c>
      <c r="B5129" s="2" t="s">
        <v>12813</v>
      </c>
      <c r="C5129" s="2" t="s">
        <v>31</v>
      </c>
      <c r="D5129" s="2" t="s">
        <v>32</v>
      </c>
      <c r="E5129" s="5">
        <v>-30739</v>
      </c>
      <c r="F5129" s="3" t="s">
        <v>254</v>
      </c>
      <c r="G5129" s="3" t="s">
        <v>20</v>
      </c>
      <c r="H5129" s="2" t="s">
        <v>72</v>
      </c>
      <c r="I5129" s="2" t="s">
        <v>12814</v>
      </c>
      <c r="J5129" s="3" t="str">
        <f>HYPERLINK("https://www.boe.es/gazeta/dias/1815/11/02/pdfs/GMD-1815-137.pdf#page=4","Abrir facsímil")</f>
        <v>Abrir facsímil</v>
      </c>
      <c r="K5129" s="3" t="s">
        <v>74</v>
      </c>
    </row>
    <row r="5130" spans="1:11" ht="42" customHeight="1">
      <c r="A5130" s="2" t="s">
        <v>12815</v>
      </c>
      <c r="B5130" s="2" t="s">
        <v>12815</v>
      </c>
      <c r="C5130" s="2" t="s">
        <v>31</v>
      </c>
      <c r="D5130" s="2" t="s">
        <v>32</v>
      </c>
      <c r="E5130" s="5">
        <v>-30753</v>
      </c>
      <c r="F5130" s="3" t="s">
        <v>1635</v>
      </c>
      <c r="G5130" s="3" t="s">
        <v>12816</v>
      </c>
      <c r="H5130" s="2" t="s">
        <v>72</v>
      </c>
      <c r="I5130" s="2" t="s">
        <v>12817</v>
      </c>
      <c r="J5130" s="3" t="str">
        <f>HYPERLINK("https://www.boe.es/gazeta/dias/1815/10/19/pdfs/GMD-1815-131.pdf#page=2","Abrir facsímil")</f>
        <v>Abrir facsímil</v>
      </c>
      <c r="K5130" s="3" t="s">
        <v>74</v>
      </c>
    </row>
    <row r="5131" spans="1:11" ht="42" customHeight="1">
      <c r="A5131" s="2" t="s">
        <v>12818</v>
      </c>
      <c r="B5131" s="2" t="s">
        <v>12818</v>
      </c>
      <c r="C5131" s="2" t="s">
        <v>31</v>
      </c>
      <c r="D5131" s="2" t="s">
        <v>32</v>
      </c>
      <c r="E5131" s="5">
        <v>-30769</v>
      </c>
      <c r="F5131" s="3" t="s">
        <v>1641</v>
      </c>
      <c r="G5131" s="3" t="s">
        <v>12819</v>
      </c>
      <c r="H5131" s="2" t="s">
        <v>72</v>
      </c>
      <c r="I5131" s="2" t="s">
        <v>12820</v>
      </c>
      <c r="J5131" s="3" t="str">
        <f>HYPERLINK("https://www.boe.es/gazeta/dias/1815/10/03/pdfs/GMD-1815-124.pdf#page=4","Abrir facsímil")</f>
        <v>Abrir facsímil</v>
      </c>
      <c r="K5131" s="3" t="s">
        <v>74</v>
      </c>
    </row>
    <row r="5132" spans="1:11" ht="42" customHeight="1">
      <c r="A5132" s="2" t="s">
        <v>12821</v>
      </c>
      <c r="B5132" s="2" t="s">
        <v>12822</v>
      </c>
      <c r="C5132" s="2" t="s">
        <v>31</v>
      </c>
      <c r="D5132" s="2" t="s">
        <v>32</v>
      </c>
      <c r="E5132" s="5">
        <v>-30900</v>
      </c>
      <c r="F5132" s="3" t="s">
        <v>921</v>
      </c>
      <c r="G5132" s="3" t="s">
        <v>38</v>
      </c>
      <c r="H5132" s="2" t="s">
        <v>21</v>
      </c>
      <c r="I5132" s="2" t="s">
        <v>12823</v>
      </c>
      <c r="J5132" s="3" t="str">
        <f>HYPERLINK("https://www.boe.es/gazeta/dias/1815/05/25/pdfs/GMD-1815-63.pdf#page=8","Abrir facsímil")</f>
        <v>Abrir facsímil</v>
      </c>
      <c r="K5132" s="3" t="s">
        <v>23</v>
      </c>
    </row>
    <row r="5133" spans="1:11" ht="42" customHeight="1">
      <c r="A5133" s="2" t="s">
        <v>12824</v>
      </c>
      <c r="B5133" s="2" t="s">
        <v>12825</v>
      </c>
      <c r="C5133" s="2" t="s">
        <v>49</v>
      </c>
      <c r="D5133" s="2" t="s">
        <v>50</v>
      </c>
      <c r="E5133" s="5">
        <v>-30828</v>
      </c>
      <c r="F5133" s="3" t="s">
        <v>1402</v>
      </c>
      <c r="G5133" s="3" t="s">
        <v>377</v>
      </c>
      <c r="H5133" s="2" t="s">
        <v>72</v>
      </c>
      <c r="I5133" s="2" t="s">
        <v>12826</v>
      </c>
      <c r="J5133" s="3" t="str">
        <f>HYPERLINK("https://www.boe.es/gazeta/dias/1815/08/05/pdfs/GMD-1815-96.pdf#page=2","Abrir facsímil")</f>
        <v>Abrir facsímil</v>
      </c>
      <c r="K5133" s="3" t="s">
        <v>74</v>
      </c>
    </row>
    <row r="5134" spans="1:11" ht="42" customHeight="1">
      <c r="A5134" s="2" t="s">
        <v>12827</v>
      </c>
      <c r="B5134" s="2" t="s">
        <v>12827</v>
      </c>
      <c r="C5134" s="2" t="s">
        <v>31</v>
      </c>
      <c r="D5134" s="2" t="s">
        <v>32</v>
      </c>
      <c r="E5134" s="5">
        <v>-30895</v>
      </c>
      <c r="F5134" s="3" t="s">
        <v>176</v>
      </c>
      <c r="G5134" s="3" t="s">
        <v>97</v>
      </c>
      <c r="H5134" s="2" t="s">
        <v>72</v>
      </c>
      <c r="I5134" s="2" t="s">
        <v>12828</v>
      </c>
      <c r="J5134" s="3" t="str">
        <f>HYPERLINK("https://www.boe.es/gazeta/dias/1815/05/30/pdfs/GMD-1815-65.pdf#page=3","Abrir facsímil")</f>
        <v>Abrir facsímil</v>
      </c>
      <c r="K5134" s="3" t="s">
        <v>74</v>
      </c>
    </row>
    <row r="5135" spans="1:11" ht="42" customHeight="1">
      <c r="A5135" s="2" t="s">
        <v>12829</v>
      </c>
      <c r="B5135" s="2" t="s">
        <v>12830</v>
      </c>
      <c r="C5135" s="2" t="s">
        <v>897</v>
      </c>
      <c r="D5135" s="2" t="s">
        <v>50</v>
      </c>
      <c r="E5135" s="5">
        <v>-30886</v>
      </c>
      <c r="F5135" s="3" t="s">
        <v>140</v>
      </c>
      <c r="G5135" s="3" t="s">
        <v>276</v>
      </c>
      <c r="H5135" s="2" t="s">
        <v>72</v>
      </c>
      <c r="I5135" s="2" t="s">
        <v>12831</v>
      </c>
      <c r="J5135" s="3" t="str">
        <f>HYPERLINK("https://www.boe.es/gazeta/dias/1815/06/08/pdfs/GMD-1815-69.pdf#page=12","Abrir facsímil")</f>
        <v>Abrir facsímil</v>
      </c>
      <c r="K5135" s="3" t="s">
        <v>74</v>
      </c>
    </row>
    <row r="5136" spans="1:11" ht="42" customHeight="1">
      <c r="A5136" s="2" t="s">
        <v>12832</v>
      </c>
      <c r="B5136" s="2" t="s">
        <v>12833</v>
      </c>
      <c r="C5136" s="2" t="s">
        <v>195</v>
      </c>
      <c r="D5136" s="2" t="s">
        <v>50</v>
      </c>
      <c r="E5136" s="5">
        <v>-30739</v>
      </c>
      <c r="F5136" s="3" t="s">
        <v>254</v>
      </c>
      <c r="G5136" s="3" t="s">
        <v>52</v>
      </c>
      <c r="H5136" s="2" t="s">
        <v>72</v>
      </c>
      <c r="I5136" s="2" t="s">
        <v>12834</v>
      </c>
      <c r="J5136" s="3" t="str">
        <f>HYPERLINK("https://www.boe.es/gazeta/dias/1815/11/02/pdfs/GMD-1815-137.pdf#page=11","Abrir facsímil")</f>
        <v>Abrir facsímil</v>
      </c>
      <c r="K5136" s="3" t="s">
        <v>74</v>
      </c>
    </row>
    <row r="5137" spans="1:11" ht="42" customHeight="1">
      <c r="A5137" s="2" t="s">
        <v>12835</v>
      </c>
      <c r="B5137" s="2" t="s">
        <v>12836</v>
      </c>
      <c r="C5137" s="2" t="s">
        <v>31</v>
      </c>
      <c r="D5137" s="2" t="s">
        <v>32</v>
      </c>
      <c r="E5137" s="5">
        <v>-30767</v>
      </c>
      <c r="F5137" s="3" t="s">
        <v>228</v>
      </c>
      <c r="G5137" s="3" t="s">
        <v>224</v>
      </c>
      <c r="H5137" s="2" t="s">
        <v>72</v>
      </c>
      <c r="I5137" s="2" t="s">
        <v>12837</v>
      </c>
      <c r="J5137" s="3" t="str">
        <f>HYPERLINK("https://www.boe.es/gazeta/dias/1815/10/05/pdfs/GMD-1815-125.pdf#page=9","Abrir facsímil")</f>
        <v>Abrir facsímil</v>
      </c>
      <c r="K5137" s="3" t="s">
        <v>74</v>
      </c>
    </row>
    <row r="5138" spans="1:11" ht="42" customHeight="1">
      <c r="A5138" s="2" t="s">
        <v>12838</v>
      </c>
      <c r="B5138" s="2" t="s">
        <v>12839</v>
      </c>
      <c r="C5138" s="2" t="s">
        <v>31</v>
      </c>
      <c r="D5138" s="2" t="s">
        <v>32</v>
      </c>
      <c r="E5138" s="5">
        <v>-30872</v>
      </c>
      <c r="F5138" s="3" t="s">
        <v>167</v>
      </c>
      <c r="G5138" s="3" t="s">
        <v>71</v>
      </c>
      <c r="H5138" s="2" t="s">
        <v>72</v>
      </c>
      <c r="I5138" s="2" t="s">
        <v>12840</v>
      </c>
      <c r="J5138" s="3" t="str">
        <f>HYPERLINK("https://www.boe.es/gazeta/dias/1815/06/22/pdfs/GMD-1815-75.pdf#page=7","Abrir facsímil")</f>
        <v>Abrir facsímil</v>
      </c>
      <c r="K5138" s="3" t="s">
        <v>74</v>
      </c>
    </row>
    <row r="5139" spans="1:11" ht="42" customHeight="1">
      <c r="A5139" s="2" t="s">
        <v>12841</v>
      </c>
      <c r="B5139" s="2" t="s">
        <v>12842</v>
      </c>
      <c r="C5139" s="2" t="s">
        <v>195</v>
      </c>
      <c r="D5139" s="2" t="s">
        <v>50</v>
      </c>
      <c r="E5139" s="5">
        <v>-30998</v>
      </c>
      <c r="F5139" s="3" t="s">
        <v>539</v>
      </c>
      <c r="G5139" s="3" t="s">
        <v>38</v>
      </c>
      <c r="H5139" s="2" t="s">
        <v>21</v>
      </c>
      <c r="I5139" s="2" t="s">
        <v>12843</v>
      </c>
      <c r="J5139" s="3" t="str">
        <f>HYPERLINK("https://www.boe.es/gazeta/dias/1815/02/16/pdfs/GMD-1815-20.pdf#page=8","Abrir facsímil")</f>
        <v>Abrir facsímil</v>
      </c>
      <c r="K5139" s="3" t="s">
        <v>23</v>
      </c>
    </row>
    <row r="5140" spans="1:11" ht="42" customHeight="1">
      <c r="A5140" s="2" t="s">
        <v>12844</v>
      </c>
      <c r="B5140" s="2" t="s">
        <v>12845</v>
      </c>
      <c r="C5140" s="2" t="s">
        <v>17</v>
      </c>
      <c r="D5140" s="2" t="s">
        <v>18</v>
      </c>
      <c r="E5140" s="5">
        <v>-30942</v>
      </c>
      <c r="F5140" s="3" t="s">
        <v>730</v>
      </c>
      <c r="G5140" s="3" t="s">
        <v>862</v>
      </c>
      <c r="H5140" s="2" t="s">
        <v>72</v>
      </c>
      <c r="I5140" s="2" t="s">
        <v>12846</v>
      </c>
      <c r="J5140" s="3" t="str">
        <f>HYPERLINK("https://www.boe.es/gazeta/dias/1815/04/13/pdfs/GMD-1815-45.pdf#page=6","Abrir facsímil")</f>
        <v>Abrir facsímil</v>
      </c>
      <c r="K5140" s="3" t="s">
        <v>74</v>
      </c>
    </row>
    <row r="5141" spans="1:11" ht="42" customHeight="1">
      <c r="A5141" s="2" t="s">
        <v>12847</v>
      </c>
      <c r="B5141" s="2" t="s">
        <v>12848</v>
      </c>
      <c r="C5141" s="2" t="s">
        <v>195</v>
      </c>
      <c r="D5141" s="2" t="s">
        <v>50</v>
      </c>
      <c r="E5141" s="5">
        <v>-30982</v>
      </c>
      <c r="F5141" s="3" t="s">
        <v>220</v>
      </c>
      <c r="G5141" s="3" t="s">
        <v>38</v>
      </c>
      <c r="H5141" s="2" t="s">
        <v>72</v>
      </c>
      <c r="I5141" s="2" t="s">
        <v>12849</v>
      </c>
      <c r="J5141" s="3" t="str">
        <f>HYPERLINK("https://www.boe.es/gazeta/dias/1815/03/04/pdfs/GMD-1815-27.pdf#page=8","Abrir facsímil")</f>
        <v>Abrir facsímil</v>
      </c>
      <c r="K5141" s="3" t="s">
        <v>74</v>
      </c>
    </row>
    <row r="5142" spans="1:11" ht="42" customHeight="1">
      <c r="A5142" s="2" t="s">
        <v>12850</v>
      </c>
      <c r="B5142" s="2" t="s">
        <v>12851</v>
      </c>
      <c r="C5142" s="2" t="s">
        <v>31</v>
      </c>
      <c r="D5142" s="2" t="s">
        <v>32</v>
      </c>
      <c r="E5142" s="5">
        <v>-30711</v>
      </c>
      <c r="F5142" s="3" t="s">
        <v>438</v>
      </c>
      <c r="G5142" s="3" t="s">
        <v>71</v>
      </c>
      <c r="H5142" s="2" t="s">
        <v>21</v>
      </c>
      <c r="I5142" s="2" t="s">
        <v>12852</v>
      </c>
      <c r="J5142" s="3" t="str">
        <f>HYPERLINK("https://www.boe.es/gazeta/dias/1815/11/30/pdfs/GMD-1815-149.pdf#page=7","Abrir facsímil")</f>
        <v>Abrir facsímil</v>
      </c>
      <c r="K5142" s="3" t="s">
        <v>23</v>
      </c>
    </row>
    <row r="5143" spans="1:11" ht="42" customHeight="1">
      <c r="A5143" s="2" t="s">
        <v>12853</v>
      </c>
      <c r="B5143" s="2" t="s">
        <v>12854</v>
      </c>
      <c r="C5143" s="2" t="s">
        <v>49</v>
      </c>
      <c r="D5143" s="2" t="s">
        <v>50</v>
      </c>
      <c r="E5143" s="5">
        <v>-30865</v>
      </c>
      <c r="F5143" s="3" t="s">
        <v>163</v>
      </c>
      <c r="G5143" s="3" t="s">
        <v>71</v>
      </c>
      <c r="H5143" s="2" t="s">
        <v>72</v>
      </c>
      <c r="I5143" s="2" t="s">
        <v>12855</v>
      </c>
      <c r="J5143" s="3" t="str">
        <f>HYPERLINK("https://www.boe.es/gazeta/dias/1815/06/29/pdfs/GMD-1815-78.pdf#page=7","Abrir facsímil")</f>
        <v>Abrir facsímil</v>
      </c>
      <c r="K5143" s="3" t="s">
        <v>74</v>
      </c>
    </row>
    <row r="5144" spans="1:11" ht="42" customHeight="1">
      <c r="A5144" s="2" t="s">
        <v>12856</v>
      </c>
      <c r="B5144" s="2" t="s">
        <v>12857</v>
      </c>
      <c r="C5144" s="2" t="s">
        <v>195</v>
      </c>
      <c r="D5144" s="2" t="s">
        <v>50</v>
      </c>
      <c r="E5144" s="5">
        <v>-30767</v>
      </c>
      <c r="F5144" s="3" t="s">
        <v>228</v>
      </c>
      <c r="G5144" s="3" t="s">
        <v>52</v>
      </c>
      <c r="H5144" s="2" t="s">
        <v>72</v>
      </c>
      <c r="I5144" s="2" t="s">
        <v>12858</v>
      </c>
      <c r="J5144" s="3" t="str">
        <f>HYPERLINK("https://www.boe.es/gazeta/dias/1815/10/05/pdfs/GMD-1815-125.pdf#page=11","Abrir facsímil")</f>
        <v>Abrir facsímil</v>
      </c>
      <c r="K5144" s="3" t="s">
        <v>74</v>
      </c>
    </row>
    <row r="5145" spans="1:11" ht="42" customHeight="1">
      <c r="A5145" s="2" t="s">
        <v>12859</v>
      </c>
      <c r="B5145" s="2" t="s">
        <v>12860</v>
      </c>
      <c r="C5145" s="2" t="s">
        <v>17</v>
      </c>
      <c r="D5145" s="2" t="s">
        <v>18</v>
      </c>
      <c r="E5145" s="5">
        <v>-30788</v>
      </c>
      <c r="F5145" s="3" t="s">
        <v>96</v>
      </c>
      <c r="G5145" s="3" t="s">
        <v>10999</v>
      </c>
      <c r="H5145" s="2" t="s">
        <v>72</v>
      </c>
      <c r="I5145" s="2" t="s">
        <v>12861</v>
      </c>
      <c r="J5145" s="3" t="str">
        <f>HYPERLINK("https://www.boe.es/gazeta/dias/1815/09/14/pdfs/GMD-1815-114.pdf#page=4","Abrir facsímil")</f>
        <v>Abrir facsímil</v>
      </c>
      <c r="K5145" s="3" t="s">
        <v>74</v>
      </c>
    </row>
    <row r="5146" spans="1:11" ht="42" customHeight="1">
      <c r="A5146" s="2" t="s">
        <v>12859</v>
      </c>
      <c r="B5146" s="2" t="s">
        <v>12860</v>
      </c>
      <c r="C5146" s="2" t="s">
        <v>49</v>
      </c>
      <c r="D5146" s="2" t="s">
        <v>50</v>
      </c>
      <c r="E5146" s="5">
        <v>-30788</v>
      </c>
      <c r="F5146" s="3" t="s">
        <v>96</v>
      </c>
      <c r="G5146" s="3" t="s">
        <v>97</v>
      </c>
      <c r="H5146" s="2" t="s">
        <v>72</v>
      </c>
      <c r="I5146" s="2" t="s">
        <v>12862</v>
      </c>
      <c r="J5146" s="3" t="str">
        <f>HYPERLINK("https://www.boe.es/gazeta/dias/1815/09/14/pdfs/GMD-1815-114.pdf#page=3","Abrir facsímil")</f>
        <v>Abrir facsímil</v>
      </c>
      <c r="K5146" s="3" t="s">
        <v>74</v>
      </c>
    </row>
    <row r="5147" spans="1:11" ht="42" customHeight="1">
      <c r="A5147" s="2" t="s">
        <v>12863</v>
      </c>
      <c r="B5147" s="2" t="s">
        <v>12864</v>
      </c>
      <c r="C5147" s="2" t="s">
        <v>61</v>
      </c>
      <c r="D5147" s="2" t="s">
        <v>50</v>
      </c>
      <c r="E5147" s="5">
        <v>-30914</v>
      </c>
      <c r="F5147" s="3" t="s">
        <v>338</v>
      </c>
      <c r="G5147" s="3" t="s">
        <v>88</v>
      </c>
      <c r="H5147" s="2" t="s">
        <v>72</v>
      </c>
      <c r="I5147" s="2" t="s">
        <v>12865</v>
      </c>
      <c r="J5147" s="3" t="str">
        <f>HYPERLINK("https://www.boe.es/gazeta/dias/1815/05/11/pdfs/GMD-1815-57.pdf#page=10","Abrir facsímil")</f>
        <v>Abrir facsímil</v>
      </c>
      <c r="K5147" s="3" t="s">
        <v>74</v>
      </c>
    </row>
    <row r="5148" spans="1:11" ht="42" customHeight="1">
      <c r="A5148" s="2" t="s">
        <v>12866</v>
      </c>
      <c r="B5148" s="2" t="s">
        <v>12867</v>
      </c>
      <c r="C5148" s="2" t="s">
        <v>17</v>
      </c>
      <c r="D5148" s="2" t="s">
        <v>18</v>
      </c>
      <c r="E5148" s="5">
        <v>-30825</v>
      </c>
      <c r="F5148" s="3" t="s">
        <v>669</v>
      </c>
      <c r="G5148" s="3" t="s">
        <v>88</v>
      </c>
      <c r="H5148" s="2" t="s">
        <v>72</v>
      </c>
      <c r="I5148" s="2" t="s">
        <v>12868</v>
      </c>
      <c r="J5148" s="3" t="str">
        <f>HYPERLINK("https://www.boe.es/gazeta/dias/1815/08/08/pdfs/GMD-1815-97.pdf#page=10","Abrir facsímil")</f>
        <v>Abrir facsímil</v>
      </c>
      <c r="K5148" s="3" t="s">
        <v>74</v>
      </c>
    </row>
    <row r="5149" spans="1:11" ht="42" customHeight="1">
      <c r="A5149" s="2" t="s">
        <v>12869</v>
      </c>
      <c r="B5149" s="2" t="s">
        <v>12870</v>
      </c>
      <c r="C5149" s="2" t="s">
        <v>195</v>
      </c>
      <c r="D5149" s="2" t="s">
        <v>50</v>
      </c>
      <c r="E5149" s="5">
        <v>-30888</v>
      </c>
      <c r="F5149" s="3" t="s">
        <v>368</v>
      </c>
      <c r="G5149" s="3" t="s">
        <v>369</v>
      </c>
      <c r="H5149" s="2" t="s">
        <v>21</v>
      </c>
      <c r="I5149" s="2" t="s">
        <v>12871</v>
      </c>
      <c r="J5149" s="3" t="str">
        <f>HYPERLINK("https://www.boe.es/gazeta/dias/1815/06/06/pdfs/GMD-1815-68.pdf#page=7","Abrir facsímil")</f>
        <v>Abrir facsímil</v>
      </c>
      <c r="K5149" s="3" t="s">
        <v>23</v>
      </c>
    </row>
    <row r="5150" spans="1:11" ht="42" customHeight="1">
      <c r="A5150" s="2" t="s">
        <v>12872</v>
      </c>
      <c r="B5150" s="2" t="s">
        <v>12873</v>
      </c>
      <c r="C5150" s="2" t="s">
        <v>49</v>
      </c>
      <c r="D5150" s="2" t="s">
        <v>50</v>
      </c>
      <c r="E5150" s="5">
        <v>-30818</v>
      </c>
      <c r="F5150" s="3" t="s">
        <v>334</v>
      </c>
      <c r="G5150" s="3" t="s">
        <v>224</v>
      </c>
      <c r="H5150" s="2" t="s">
        <v>72</v>
      </c>
      <c r="I5150" s="2" t="s">
        <v>12874</v>
      </c>
      <c r="J5150" s="3" t="str">
        <f>HYPERLINK("https://www.boe.es/gazeta/dias/1815/08/15/pdfs/GMD-1815-100.pdf#page=9","Abrir facsímil")</f>
        <v>Abrir facsímil</v>
      </c>
      <c r="K5150" s="3" t="s">
        <v>74</v>
      </c>
    </row>
    <row r="5151" spans="1:11" ht="42" customHeight="1">
      <c r="A5151" s="2" t="s">
        <v>12875</v>
      </c>
      <c r="B5151" s="2" t="s">
        <v>12876</v>
      </c>
      <c r="C5151" s="2" t="s">
        <v>31</v>
      </c>
      <c r="D5151" s="2" t="s">
        <v>32</v>
      </c>
      <c r="E5151" s="5">
        <v>-31038</v>
      </c>
      <c r="F5151" s="3" t="s">
        <v>395</v>
      </c>
      <c r="G5151" s="3" t="s">
        <v>20</v>
      </c>
      <c r="H5151" s="2" t="s">
        <v>72</v>
      </c>
      <c r="I5151" s="2" t="s">
        <v>12877</v>
      </c>
      <c r="J5151" s="3" t="str">
        <f>HYPERLINK("https://www.boe.es/gazeta/dias/1815/01/07/pdfs/GMD-1815-3.pdf#page=4","Abrir facsímil")</f>
        <v>Abrir facsímil</v>
      </c>
      <c r="K5151" s="3" t="s">
        <v>74</v>
      </c>
    </row>
    <row r="5152" spans="1:11" ht="42" customHeight="1">
      <c r="A5152" s="2" t="s">
        <v>12878</v>
      </c>
      <c r="B5152" s="2" t="s">
        <v>12879</v>
      </c>
      <c r="C5152" s="2" t="s">
        <v>31</v>
      </c>
      <c r="D5152" s="2" t="s">
        <v>32</v>
      </c>
      <c r="E5152" s="5">
        <v>-30849</v>
      </c>
      <c r="F5152" s="3" t="s">
        <v>501</v>
      </c>
      <c r="G5152" s="3" t="s">
        <v>88</v>
      </c>
      <c r="H5152" s="2" t="s">
        <v>72</v>
      </c>
      <c r="I5152" s="2" t="s">
        <v>12880</v>
      </c>
      <c r="J5152" s="3" t="str">
        <f>HYPERLINK("https://www.boe.es/gazeta/dias/1815/07/15/pdfs/GMD-1815-87.pdf#page=10","Abrir facsímil")</f>
        <v>Abrir facsímil</v>
      </c>
      <c r="K5152" s="3" t="s">
        <v>74</v>
      </c>
    </row>
    <row r="5153" spans="1:11" ht="42" customHeight="1">
      <c r="A5153" s="2" t="s">
        <v>12881</v>
      </c>
      <c r="B5153" s="2" t="s">
        <v>12881</v>
      </c>
      <c r="C5153" s="2" t="s">
        <v>31</v>
      </c>
      <c r="D5153" s="2" t="s">
        <v>32</v>
      </c>
      <c r="E5153" s="5">
        <v>-30872</v>
      </c>
      <c r="F5153" s="3" t="s">
        <v>167</v>
      </c>
      <c r="G5153" s="3" t="s">
        <v>71</v>
      </c>
      <c r="H5153" s="2" t="s">
        <v>72</v>
      </c>
      <c r="I5153" s="2" t="s">
        <v>12882</v>
      </c>
      <c r="J5153" s="3" t="str">
        <f>HYPERLINK("https://www.boe.es/gazeta/dias/1815/06/22/pdfs/GMD-1815-75.pdf#page=7","Abrir facsímil")</f>
        <v>Abrir facsímil</v>
      </c>
      <c r="K5153" s="3" t="s">
        <v>74</v>
      </c>
    </row>
    <row r="5154" spans="1:11" ht="42" customHeight="1">
      <c r="A5154" s="2" t="s">
        <v>12883</v>
      </c>
      <c r="B5154" s="2" t="s">
        <v>12884</v>
      </c>
      <c r="C5154" s="2" t="s">
        <v>195</v>
      </c>
      <c r="D5154" s="2" t="s">
        <v>50</v>
      </c>
      <c r="E5154" s="5">
        <v>-30888</v>
      </c>
      <c r="F5154" s="3" t="s">
        <v>368</v>
      </c>
      <c r="G5154" s="3" t="s">
        <v>369</v>
      </c>
      <c r="H5154" s="2" t="s">
        <v>72</v>
      </c>
      <c r="I5154" s="2" t="s">
        <v>12885</v>
      </c>
      <c r="J5154" s="3" t="str">
        <f>HYPERLINK("https://www.boe.es/gazeta/dias/1815/06/06/pdfs/GMD-1815-68.pdf#page=7","Abrir facsímil")</f>
        <v>Abrir facsímil</v>
      </c>
      <c r="K5154" s="3" t="s">
        <v>74</v>
      </c>
    </row>
    <row r="5155" spans="1:11" ht="42" customHeight="1">
      <c r="A5155" s="2" t="s">
        <v>12886</v>
      </c>
      <c r="B5155" s="2" t="s">
        <v>12887</v>
      </c>
      <c r="C5155" s="2" t="s">
        <v>49</v>
      </c>
      <c r="D5155" s="2" t="s">
        <v>50</v>
      </c>
      <c r="E5155" s="5">
        <v>-30767</v>
      </c>
      <c r="F5155" s="3" t="s">
        <v>228</v>
      </c>
      <c r="G5155" s="3" t="s">
        <v>88</v>
      </c>
      <c r="H5155" s="2" t="s">
        <v>72</v>
      </c>
      <c r="I5155" s="2" t="s">
        <v>12888</v>
      </c>
      <c r="J5155" s="3" t="str">
        <f>HYPERLINK("https://www.boe.es/gazeta/dias/1815/10/05/pdfs/GMD-1815-125.pdf#page=10","Abrir facsímil")</f>
        <v>Abrir facsímil</v>
      </c>
      <c r="K5155" s="3" t="s">
        <v>74</v>
      </c>
    </row>
    <row r="5156" spans="1:11" ht="42" customHeight="1">
      <c r="A5156" s="2" t="s">
        <v>12889</v>
      </c>
      <c r="B5156" s="2" t="s">
        <v>12890</v>
      </c>
      <c r="C5156" s="2" t="s">
        <v>49</v>
      </c>
      <c r="D5156" s="2" t="s">
        <v>50</v>
      </c>
      <c r="E5156" s="5">
        <v>-30944</v>
      </c>
      <c r="F5156" s="3" t="s">
        <v>412</v>
      </c>
      <c r="G5156" s="3" t="s">
        <v>410</v>
      </c>
      <c r="H5156" s="2" t="s">
        <v>72</v>
      </c>
      <c r="I5156" s="2" t="s">
        <v>12891</v>
      </c>
      <c r="J5156" s="3" t="str">
        <f>HYPERLINK("https://www.boe.es/gazeta/dias/1815/04/11/pdfs/GMD-1815-44.pdf#page=1","Abrir facsímil")</f>
        <v>Abrir facsímil</v>
      </c>
      <c r="K5156" s="3" t="s">
        <v>74</v>
      </c>
    </row>
    <row r="5157" spans="1:11" ht="42" customHeight="1">
      <c r="A5157" s="2" t="s">
        <v>12892</v>
      </c>
      <c r="B5157" s="2" t="s">
        <v>12892</v>
      </c>
      <c r="C5157" s="2" t="s">
        <v>31</v>
      </c>
      <c r="D5157" s="2" t="s">
        <v>32</v>
      </c>
      <c r="E5157" s="5">
        <v>-30737</v>
      </c>
      <c r="F5157" s="3" t="s">
        <v>1932</v>
      </c>
      <c r="G5157" s="3" t="s">
        <v>71</v>
      </c>
      <c r="H5157" s="2" t="s">
        <v>72</v>
      </c>
      <c r="I5157" s="2" t="s">
        <v>12893</v>
      </c>
      <c r="J5157" s="3" t="str">
        <f>HYPERLINK("https://www.boe.es/gazeta/dias/1815/11/04/pdfs/GMD-1815-138.pdf#page=7","Abrir facsímil")</f>
        <v>Abrir facsímil</v>
      </c>
      <c r="K5157" s="3" t="s">
        <v>74</v>
      </c>
    </row>
    <row r="5158" spans="1:11" ht="42" customHeight="1">
      <c r="A5158" s="2" t="s">
        <v>12894</v>
      </c>
      <c r="B5158" s="2" t="s">
        <v>12895</v>
      </c>
      <c r="C5158" s="2" t="s">
        <v>49</v>
      </c>
      <c r="D5158" s="2" t="s">
        <v>50</v>
      </c>
      <c r="E5158" s="5">
        <v>-30886</v>
      </c>
      <c r="F5158" s="3" t="s">
        <v>140</v>
      </c>
      <c r="G5158" s="3" t="s">
        <v>88</v>
      </c>
      <c r="H5158" s="2" t="s">
        <v>72</v>
      </c>
      <c r="I5158" s="2" t="s">
        <v>12896</v>
      </c>
      <c r="J5158" s="3" t="str">
        <f>HYPERLINK("https://www.boe.es/gazeta/dias/1815/06/08/pdfs/GMD-1815-69.pdf#page=10","Abrir facsímil")</f>
        <v>Abrir facsímil</v>
      </c>
      <c r="K5158" s="3" t="s">
        <v>74</v>
      </c>
    </row>
    <row r="5159" spans="1:11" ht="42" customHeight="1">
      <c r="A5159" s="2" t="s">
        <v>12897</v>
      </c>
      <c r="B5159" s="2" t="s">
        <v>12897</v>
      </c>
      <c r="C5159" s="2" t="s">
        <v>31</v>
      </c>
      <c r="D5159" s="2" t="s">
        <v>32</v>
      </c>
      <c r="E5159" s="5">
        <v>-30702</v>
      </c>
      <c r="F5159" s="3" t="s">
        <v>196</v>
      </c>
      <c r="G5159" s="3" t="s">
        <v>410</v>
      </c>
      <c r="H5159" s="2" t="s">
        <v>72</v>
      </c>
      <c r="I5159" s="2" t="s">
        <v>12898</v>
      </c>
      <c r="J5159" s="3" t="str">
        <f>HYPERLINK("https://www.boe.es/gazeta/dias/1815/12/09/pdfs/GMD-1815-153.pdf#page=1","Abrir facsímil")</f>
        <v>Abrir facsímil</v>
      </c>
      <c r="K5159" s="3" t="s">
        <v>74</v>
      </c>
    </row>
    <row r="5160" spans="1:11" ht="42" customHeight="1">
      <c r="A5160" s="2" t="s">
        <v>12899</v>
      </c>
      <c r="B5160" s="2" t="s">
        <v>12899</v>
      </c>
      <c r="C5160" s="2" t="s">
        <v>31</v>
      </c>
      <c r="D5160" s="2" t="s">
        <v>32</v>
      </c>
      <c r="E5160" s="5">
        <v>-30928</v>
      </c>
      <c r="F5160" s="3" t="s">
        <v>330</v>
      </c>
      <c r="G5160" s="3" t="s">
        <v>377</v>
      </c>
      <c r="H5160" s="2" t="s">
        <v>72</v>
      </c>
      <c r="I5160" s="2" t="s">
        <v>12900</v>
      </c>
      <c r="J5160" s="3" t="str">
        <f>HYPERLINK("https://www.boe.es/gazeta/dias/1815/04/27/pdfs/GMD-1815-51.pdf#page=2","Abrir facsímil")</f>
        <v>Abrir facsímil</v>
      </c>
      <c r="K5160" s="3" t="s">
        <v>74</v>
      </c>
    </row>
    <row r="5161" spans="1:11" ht="42" customHeight="1">
      <c r="A5161" s="2" t="s">
        <v>12901</v>
      </c>
      <c r="B5161" s="2" t="s">
        <v>12901</v>
      </c>
      <c r="C5161" s="2" t="s">
        <v>31</v>
      </c>
      <c r="D5161" s="2" t="s">
        <v>32</v>
      </c>
      <c r="E5161" s="5">
        <v>-30921</v>
      </c>
      <c r="F5161" s="3" t="s">
        <v>191</v>
      </c>
      <c r="G5161" s="3" t="s">
        <v>410</v>
      </c>
      <c r="H5161" s="2" t="s">
        <v>72</v>
      </c>
      <c r="I5161" s="2" t="s">
        <v>12902</v>
      </c>
      <c r="J5161" s="3" t="str">
        <f>HYPERLINK("https://www.boe.es/gazeta/dias/1815/05/04/pdfs/GMD-1815-54.pdf#page=1","Abrir facsímil")</f>
        <v>Abrir facsímil</v>
      </c>
      <c r="K5161" s="3" t="s">
        <v>74</v>
      </c>
    </row>
    <row r="5162" spans="1:11" ht="42" customHeight="1">
      <c r="A5162" s="2" t="s">
        <v>12903</v>
      </c>
      <c r="B5162" s="2" t="s">
        <v>12903</v>
      </c>
      <c r="C5162" s="2" t="s">
        <v>31</v>
      </c>
      <c r="D5162" s="2" t="s">
        <v>32</v>
      </c>
      <c r="E5162" s="5">
        <v>-30832</v>
      </c>
      <c r="F5162" s="3" t="s">
        <v>266</v>
      </c>
      <c r="G5162" s="3" t="s">
        <v>97</v>
      </c>
      <c r="H5162" s="2" t="s">
        <v>72</v>
      </c>
      <c r="I5162" s="2" t="s">
        <v>12904</v>
      </c>
      <c r="J5162" s="3" t="str">
        <f>HYPERLINK("https://www.boe.es/gazeta/dias/1815/08/01/pdfs/GMD-1815-94.pdf#page=3","Abrir facsímil")</f>
        <v>Abrir facsímil</v>
      </c>
      <c r="K5162" s="3" t="s">
        <v>74</v>
      </c>
    </row>
    <row r="5163" spans="1:11" ht="42" customHeight="1">
      <c r="A5163" s="2" t="s">
        <v>12901</v>
      </c>
      <c r="B5163" s="2" t="s">
        <v>12901</v>
      </c>
      <c r="C5163" s="2" t="s">
        <v>31</v>
      </c>
      <c r="D5163" s="2" t="s">
        <v>32</v>
      </c>
      <c r="E5163" s="5">
        <v>-30830</v>
      </c>
      <c r="F5163" s="3" t="s">
        <v>33</v>
      </c>
      <c r="G5163" s="3" t="s">
        <v>377</v>
      </c>
      <c r="H5163" s="2" t="s">
        <v>72</v>
      </c>
      <c r="I5163" s="2" t="s">
        <v>12905</v>
      </c>
      <c r="J5163" s="3" t="str">
        <f>HYPERLINK("https://www.boe.es/gazeta/dias/1815/08/03/pdfs/GMD-1815-95.pdf#page=2","Abrir facsímil")</f>
        <v>Abrir facsímil</v>
      </c>
      <c r="K5163" s="3" t="s">
        <v>74</v>
      </c>
    </row>
    <row r="5164" spans="1:11" ht="42" customHeight="1">
      <c r="A5164" s="2" t="s">
        <v>12906</v>
      </c>
      <c r="B5164" s="2" t="s">
        <v>12906</v>
      </c>
      <c r="C5164" s="2" t="s">
        <v>31</v>
      </c>
      <c r="D5164" s="2" t="s">
        <v>32</v>
      </c>
      <c r="E5164" s="5">
        <v>-30753</v>
      </c>
      <c r="F5164" s="3" t="s">
        <v>1635</v>
      </c>
      <c r="G5164" s="3" t="s">
        <v>12816</v>
      </c>
      <c r="H5164" s="2" t="s">
        <v>72</v>
      </c>
      <c r="I5164" s="2" t="s">
        <v>12907</v>
      </c>
      <c r="J5164" s="3" t="str">
        <f>HYPERLINK("https://www.boe.es/gazeta/dias/1815/10/19/pdfs/GMD-1815-131.pdf#page=2","Abrir facsímil")</f>
        <v>Abrir facsímil</v>
      </c>
      <c r="K5164" s="3" t="s">
        <v>74</v>
      </c>
    </row>
    <row r="5165" spans="1:11" ht="42" customHeight="1">
      <c r="A5165" s="2" t="s">
        <v>12908</v>
      </c>
      <c r="B5165" s="2" t="s">
        <v>12908</v>
      </c>
      <c r="C5165" s="2" t="s">
        <v>31</v>
      </c>
      <c r="D5165" s="2" t="s">
        <v>32</v>
      </c>
      <c r="E5165" s="5">
        <v>-30893</v>
      </c>
      <c r="F5165" s="3" t="s">
        <v>132</v>
      </c>
      <c r="G5165" s="3" t="s">
        <v>97</v>
      </c>
      <c r="H5165" s="2" t="s">
        <v>72</v>
      </c>
      <c r="I5165" s="2" t="s">
        <v>12909</v>
      </c>
      <c r="J5165" s="3" t="str">
        <f>HYPERLINK("https://www.boe.es/gazeta/dias/1815/06/01/pdfs/GMD-1815-66.pdf#page=3","Abrir facsímil")</f>
        <v>Abrir facsímil</v>
      </c>
      <c r="K5165" s="3" t="s">
        <v>74</v>
      </c>
    </row>
    <row r="5166" spans="1:11" ht="42" customHeight="1">
      <c r="A5166" s="2" t="s">
        <v>12910</v>
      </c>
      <c r="B5166" s="2" t="s">
        <v>12910</v>
      </c>
      <c r="C5166" s="2" t="s">
        <v>31</v>
      </c>
      <c r="D5166" s="2" t="s">
        <v>32</v>
      </c>
      <c r="E5166" s="5">
        <v>-30942</v>
      </c>
      <c r="F5166" s="3" t="s">
        <v>730</v>
      </c>
      <c r="G5166" s="3" t="s">
        <v>410</v>
      </c>
      <c r="H5166" s="2" t="s">
        <v>72</v>
      </c>
      <c r="I5166" s="2" t="s">
        <v>12911</v>
      </c>
      <c r="J5166" s="3" t="str">
        <f>HYPERLINK("https://www.boe.es/gazeta/dias/1815/04/13/pdfs/GMD-1815-45.pdf#page=1","Abrir facsímil")</f>
        <v>Abrir facsímil</v>
      </c>
      <c r="K5166" s="3" t="s">
        <v>74</v>
      </c>
    </row>
    <row r="5167" spans="1:11" ht="42" customHeight="1">
      <c r="A5167" s="2" t="s">
        <v>12912</v>
      </c>
      <c r="B5167" s="2" t="s">
        <v>12913</v>
      </c>
      <c r="C5167" s="2" t="s">
        <v>31</v>
      </c>
      <c r="D5167" s="2" t="s">
        <v>32</v>
      </c>
      <c r="E5167" s="5">
        <v>-30800</v>
      </c>
      <c r="F5167" s="3" t="s">
        <v>26</v>
      </c>
      <c r="G5167" s="3" t="s">
        <v>97</v>
      </c>
      <c r="H5167" s="2" t="s">
        <v>72</v>
      </c>
      <c r="I5167" s="2" t="s">
        <v>12914</v>
      </c>
      <c r="J5167" s="3" t="str">
        <f>HYPERLINK("https://www.boe.es/gazeta/dias/1815/09/02/pdfs/GMD-1815-109.pdf#page=3","Abrir facsímil")</f>
        <v>Abrir facsímil</v>
      </c>
      <c r="K5167" s="3" t="s">
        <v>74</v>
      </c>
    </row>
    <row r="5168" spans="1:11" ht="42" customHeight="1">
      <c r="A5168" s="2" t="s">
        <v>12915</v>
      </c>
      <c r="B5168" s="2" t="s">
        <v>12916</v>
      </c>
      <c r="C5168" s="2" t="s">
        <v>49</v>
      </c>
      <c r="D5168" s="2" t="s">
        <v>50</v>
      </c>
      <c r="E5168" s="5">
        <v>-30893</v>
      </c>
      <c r="F5168" s="3" t="s">
        <v>132</v>
      </c>
      <c r="G5168" s="3" t="s">
        <v>155</v>
      </c>
      <c r="H5168" s="2" t="s">
        <v>21</v>
      </c>
      <c r="I5168" s="2" t="s">
        <v>12917</v>
      </c>
      <c r="J5168" s="3" t="str">
        <f>HYPERLINK("https://www.boe.es/gazeta/dias/1815/06/01/pdfs/GMD-1815-66.pdf#page=6","Abrir facsímil")</f>
        <v>Abrir facsímil</v>
      </c>
      <c r="K5168" s="3" t="s">
        <v>23</v>
      </c>
    </row>
    <row r="5169" spans="1:11" ht="42" customHeight="1">
      <c r="A5169" s="2" t="s">
        <v>12918</v>
      </c>
      <c r="B5169" s="2" t="s">
        <v>12919</v>
      </c>
      <c r="C5169" s="2" t="s">
        <v>31</v>
      </c>
      <c r="D5169" s="2" t="s">
        <v>32</v>
      </c>
      <c r="E5169" s="5">
        <v>-31040</v>
      </c>
      <c r="F5169" s="3" t="s">
        <v>326</v>
      </c>
      <c r="G5169" s="3" t="s">
        <v>27</v>
      </c>
      <c r="H5169" s="2" t="s">
        <v>72</v>
      </c>
      <c r="I5169" s="2" t="s">
        <v>12920</v>
      </c>
      <c r="J5169" s="3" t="str">
        <f>HYPERLINK("https://www.boe.es/gazeta/dias/1815/01/05/pdfs/GMD-1815-2.pdf#page=6","Abrir facsímil")</f>
        <v>Abrir facsímil</v>
      </c>
      <c r="K5169" s="3" t="s">
        <v>74</v>
      </c>
    </row>
    <row r="5170" spans="1:11" ht="42" customHeight="1">
      <c r="A5170" s="2" t="s">
        <v>12921</v>
      </c>
      <c r="B5170" s="2" t="s">
        <v>12922</v>
      </c>
      <c r="C5170" s="2" t="s">
        <v>49</v>
      </c>
      <c r="D5170" s="2" t="s">
        <v>50</v>
      </c>
      <c r="E5170" s="5">
        <v>-30916</v>
      </c>
      <c r="F5170" s="3" t="s">
        <v>147</v>
      </c>
      <c r="G5170" s="3" t="s">
        <v>38</v>
      </c>
      <c r="H5170" s="2" t="s">
        <v>72</v>
      </c>
      <c r="I5170" s="2" t="s">
        <v>12923</v>
      </c>
      <c r="J5170" s="3" t="str">
        <f>HYPERLINK("https://www.boe.es/gazeta/dias/1815/05/09/pdfs/GMD-1815-56.pdf#page=8","Abrir facsímil")</f>
        <v>Abrir facsímil</v>
      </c>
      <c r="K5170" s="3" t="s">
        <v>74</v>
      </c>
    </row>
    <row r="5171" spans="1:11" ht="42" customHeight="1">
      <c r="A5171" s="2" t="s">
        <v>12924</v>
      </c>
      <c r="B5171" s="2" t="s">
        <v>12925</v>
      </c>
      <c r="C5171" s="2" t="s">
        <v>31</v>
      </c>
      <c r="D5171" s="2" t="s">
        <v>32</v>
      </c>
      <c r="E5171" s="5">
        <v>-30958</v>
      </c>
      <c r="F5171" s="3" t="s">
        <v>297</v>
      </c>
      <c r="G5171" s="3" t="s">
        <v>71</v>
      </c>
      <c r="H5171" s="2" t="s">
        <v>72</v>
      </c>
      <c r="I5171" s="2" t="s">
        <v>12926</v>
      </c>
      <c r="J5171" s="3" t="str">
        <f>HYPERLINK("https://www.boe.es/gazeta/dias/1815/03/28/pdfs/GMD-1815-37.pdf#page=7","Abrir facsímil")</f>
        <v>Abrir facsímil</v>
      </c>
      <c r="K5171" s="3" t="s">
        <v>74</v>
      </c>
    </row>
    <row r="5172" spans="1:11" ht="42" customHeight="1">
      <c r="A5172" s="2" t="s">
        <v>12927</v>
      </c>
      <c r="B5172" s="2" t="s">
        <v>12927</v>
      </c>
      <c r="C5172" s="2" t="s">
        <v>31</v>
      </c>
      <c r="D5172" s="2" t="s">
        <v>32</v>
      </c>
      <c r="E5172" s="5">
        <v>-30905</v>
      </c>
      <c r="F5172" s="3" t="s">
        <v>901</v>
      </c>
      <c r="G5172" s="3" t="s">
        <v>410</v>
      </c>
      <c r="H5172" s="2" t="s">
        <v>72</v>
      </c>
      <c r="I5172" s="2" t="s">
        <v>12928</v>
      </c>
      <c r="J5172" s="3" t="str">
        <f>HYPERLINK("https://www.boe.es/gazeta/dias/1815/05/20/pdfs/GMD-1815-61.pdf#page=1","Abrir facsímil")</f>
        <v>Abrir facsímil</v>
      </c>
      <c r="K5172" s="3" t="s">
        <v>74</v>
      </c>
    </row>
    <row r="5173" spans="1:11" ht="42" customHeight="1">
      <c r="A5173" s="2" t="s">
        <v>12929</v>
      </c>
      <c r="B5173" s="2" t="s">
        <v>12930</v>
      </c>
      <c r="C5173" s="2" t="s">
        <v>31</v>
      </c>
      <c r="D5173" s="2" t="s">
        <v>32</v>
      </c>
      <c r="E5173" s="5">
        <v>-31035</v>
      </c>
      <c r="F5173" s="3" t="s">
        <v>42</v>
      </c>
      <c r="G5173" s="3" t="s">
        <v>71</v>
      </c>
      <c r="H5173" s="2" t="s">
        <v>72</v>
      </c>
      <c r="I5173" s="2" t="s">
        <v>12931</v>
      </c>
      <c r="J5173" s="3" t="str">
        <f>HYPERLINK("https://www.boe.es/gazeta/dias/1815/01/10/pdfs/GMD-1815-4.pdf#page=7","Abrir facsímil")</f>
        <v>Abrir facsímil</v>
      </c>
      <c r="K5173" s="3" t="s">
        <v>74</v>
      </c>
    </row>
    <row r="5174" spans="1:11" ht="42" customHeight="1">
      <c r="A5174" s="2" t="s">
        <v>12932</v>
      </c>
      <c r="B5174" s="2" t="s">
        <v>12933</v>
      </c>
      <c r="C5174" s="2" t="s">
        <v>49</v>
      </c>
      <c r="D5174" s="2" t="s">
        <v>50</v>
      </c>
      <c r="E5174" s="5">
        <v>-30886</v>
      </c>
      <c r="F5174" s="3" t="s">
        <v>140</v>
      </c>
      <c r="G5174" s="3" t="s">
        <v>224</v>
      </c>
      <c r="H5174" s="2" t="s">
        <v>72</v>
      </c>
      <c r="I5174" s="2" t="s">
        <v>12934</v>
      </c>
      <c r="J5174" s="3" t="str">
        <f>HYPERLINK("https://www.boe.es/gazeta/dias/1815/06/08/pdfs/GMD-1815-69.pdf#page=9","Abrir facsímil")</f>
        <v>Abrir facsímil</v>
      </c>
      <c r="K5174" s="3" t="s">
        <v>74</v>
      </c>
    </row>
    <row r="5175" spans="1:11" ht="42" customHeight="1">
      <c r="A5175" s="2" t="s">
        <v>12935</v>
      </c>
      <c r="B5175" s="2" t="s">
        <v>12936</v>
      </c>
      <c r="C5175" s="2" t="s">
        <v>49</v>
      </c>
      <c r="D5175" s="2" t="s">
        <v>50</v>
      </c>
      <c r="E5175" s="5">
        <v>-30832</v>
      </c>
      <c r="F5175" s="3" t="s">
        <v>266</v>
      </c>
      <c r="G5175" s="3" t="s">
        <v>224</v>
      </c>
      <c r="H5175" s="2" t="s">
        <v>72</v>
      </c>
      <c r="I5175" s="2" t="s">
        <v>12937</v>
      </c>
      <c r="J5175" s="3" t="str">
        <f>HYPERLINK("https://www.boe.es/gazeta/dias/1815/08/01/pdfs/GMD-1815-94.pdf#page=9","Abrir facsímil")</f>
        <v>Abrir facsímil</v>
      </c>
      <c r="K5175" s="3" t="s">
        <v>74</v>
      </c>
    </row>
    <row r="5176" spans="1:11" ht="42" customHeight="1">
      <c r="A5176" s="2" t="s">
        <v>12938</v>
      </c>
      <c r="B5176" s="2" t="s">
        <v>12938</v>
      </c>
      <c r="C5176" s="2" t="s">
        <v>31</v>
      </c>
      <c r="D5176" s="2" t="s">
        <v>32</v>
      </c>
      <c r="E5176" s="5">
        <v>-31038</v>
      </c>
      <c r="F5176" s="3" t="s">
        <v>395</v>
      </c>
      <c r="G5176" s="3" t="s">
        <v>71</v>
      </c>
      <c r="H5176" s="2" t="s">
        <v>72</v>
      </c>
      <c r="I5176" s="2" t="s">
        <v>12939</v>
      </c>
      <c r="J5176" s="3" t="str">
        <f>HYPERLINK("https://www.boe.es/gazeta/dias/1815/01/07/pdfs/GMD-1815-3.pdf#page=7","Abrir facsímil")</f>
        <v>Abrir facsímil</v>
      </c>
      <c r="K5176" s="3" t="s">
        <v>74</v>
      </c>
    </row>
    <row r="5177" spans="1:11" ht="42" customHeight="1">
      <c r="A5177" s="2" t="s">
        <v>12938</v>
      </c>
      <c r="B5177" s="2" t="s">
        <v>12938</v>
      </c>
      <c r="C5177" s="2" t="s">
        <v>17</v>
      </c>
      <c r="D5177" s="2" t="s">
        <v>18</v>
      </c>
      <c r="E5177" s="5">
        <v>-31019</v>
      </c>
      <c r="F5177" s="3" t="s">
        <v>1094</v>
      </c>
      <c r="G5177" s="3" t="s">
        <v>88</v>
      </c>
      <c r="H5177" s="2" t="s">
        <v>72</v>
      </c>
      <c r="I5177" s="2" t="s">
        <v>12940</v>
      </c>
      <c r="J5177" s="3" t="str">
        <f>HYPERLINK("https://www.boe.es/gazeta/dias/1815/01/26/pdfs/GMD-1815-11.pdf#page=10","Abrir facsímil")</f>
        <v>Abrir facsímil</v>
      </c>
      <c r="K5177" s="3" t="s">
        <v>74</v>
      </c>
    </row>
    <row r="5178" spans="1:11" ht="42" customHeight="1">
      <c r="A5178" s="2" t="s">
        <v>12938</v>
      </c>
      <c r="B5178" s="2" t="s">
        <v>12938</v>
      </c>
      <c r="C5178" s="2" t="s">
        <v>31</v>
      </c>
      <c r="D5178" s="2" t="s">
        <v>32</v>
      </c>
      <c r="E5178" s="5">
        <v>-30870</v>
      </c>
      <c r="F5178" s="3" t="s">
        <v>122</v>
      </c>
      <c r="G5178" s="3" t="s">
        <v>52</v>
      </c>
      <c r="H5178" s="2" t="s">
        <v>72</v>
      </c>
      <c r="I5178" s="2" t="s">
        <v>12941</v>
      </c>
      <c r="J5178" s="3" t="str">
        <f>HYPERLINK("https://www.boe.es/gazeta/dias/1815/06/24/pdfs/GMD-1815-76.pdf#page=11","Abrir facsímil")</f>
        <v>Abrir facsímil</v>
      </c>
      <c r="K5178" s="3" t="s">
        <v>74</v>
      </c>
    </row>
    <row r="5179" spans="1:11" ht="42" customHeight="1">
      <c r="A5179" s="2" t="s">
        <v>12938</v>
      </c>
      <c r="B5179" s="2" t="s">
        <v>12938</v>
      </c>
      <c r="C5179" s="2" t="s">
        <v>17</v>
      </c>
      <c r="D5179" s="2" t="s">
        <v>18</v>
      </c>
      <c r="E5179" s="5">
        <v>-30849</v>
      </c>
      <c r="F5179" s="3" t="s">
        <v>501</v>
      </c>
      <c r="G5179" s="3" t="s">
        <v>52</v>
      </c>
      <c r="H5179" s="2" t="s">
        <v>72</v>
      </c>
      <c r="I5179" s="2" t="s">
        <v>12942</v>
      </c>
      <c r="J5179" s="3" t="str">
        <f>HYPERLINK("https://www.boe.es/gazeta/dias/1815/07/15/pdfs/GMD-1815-87.pdf#page=11","Abrir facsímil")</f>
        <v>Abrir facsímil</v>
      </c>
      <c r="K5179" s="3" t="s">
        <v>74</v>
      </c>
    </row>
    <row r="5180" spans="1:11" ht="42" customHeight="1">
      <c r="A5180" s="2" t="s">
        <v>12938</v>
      </c>
      <c r="B5180" s="2" t="s">
        <v>12938</v>
      </c>
      <c r="C5180" s="2" t="s">
        <v>31</v>
      </c>
      <c r="D5180" s="2" t="s">
        <v>32</v>
      </c>
      <c r="E5180" s="5">
        <v>-30725</v>
      </c>
      <c r="F5180" s="3" t="s">
        <v>1535</v>
      </c>
      <c r="G5180" s="3" t="s">
        <v>5348</v>
      </c>
      <c r="H5180" s="2" t="s">
        <v>72</v>
      </c>
      <c r="I5180" s="2" t="s">
        <v>12943</v>
      </c>
      <c r="J5180" s="3" t="str">
        <f>HYPERLINK("https://www.boe.es/gazeta/dias/1815/11/16/pdfs/GMD-1815-143.pdf#page=7","Abrir facsímil")</f>
        <v>Abrir facsímil</v>
      </c>
      <c r="K5180" s="3" t="s">
        <v>74</v>
      </c>
    </row>
    <row r="5181" spans="1:11" ht="42" customHeight="1">
      <c r="A5181" s="2" t="s">
        <v>12938</v>
      </c>
      <c r="B5181" s="2" t="s">
        <v>12938</v>
      </c>
      <c r="C5181" s="2" t="s">
        <v>17</v>
      </c>
      <c r="D5181" s="2" t="s">
        <v>18</v>
      </c>
      <c r="E5181" s="5">
        <v>-30720</v>
      </c>
      <c r="F5181" s="3" t="s">
        <v>373</v>
      </c>
      <c r="G5181" s="3" t="s">
        <v>52</v>
      </c>
      <c r="H5181" s="2" t="s">
        <v>72</v>
      </c>
      <c r="I5181" s="2" t="s">
        <v>12944</v>
      </c>
      <c r="J5181" s="3" t="str">
        <f>HYPERLINK("https://www.boe.es/gazeta/dias/1815/11/21/pdfs/GMD-1815-145.pdf#page=11","Abrir facsímil")</f>
        <v>Abrir facsímil</v>
      </c>
      <c r="K5181" s="3" t="s">
        <v>74</v>
      </c>
    </row>
    <row r="5182" spans="1:11" ht="42" customHeight="1">
      <c r="A5182" s="2" t="s">
        <v>12945</v>
      </c>
      <c r="B5182" s="2" t="s">
        <v>12946</v>
      </c>
      <c r="C5182" s="2" t="s">
        <v>49</v>
      </c>
      <c r="D5182" s="2" t="s">
        <v>50</v>
      </c>
      <c r="E5182" s="5">
        <v>-30923</v>
      </c>
      <c r="F5182" s="3" t="s">
        <v>524</v>
      </c>
      <c r="G5182" s="3" t="s">
        <v>27</v>
      </c>
      <c r="H5182" s="2" t="s">
        <v>72</v>
      </c>
      <c r="I5182" s="2" t="s">
        <v>12947</v>
      </c>
      <c r="J5182" s="3" t="str">
        <f>HYPERLINK("https://www.boe.es/gazeta/dias/1815/05/02/pdfs/GMD-1815-53.pdf#page=6","Abrir facsímil")</f>
        <v>Abrir facsímil</v>
      </c>
      <c r="K5182" s="3" t="s">
        <v>74</v>
      </c>
    </row>
    <row r="5183" spans="1:11" ht="42" customHeight="1">
      <c r="A5183" s="2" t="s">
        <v>12948</v>
      </c>
      <c r="B5183" s="2" t="s">
        <v>12949</v>
      </c>
      <c r="C5183" s="2" t="s">
        <v>195</v>
      </c>
      <c r="D5183" s="2" t="s">
        <v>50</v>
      </c>
      <c r="E5183" s="5">
        <v>-31024</v>
      </c>
      <c r="F5183" s="3" t="s">
        <v>101</v>
      </c>
      <c r="G5183" s="3" t="s">
        <v>71</v>
      </c>
      <c r="H5183" s="2" t="s">
        <v>72</v>
      </c>
      <c r="I5183" s="2" t="s">
        <v>12950</v>
      </c>
      <c r="J5183" s="3" t="str">
        <f>HYPERLINK("https://www.boe.es/gazeta/dias/1815/01/21/pdfs/GMD-1815-9.pdf#page=7","Abrir facsímil")</f>
        <v>Abrir facsímil</v>
      </c>
      <c r="K5183" s="3" t="s">
        <v>74</v>
      </c>
    </row>
    <row r="5184" spans="1:11" ht="42" customHeight="1">
      <c r="A5184" s="2" t="s">
        <v>12951</v>
      </c>
      <c r="B5184" s="2" t="s">
        <v>12952</v>
      </c>
      <c r="C5184" s="2" t="s">
        <v>17</v>
      </c>
      <c r="D5184" s="2" t="s">
        <v>18</v>
      </c>
      <c r="E5184" s="5">
        <v>-30842</v>
      </c>
      <c r="F5184" s="3" t="s">
        <v>126</v>
      </c>
      <c r="G5184" s="3" t="s">
        <v>52</v>
      </c>
      <c r="H5184" s="2" t="s">
        <v>72</v>
      </c>
      <c r="I5184" s="2" t="s">
        <v>12953</v>
      </c>
      <c r="J5184" s="3" t="str">
        <f>HYPERLINK("https://www.boe.es/gazeta/dias/1815/07/22/pdfs/GMD-1815-90.pdf#page=11","Abrir facsímil")</f>
        <v>Abrir facsímil</v>
      </c>
      <c r="K5184" s="3" t="s">
        <v>74</v>
      </c>
    </row>
    <row r="5185" spans="1:11" ht="42" customHeight="1">
      <c r="A5185" s="2" t="s">
        <v>12954</v>
      </c>
      <c r="B5185" s="2" t="s">
        <v>12955</v>
      </c>
      <c r="C5185" s="2" t="s">
        <v>31</v>
      </c>
      <c r="D5185" s="2" t="s">
        <v>32</v>
      </c>
      <c r="E5185" s="5">
        <v>-30823</v>
      </c>
      <c r="F5185" s="3" t="s">
        <v>305</v>
      </c>
      <c r="G5185" s="3" t="s">
        <v>20</v>
      </c>
      <c r="H5185" s="2" t="s">
        <v>72</v>
      </c>
      <c r="I5185" s="2" t="s">
        <v>12956</v>
      </c>
      <c r="J5185" s="3" t="str">
        <f>HYPERLINK("https://www.boe.es/gazeta/dias/1815/08/10/pdfs/GMD-1815-98.pdf#page=4","Abrir facsímil")</f>
        <v>Abrir facsímil</v>
      </c>
      <c r="K5185" s="3" t="s">
        <v>74</v>
      </c>
    </row>
    <row r="5186" spans="1:11" ht="42" customHeight="1">
      <c r="A5186" s="2" t="s">
        <v>12957</v>
      </c>
      <c r="B5186" s="2" t="s">
        <v>12958</v>
      </c>
      <c r="C5186" s="2" t="s">
        <v>31</v>
      </c>
      <c r="D5186" s="2" t="s">
        <v>32</v>
      </c>
      <c r="E5186" s="5">
        <v>-30914</v>
      </c>
      <c r="F5186" s="3" t="s">
        <v>338</v>
      </c>
      <c r="G5186" s="3" t="s">
        <v>20</v>
      </c>
      <c r="H5186" s="2" t="s">
        <v>72</v>
      </c>
      <c r="I5186" s="2" t="s">
        <v>12959</v>
      </c>
      <c r="J5186" s="3" t="str">
        <f>HYPERLINK("https://www.boe.es/gazeta/dias/1815/05/11/pdfs/GMD-1815-57.pdf#page=4","Abrir facsímil")</f>
        <v>Abrir facsímil</v>
      </c>
      <c r="K5186" s="3" t="s">
        <v>74</v>
      </c>
    </row>
    <row r="5187" spans="1:11" ht="42" customHeight="1">
      <c r="A5187" s="2" t="s">
        <v>12957</v>
      </c>
      <c r="B5187" s="2" t="s">
        <v>12958</v>
      </c>
      <c r="C5187" s="2" t="s">
        <v>31</v>
      </c>
      <c r="D5187" s="2" t="s">
        <v>32</v>
      </c>
      <c r="E5187" s="5">
        <v>-30837</v>
      </c>
      <c r="F5187" s="3" t="s">
        <v>2256</v>
      </c>
      <c r="G5187" s="3" t="s">
        <v>377</v>
      </c>
      <c r="H5187" s="2" t="s">
        <v>72</v>
      </c>
      <c r="I5187" s="2" t="s">
        <v>12960</v>
      </c>
      <c r="J5187" s="3" t="str">
        <f>HYPERLINK("https://www.boe.es/gazeta/dias/1815/07/27/pdfs/GMD-1815-92.pdf#page=2","Abrir facsímil")</f>
        <v>Abrir facsímil</v>
      </c>
      <c r="K5187" s="3" t="s">
        <v>74</v>
      </c>
    </row>
    <row r="5188" spans="1:11" ht="42" customHeight="1">
      <c r="A5188" s="2" t="s">
        <v>12957</v>
      </c>
      <c r="B5188" s="2" t="s">
        <v>12958</v>
      </c>
      <c r="C5188" s="2" t="s">
        <v>31</v>
      </c>
      <c r="D5188" s="2" t="s">
        <v>32</v>
      </c>
      <c r="E5188" s="5">
        <v>-30776</v>
      </c>
      <c r="F5188" s="3" t="s">
        <v>118</v>
      </c>
      <c r="G5188" s="3" t="s">
        <v>97</v>
      </c>
      <c r="H5188" s="2" t="s">
        <v>72</v>
      </c>
      <c r="I5188" s="2" t="s">
        <v>12961</v>
      </c>
      <c r="J5188" s="3" t="str">
        <f>HYPERLINK("https://www.boe.es/gazeta/dias/1815/09/26/pdfs/GMD-1815-119.pdf#page=3","Abrir facsímil")</f>
        <v>Abrir facsímil</v>
      </c>
      <c r="K5188" s="3" t="s">
        <v>74</v>
      </c>
    </row>
    <row r="5189" spans="1:11" ht="42" customHeight="1">
      <c r="A5189" s="2" t="s">
        <v>12957</v>
      </c>
      <c r="B5189" s="2" t="s">
        <v>12958</v>
      </c>
      <c r="C5189" s="2" t="s">
        <v>31</v>
      </c>
      <c r="D5189" s="2" t="s">
        <v>32</v>
      </c>
      <c r="E5189" s="5">
        <v>-30702</v>
      </c>
      <c r="F5189" s="3" t="s">
        <v>196</v>
      </c>
      <c r="G5189" s="3" t="s">
        <v>377</v>
      </c>
      <c r="H5189" s="2" t="s">
        <v>72</v>
      </c>
      <c r="I5189" s="2" t="s">
        <v>12962</v>
      </c>
      <c r="J5189" s="3" t="str">
        <f>HYPERLINK("https://www.boe.es/gazeta/dias/1815/12/09/pdfs/GMD-1815-153.pdf#page=2","Abrir facsímil")</f>
        <v>Abrir facsímil</v>
      </c>
      <c r="K5189" s="3" t="s">
        <v>74</v>
      </c>
    </row>
    <row r="5190" spans="1:11" ht="42" customHeight="1">
      <c r="A5190" s="2" t="s">
        <v>12957</v>
      </c>
      <c r="B5190" s="2" t="s">
        <v>12958</v>
      </c>
      <c r="C5190" s="2" t="s">
        <v>17</v>
      </c>
      <c r="D5190" s="2" t="s">
        <v>18</v>
      </c>
      <c r="E5190" s="5">
        <v>-30690</v>
      </c>
      <c r="F5190" s="3" t="s">
        <v>1449</v>
      </c>
      <c r="G5190" s="3" t="s">
        <v>8031</v>
      </c>
      <c r="H5190" s="2" t="s">
        <v>72</v>
      </c>
      <c r="I5190" s="2" t="s">
        <v>12963</v>
      </c>
      <c r="J5190" s="3" t="str">
        <f>HYPERLINK("https://www.boe.es/gazeta/dias/1815/12/21/pdfs/GMD-1815-158.pdf#page=4","Abrir facsímil")</f>
        <v>Abrir facsímil</v>
      </c>
      <c r="K5190" s="3" t="s">
        <v>74</v>
      </c>
    </row>
    <row r="5191" spans="1:11" ht="42" customHeight="1">
      <c r="A5191" s="2" t="s">
        <v>12964</v>
      </c>
      <c r="B5191" s="2" t="s">
        <v>12964</v>
      </c>
      <c r="C5191" s="2" t="s">
        <v>17</v>
      </c>
      <c r="D5191" s="2" t="s">
        <v>18</v>
      </c>
      <c r="E5191" s="5">
        <v>-31028</v>
      </c>
      <c r="F5191" s="3" t="s">
        <v>517</v>
      </c>
      <c r="G5191" s="3" t="s">
        <v>38</v>
      </c>
      <c r="H5191" s="2" t="s">
        <v>72</v>
      </c>
      <c r="I5191" s="2" t="s">
        <v>12965</v>
      </c>
      <c r="J5191" s="3" t="str">
        <f>HYPERLINK("https://www.boe.es/gazeta/dias/1815/01/17/pdfs/GMD-1815-7.pdf#page=8","Abrir facsímil")</f>
        <v>Abrir facsímil</v>
      </c>
      <c r="K5191" s="3" t="s">
        <v>74</v>
      </c>
    </row>
    <row r="5192" spans="1:11" ht="42" customHeight="1">
      <c r="A5192" s="2" t="s">
        <v>12964</v>
      </c>
      <c r="B5192" s="2" t="s">
        <v>12964</v>
      </c>
      <c r="C5192" s="2" t="s">
        <v>49</v>
      </c>
      <c r="D5192" s="2" t="s">
        <v>50</v>
      </c>
      <c r="E5192" s="5">
        <v>-30942</v>
      </c>
      <c r="F5192" s="3" t="s">
        <v>730</v>
      </c>
      <c r="G5192" s="3" t="s">
        <v>862</v>
      </c>
      <c r="H5192" s="2" t="s">
        <v>72</v>
      </c>
      <c r="I5192" s="2" t="s">
        <v>12966</v>
      </c>
      <c r="J5192" s="3" t="str">
        <f>HYPERLINK("https://www.boe.es/gazeta/dias/1815/04/13/pdfs/GMD-1815-45.pdf#page=6","Abrir facsímil")</f>
        <v>Abrir facsímil</v>
      </c>
      <c r="K5192" s="3" t="s">
        <v>74</v>
      </c>
    </row>
    <row r="5193" spans="1:11" ht="42" customHeight="1">
      <c r="A5193" s="2" t="s">
        <v>12964</v>
      </c>
      <c r="B5193" s="2" t="s">
        <v>12964</v>
      </c>
      <c r="C5193" s="2" t="s">
        <v>31</v>
      </c>
      <c r="D5193" s="2" t="s">
        <v>32</v>
      </c>
      <c r="E5193" s="5">
        <v>-30940</v>
      </c>
      <c r="F5193" s="3" t="s">
        <v>610</v>
      </c>
      <c r="G5193" s="3" t="s">
        <v>38</v>
      </c>
      <c r="H5193" s="2" t="s">
        <v>72</v>
      </c>
      <c r="I5193" s="2" t="s">
        <v>12967</v>
      </c>
      <c r="J5193" s="3" t="str">
        <f>HYPERLINK("https://www.boe.es/gazeta/dias/1815/04/15/pdfs/GMD-1815-46.pdf#page=8","Abrir facsímil")</f>
        <v>Abrir facsímil</v>
      </c>
      <c r="K5193" s="3" t="s">
        <v>74</v>
      </c>
    </row>
    <row r="5194" spans="1:11" ht="42" customHeight="1">
      <c r="A5194" s="2" t="s">
        <v>12964</v>
      </c>
      <c r="B5194" s="2" t="s">
        <v>12964</v>
      </c>
      <c r="C5194" s="2" t="s">
        <v>49</v>
      </c>
      <c r="D5194" s="2" t="s">
        <v>50</v>
      </c>
      <c r="E5194" s="5">
        <v>-30886</v>
      </c>
      <c r="F5194" s="3" t="s">
        <v>140</v>
      </c>
      <c r="G5194" s="3" t="s">
        <v>38</v>
      </c>
      <c r="H5194" s="2" t="s">
        <v>72</v>
      </c>
      <c r="I5194" s="2" t="s">
        <v>12968</v>
      </c>
      <c r="J5194" s="3" t="str">
        <f>HYPERLINK("https://www.boe.es/gazeta/dias/1815/06/08/pdfs/GMD-1815-69.pdf#page=8","Abrir facsímil")</f>
        <v>Abrir facsímil</v>
      </c>
      <c r="K5194" s="3" t="s">
        <v>74</v>
      </c>
    </row>
    <row r="5195" spans="1:11" ht="42" customHeight="1">
      <c r="A5195" s="2" t="s">
        <v>12969</v>
      </c>
      <c r="B5195" s="2" t="s">
        <v>12970</v>
      </c>
      <c r="C5195" s="2" t="s">
        <v>897</v>
      </c>
      <c r="D5195" s="2" t="s">
        <v>50</v>
      </c>
      <c r="E5195" s="5">
        <v>-30849</v>
      </c>
      <c r="F5195" s="3" t="s">
        <v>501</v>
      </c>
      <c r="G5195" s="3" t="s">
        <v>276</v>
      </c>
      <c r="H5195" s="2" t="s">
        <v>72</v>
      </c>
      <c r="I5195" s="2" t="s">
        <v>12971</v>
      </c>
      <c r="J5195" s="3" t="str">
        <f>HYPERLINK("https://www.boe.es/gazeta/dias/1815/07/15/pdfs/GMD-1815-87.pdf#page=12","Abrir facsímil")</f>
        <v>Abrir facsímil</v>
      </c>
      <c r="K5195" s="3" t="s">
        <v>74</v>
      </c>
    </row>
    <row r="5196" spans="1:11" ht="42" customHeight="1">
      <c r="A5196" s="2" t="s">
        <v>12972</v>
      </c>
      <c r="B5196" s="2" t="s">
        <v>12973</v>
      </c>
      <c r="C5196" s="2" t="s">
        <v>49</v>
      </c>
      <c r="D5196" s="2" t="s">
        <v>50</v>
      </c>
      <c r="E5196" s="5">
        <v>-30921</v>
      </c>
      <c r="F5196" s="3" t="s">
        <v>191</v>
      </c>
      <c r="G5196" s="3" t="s">
        <v>71</v>
      </c>
      <c r="H5196" s="2" t="s">
        <v>72</v>
      </c>
      <c r="I5196" s="2" t="s">
        <v>12974</v>
      </c>
      <c r="J5196" s="3" t="str">
        <f>HYPERLINK("https://www.boe.es/gazeta/dias/1815/05/04/pdfs/GMD-1815-54.pdf#page=7","Abrir facsímil")</f>
        <v>Abrir facsímil</v>
      </c>
      <c r="K5196" s="3" t="s">
        <v>74</v>
      </c>
    </row>
    <row r="5197" spans="1:11" ht="42" customHeight="1">
      <c r="A5197" s="2" t="s">
        <v>12972</v>
      </c>
      <c r="B5197" s="2" t="s">
        <v>12973</v>
      </c>
      <c r="C5197" s="2" t="s">
        <v>31</v>
      </c>
      <c r="D5197" s="2" t="s">
        <v>32</v>
      </c>
      <c r="E5197" s="5">
        <v>-30699</v>
      </c>
      <c r="F5197" s="3" t="s">
        <v>810</v>
      </c>
      <c r="G5197" s="3" t="s">
        <v>38</v>
      </c>
      <c r="H5197" s="2" t="s">
        <v>72</v>
      </c>
      <c r="I5197" s="2" t="s">
        <v>12975</v>
      </c>
      <c r="J5197" s="3" t="str">
        <f>HYPERLINK("https://www.boe.es/gazeta/dias/1815/12/12/pdfs/GMD-1815-154.pdf#page=8","Abrir facsímil")</f>
        <v>Abrir facsímil</v>
      </c>
      <c r="K5197" s="3" t="s">
        <v>74</v>
      </c>
    </row>
    <row r="5198" spans="1:11" ht="42" customHeight="1">
      <c r="A5198" s="2" t="s">
        <v>12976</v>
      </c>
      <c r="B5198" s="2" t="s">
        <v>12977</v>
      </c>
      <c r="C5198" s="2" t="s">
        <v>31</v>
      </c>
      <c r="D5198" s="2" t="s">
        <v>179</v>
      </c>
      <c r="E5198" s="5">
        <v>-30860</v>
      </c>
      <c r="F5198" s="3" t="s">
        <v>180</v>
      </c>
      <c r="G5198" s="3" t="s">
        <v>377</v>
      </c>
      <c r="H5198" s="2" t="s">
        <v>21</v>
      </c>
      <c r="I5198" s="2" t="s">
        <v>12978</v>
      </c>
      <c r="J5198" s="3" t="str">
        <f>HYPERLINK("https://www.boe.es/gazeta/dias/1815/07/04/pdfs/GMD-1815-82E.pdf#page=2","Abrir facsímil")</f>
        <v>Abrir facsímil</v>
      </c>
      <c r="K5198" s="3" t="s">
        <v>23</v>
      </c>
    </row>
    <row r="5199" spans="1:11" ht="42" customHeight="1">
      <c r="A5199" s="2" t="s">
        <v>12979</v>
      </c>
      <c r="B5199" s="2" t="s">
        <v>12980</v>
      </c>
      <c r="C5199" s="2" t="s">
        <v>31</v>
      </c>
      <c r="D5199" s="2" t="s">
        <v>32</v>
      </c>
      <c r="E5199" s="5">
        <v>-31038</v>
      </c>
      <c r="F5199" s="3" t="s">
        <v>395</v>
      </c>
      <c r="G5199" s="3" t="s">
        <v>396</v>
      </c>
      <c r="H5199" s="2" t="s">
        <v>72</v>
      </c>
      <c r="I5199" s="2" t="s">
        <v>12981</v>
      </c>
      <c r="J5199" s="3" t="str">
        <f>HYPERLINK("https://www.boe.es/gazeta/dias/1815/01/07/pdfs/GMD-1815-3.pdf#page=5","Abrir facsímil")</f>
        <v>Abrir facsímil</v>
      </c>
      <c r="K5199" s="3" t="s">
        <v>74</v>
      </c>
    </row>
    <row r="5200" spans="1:11" ht="42" customHeight="1">
      <c r="A5200" s="2" t="s">
        <v>12982</v>
      </c>
      <c r="B5200" s="2" t="s">
        <v>12982</v>
      </c>
      <c r="C5200" s="2" t="s">
        <v>31</v>
      </c>
      <c r="D5200" s="2" t="s">
        <v>32</v>
      </c>
      <c r="E5200" s="5">
        <v>-30905</v>
      </c>
      <c r="F5200" s="3" t="s">
        <v>901</v>
      </c>
      <c r="G5200" s="3" t="s">
        <v>20</v>
      </c>
      <c r="H5200" s="2" t="s">
        <v>72</v>
      </c>
      <c r="I5200" s="2" t="s">
        <v>12983</v>
      </c>
      <c r="J5200" s="3" t="str">
        <f>HYPERLINK("https://www.boe.es/gazeta/dias/1815/05/20/pdfs/GMD-1815-61.pdf#page=4","Abrir facsímil")</f>
        <v>Abrir facsímil</v>
      </c>
      <c r="K5200" s="3" t="s">
        <v>74</v>
      </c>
    </row>
    <row r="5201" spans="1:11" ht="42" customHeight="1">
      <c r="A5201" s="2" t="s">
        <v>12984</v>
      </c>
      <c r="B5201" s="2" t="s">
        <v>12985</v>
      </c>
      <c r="C5201" s="2" t="s">
        <v>31</v>
      </c>
      <c r="D5201" s="2" t="s">
        <v>32</v>
      </c>
      <c r="E5201" s="5">
        <v>-31038</v>
      </c>
      <c r="F5201" s="3" t="s">
        <v>395</v>
      </c>
      <c r="G5201" s="3" t="s">
        <v>396</v>
      </c>
      <c r="H5201" s="2" t="s">
        <v>72</v>
      </c>
      <c r="I5201" s="2" t="s">
        <v>12986</v>
      </c>
      <c r="J5201" s="3" t="str">
        <f>HYPERLINK("https://www.boe.es/gazeta/dias/1815/01/07/pdfs/GMD-1815-3.pdf#page=5","Abrir facsímil")</f>
        <v>Abrir facsímil</v>
      </c>
      <c r="K5201" s="3" t="s">
        <v>74</v>
      </c>
    </row>
    <row r="5202" spans="1:11" ht="42" customHeight="1">
      <c r="A5202" s="2" t="s">
        <v>12984</v>
      </c>
      <c r="B5202" s="2" t="s">
        <v>12985</v>
      </c>
      <c r="C5202" s="2" t="s">
        <v>49</v>
      </c>
      <c r="D5202" s="2" t="s">
        <v>50</v>
      </c>
      <c r="E5202" s="5">
        <v>-30886</v>
      </c>
      <c r="F5202" s="3" t="s">
        <v>140</v>
      </c>
      <c r="G5202" s="3" t="s">
        <v>224</v>
      </c>
      <c r="H5202" s="2" t="s">
        <v>72</v>
      </c>
      <c r="I5202" s="2" t="s">
        <v>12987</v>
      </c>
      <c r="J5202" s="3" t="str">
        <f>HYPERLINK("https://www.boe.es/gazeta/dias/1815/06/08/pdfs/GMD-1815-69.pdf#page=9","Abrir facsímil")</f>
        <v>Abrir facsímil</v>
      </c>
      <c r="K5202" s="3" t="s">
        <v>74</v>
      </c>
    </row>
    <row r="5203" spans="1:11" ht="42" customHeight="1">
      <c r="A5203" s="2" t="s">
        <v>12988</v>
      </c>
      <c r="B5203" s="2" t="s">
        <v>12988</v>
      </c>
      <c r="C5203" s="2" t="s">
        <v>81</v>
      </c>
      <c r="D5203" s="2" t="s">
        <v>50</v>
      </c>
      <c r="E5203" s="5">
        <v>-30870</v>
      </c>
      <c r="F5203" s="3" t="s">
        <v>122</v>
      </c>
      <c r="G5203" s="3" t="s">
        <v>224</v>
      </c>
      <c r="H5203" s="2" t="s">
        <v>72</v>
      </c>
      <c r="I5203" s="2" t="s">
        <v>12989</v>
      </c>
      <c r="J5203" s="3" t="str">
        <f>HYPERLINK("https://www.boe.es/gazeta/dias/1815/06/24/pdfs/GMD-1815-76.pdf#page=9","Abrir facsímil")</f>
        <v>Abrir facsímil</v>
      </c>
      <c r="K5203" s="3" t="s">
        <v>74</v>
      </c>
    </row>
    <row r="5204" spans="1:11" ht="42" customHeight="1">
      <c r="A5204" s="2" t="s">
        <v>12990</v>
      </c>
      <c r="B5204" s="2" t="s">
        <v>12991</v>
      </c>
      <c r="C5204" s="2" t="s">
        <v>195</v>
      </c>
      <c r="D5204" s="2" t="s">
        <v>50</v>
      </c>
      <c r="E5204" s="5">
        <v>-31000</v>
      </c>
      <c r="F5204" s="3" t="s">
        <v>70</v>
      </c>
      <c r="G5204" s="3" t="s">
        <v>71</v>
      </c>
      <c r="H5204" s="2" t="s">
        <v>72</v>
      </c>
      <c r="I5204" s="2" t="s">
        <v>12992</v>
      </c>
      <c r="J5204" s="3" t="str">
        <f>HYPERLINK("https://www.boe.es/gazeta/dias/1815/02/14/pdfs/GMD-1815-19.pdf#page=7","Abrir facsímil")</f>
        <v>Abrir facsímil</v>
      </c>
      <c r="K5204" s="3" t="s">
        <v>74</v>
      </c>
    </row>
    <row r="5205" spans="1:11" ht="42" customHeight="1">
      <c r="A5205" s="2" t="s">
        <v>12993</v>
      </c>
      <c r="B5205" s="2" t="s">
        <v>12994</v>
      </c>
      <c r="C5205" s="2" t="s">
        <v>49</v>
      </c>
      <c r="D5205" s="2" t="s">
        <v>50</v>
      </c>
      <c r="E5205" s="5">
        <v>-30734</v>
      </c>
      <c r="F5205" s="3" t="s">
        <v>376</v>
      </c>
      <c r="G5205" s="3" t="s">
        <v>20</v>
      </c>
      <c r="H5205" s="2" t="s">
        <v>21</v>
      </c>
      <c r="I5205" s="2" t="s">
        <v>12995</v>
      </c>
      <c r="J5205" s="3" t="str">
        <f>HYPERLINK("https://www.boe.es/gazeta/dias/1815/11/07/pdfs/GMD-1815-139.pdf#page=4","Abrir facsímil")</f>
        <v>Abrir facsímil</v>
      </c>
      <c r="K5205" s="3" t="s">
        <v>23</v>
      </c>
    </row>
    <row r="5206" spans="1:11" ht="42" customHeight="1">
      <c r="A5206" s="2" t="s">
        <v>12996</v>
      </c>
      <c r="B5206" s="2" t="s">
        <v>12997</v>
      </c>
      <c r="C5206" s="2" t="s">
        <v>49</v>
      </c>
      <c r="D5206" s="2" t="s">
        <v>50</v>
      </c>
      <c r="E5206" s="5">
        <v>-30695</v>
      </c>
      <c r="F5206" s="3" t="s">
        <v>824</v>
      </c>
      <c r="G5206" s="3" t="s">
        <v>38</v>
      </c>
      <c r="H5206" s="2" t="s">
        <v>72</v>
      </c>
      <c r="I5206" s="2" t="s">
        <v>12998</v>
      </c>
      <c r="J5206" s="3" t="str">
        <f>HYPERLINK("https://www.boe.es/gazeta/dias/1815/12/16/pdfs/GMD-1815-156.pdf#page=8","Abrir facsímil")</f>
        <v>Abrir facsímil</v>
      </c>
      <c r="K5206" s="3" t="s">
        <v>74</v>
      </c>
    </row>
    <row r="5207" spans="1:11" ht="42" customHeight="1">
      <c r="A5207" s="2" t="s">
        <v>12999</v>
      </c>
      <c r="B5207" s="2" t="s">
        <v>13000</v>
      </c>
      <c r="C5207" s="2" t="s">
        <v>61</v>
      </c>
      <c r="D5207" s="2" t="s">
        <v>50</v>
      </c>
      <c r="E5207" s="5">
        <v>-31038</v>
      </c>
      <c r="F5207" s="3" t="s">
        <v>395</v>
      </c>
      <c r="G5207" s="3" t="s">
        <v>71</v>
      </c>
      <c r="H5207" s="2" t="s">
        <v>72</v>
      </c>
      <c r="I5207" s="2" t="s">
        <v>13001</v>
      </c>
      <c r="J5207" s="3" t="str">
        <f>HYPERLINK("https://www.boe.es/gazeta/dias/1815/01/07/pdfs/GMD-1815-3.pdf#page=7","Abrir facsímil")</f>
        <v>Abrir facsímil</v>
      </c>
      <c r="K5207" s="3" t="s">
        <v>74</v>
      </c>
    </row>
    <row r="5208" spans="1:11" ht="42" customHeight="1">
      <c r="A5208" s="2" t="s">
        <v>13002</v>
      </c>
      <c r="B5208" s="2" t="s">
        <v>13003</v>
      </c>
      <c r="C5208" s="2" t="s">
        <v>17</v>
      </c>
      <c r="D5208" s="2" t="s">
        <v>18</v>
      </c>
      <c r="E5208" s="5">
        <v>-30825</v>
      </c>
      <c r="F5208" s="3" t="s">
        <v>669</v>
      </c>
      <c r="G5208" s="3" t="s">
        <v>88</v>
      </c>
      <c r="H5208" s="2" t="s">
        <v>72</v>
      </c>
      <c r="I5208" s="2" t="s">
        <v>13004</v>
      </c>
      <c r="J5208" s="3" t="str">
        <f>HYPERLINK("https://www.boe.es/gazeta/dias/1815/08/08/pdfs/GMD-1815-97.pdf#page=10","Abrir facsímil")</f>
        <v>Abrir facsímil</v>
      </c>
      <c r="K5208" s="3" t="s">
        <v>74</v>
      </c>
    </row>
    <row r="5209" spans="1:11" ht="42" customHeight="1">
      <c r="A5209" s="2" t="s">
        <v>13005</v>
      </c>
      <c r="B5209" s="2" t="s">
        <v>13006</v>
      </c>
      <c r="C5209" s="2" t="s">
        <v>49</v>
      </c>
      <c r="D5209" s="2" t="s">
        <v>50</v>
      </c>
      <c r="E5209" s="5">
        <v>-30870</v>
      </c>
      <c r="F5209" s="3" t="s">
        <v>122</v>
      </c>
      <c r="G5209" s="3" t="s">
        <v>52</v>
      </c>
      <c r="H5209" s="2" t="s">
        <v>72</v>
      </c>
      <c r="I5209" s="2" t="s">
        <v>13007</v>
      </c>
      <c r="J5209" s="3" t="str">
        <f>HYPERLINK("https://www.boe.es/gazeta/dias/1815/06/24/pdfs/GMD-1815-76.pdf#page=11","Abrir facsímil")</f>
        <v>Abrir facsímil</v>
      </c>
      <c r="K5209" s="3" t="s">
        <v>74</v>
      </c>
    </row>
    <row r="5210" spans="1:11" ht="42" customHeight="1">
      <c r="A5210" s="2" t="s">
        <v>13008</v>
      </c>
      <c r="B5210" s="2" t="s">
        <v>13009</v>
      </c>
      <c r="C5210" s="2" t="s">
        <v>31</v>
      </c>
      <c r="D5210" s="2" t="s">
        <v>32</v>
      </c>
      <c r="E5210" s="5">
        <v>-30874</v>
      </c>
      <c r="F5210" s="3" t="s">
        <v>208</v>
      </c>
      <c r="G5210" s="3" t="s">
        <v>27</v>
      </c>
      <c r="H5210" s="2" t="s">
        <v>72</v>
      </c>
      <c r="I5210" s="2" t="s">
        <v>13010</v>
      </c>
      <c r="J5210" s="3" t="str">
        <f>HYPERLINK("https://www.boe.es/gazeta/dias/1815/06/20/pdfs/GMD-1815-74.pdf#page=6","Abrir facsímil")</f>
        <v>Abrir facsímil</v>
      </c>
      <c r="K5210" s="3" t="s">
        <v>74</v>
      </c>
    </row>
    <row r="5211" spans="1:11" ht="42" customHeight="1">
      <c r="A5211" s="2" t="s">
        <v>13011</v>
      </c>
      <c r="B5211" s="2" t="s">
        <v>13012</v>
      </c>
      <c r="C5211" s="2" t="s">
        <v>195</v>
      </c>
      <c r="D5211" s="2" t="s">
        <v>50</v>
      </c>
      <c r="E5211" s="5">
        <v>-30874</v>
      </c>
      <c r="F5211" s="3" t="s">
        <v>208</v>
      </c>
      <c r="G5211" s="3" t="s">
        <v>71</v>
      </c>
      <c r="H5211" s="2" t="s">
        <v>72</v>
      </c>
      <c r="I5211" s="2" t="s">
        <v>13013</v>
      </c>
      <c r="J5211" s="3" t="str">
        <f>HYPERLINK("https://www.boe.es/gazeta/dias/1815/06/20/pdfs/GMD-1815-74.pdf#page=7","Abrir facsímil")</f>
        <v>Abrir facsímil</v>
      </c>
      <c r="K5211" s="3" t="s">
        <v>74</v>
      </c>
    </row>
    <row r="5212" spans="1:11" ht="42" customHeight="1">
      <c r="A5212" s="2" t="s">
        <v>13014</v>
      </c>
      <c r="B5212" s="2" t="s">
        <v>13015</v>
      </c>
      <c r="C5212" s="2" t="s">
        <v>17</v>
      </c>
      <c r="D5212" s="2" t="s">
        <v>18</v>
      </c>
      <c r="E5212" s="5">
        <v>-30851</v>
      </c>
      <c r="F5212" s="3" t="s">
        <v>442</v>
      </c>
      <c r="G5212" s="3" t="s">
        <v>71</v>
      </c>
      <c r="H5212" s="2" t="s">
        <v>72</v>
      </c>
      <c r="I5212" s="2" t="s">
        <v>13016</v>
      </c>
      <c r="J5212" s="3" t="str">
        <f>HYPERLINK("https://www.boe.es/gazeta/dias/1815/07/13/pdfs/GMD-1815-86.pdf#page=7","Abrir facsímil")</f>
        <v>Abrir facsímil</v>
      </c>
      <c r="K5212" s="3" t="s">
        <v>74</v>
      </c>
    </row>
    <row r="5213" spans="1:11" ht="42" customHeight="1">
      <c r="A5213" s="2" t="s">
        <v>13017</v>
      </c>
      <c r="B5213" s="2" t="s">
        <v>13018</v>
      </c>
      <c r="C5213" s="2" t="s">
        <v>17</v>
      </c>
      <c r="D5213" s="2" t="s">
        <v>18</v>
      </c>
      <c r="E5213" s="5">
        <v>-30928</v>
      </c>
      <c r="F5213" s="3" t="s">
        <v>330</v>
      </c>
      <c r="G5213" s="3" t="s">
        <v>27</v>
      </c>
      <c r="H5213" s="2" t="s">
        <v>72</v>
      </c>
      <c r="I5213" s="2" t="s">
        <v>13019</v>
      </c>
      <c r="J5213" s="3" t="str">
        <f>HYPERLINK("https://www.boe.es/gazeta/dias/1815/04/27/pdfs/GMD-1815-51.pdf#page=6","Abrir facsímil")</f>
        <v>Abrir facsímil</v>
      </c>
      <c r="K5213" s="3" t="s">
        <v>74</v>
      </c>
    </row>
    <row r="5214" spans="1:11" ht="42" customHeight="1">
      <c r="A5214" s="2" t="s">
        <v>13020</v>
      </c>
      <c r="B5214" s="2" t="s">
        <v>13021</v>
      </c>
      <c r="C5214" s="2" t="s">
        <v>31</v>
      </c>
      <c r="D5214" s="2" t="s">
        <v>32</v>
      </c>
      <c r="E5214" s="5">
        <v>-31007</v>
      </c>
      <c r="F5214" s="3" t="s">
        <v>200</v>
      </c>
      <c r="G5214" s="3" t="s">
        <v>276</v>
      </c>
      <c r="H5214" s="2" t="s">
        <v>72</v>
      </c>
      <c r="I5214" s="2" t="s">
        <v>13022</v>
      </c>
      <c r="J5214" s="3" t="str">
        <f>HYPERLINK("https://www.boe.es/gazeta/dias/1815/02/07/pdfs/GMD-1815-16.pdf#page=12","Abrir facsímil")</f>
        <v>Abrir facsímil</v>
      </c>
      <c r="K5214" s="3" t="s">
        <v>74</v>
      </c>
    </row>
    <row r="5215" spans="1:11" ht="42" customHeight="1">
      <c r="A5215" s="2" t="s">
        <v>13023</v>
      </c>
      <c r="B5215" s="2" t="s">
        <v>13023</v>
      </c>
      <c r="C5215" s="2" t="s">
        <v>31</v>
      </c>
      <c r="D5215" s="2" t="s">
        <v>32</v>
      </c>
      <c r="E5215" s="5">
        <v>-30912</v>
      </c>
      <c r="F5215" s="3" t="s">
        <v>579</v>
      </c>
      <c r="G5215" s="3" t="s">
        <v>377</v>
      </c>
      <c r="H5215" s="2" t="s">
        <v>72</v>
      </c>
      <c r="I5215" s="2" t="s">
        <v>13024</v>
      </c>
      <c r="J5215" s="3" t="str">
        <f>HYPERLINK("https://www.boe.es/gazeta/dias/1815/05/13/pdfs/GMD-1815-58.pdf#page=2","Abrir facsímil")</f>
        <v>Abrir facsímil</v>
      </c>
      <c r="K5215" s="3" t="s">
        <v>74</v>
      </c>
    </row>
    <row r="5216" spans="1:11" ht="42" customHeight="1">
      <c r="A5216" s="2" t="s">
        <v>13025</v>
      </c>
      <c r="B5216" s="2" t="s">
        <v>13026</v>
      </c>
      <c r="C5216" s="2" t="s">
        <v>17</v>
      </c>
      <c r="D5216" s="2" t="s">
        <v>18</v>
      </c>
      <c r="E5216" s="5">
        <v>-30928</v>
      </c>
      <c r="F5216" s="3" t="s">
        <v>330</v>
      </c>
      <c r="G5216" s="3" t="s">
        <v>27</v>
      </c>
      <c r="H5216" s="2" t="s">
        <v>72</v>
      </c>
      <c r="I5216" s="2" t="s">
        <v>13027</v>
      </c>
      <c r="J5216" s="3" t="str">
        <f>HYPERLINK("https://www.boe.es/gazeta/dias/1815/04/27/pdfs/GMD-1815-51.pdf#page=6","Abrir facsímil")</f>
        <v>Abrir facsímil</v>
      </c>
      <c r="K5216" s="3" t="s">
        <v>74</v>
      </c>
    </row>
    <row r="5217" spans="1:11" ht="42" customHeight="1">
      <c r="A5217" s="2" t="s">
        <v>13028</v>
      </c>
      <c r="B5217" s="2" t="s">
        <v>13029</v>
      </c>
      <c r="C5217" s="2" t="s">
        <v>31</v>
      </c>
      <c r="D5217" s="2" t="s">
        <v>32</v>
      </c>
      <c r="E5217" s="5">
        <v>-30891</v>
      </c>
      <c r="F5217" s="3" t="s">
        <v>498</v>
      </c>
      <c r="G5217" s="3" t="s">
        <v>27</v>
      </c>
      <c r="H5217" s="2" t="s">
        <v>72</v>
      </c>
      <c r="I5217" s="2" t="s">
        <v>13030</v>
      </c>
      <c r="J5217" s="3" t="str">
        <f>HYPERLINK("https://www.boe.es/gazeta/dias/1815/06/03/pdfs/GMD-1815-67.pdf#page=6","Abrir facsímil")</f>
        <v>Abrir facsímil</v>
      </c>
      <c r="K5217" s="3" t="s">
        <v>74</v>
      </c>
    </row>
    <row r="5218" spans="1:11" ht="42" customHeight="1">
      <c r="A5218" s="2" t="s">
        <v>13031</v>
      </c>
      <c r="B5218" s="2" t="s">
        <v>13032</v>
      </c>
      <c r="C5218" s="2" t="s">
        <v>17</v>
      </c>
      <c r="D5218" s="2" t="s">
        <v>18</v>
      </c>
      <c r="E5218" s="5">
        <v>-30989</v>
      </c>
      <c r="F5218" s="3" t="s">
        <v>2441</v>
      </c>
      <c r="G5218" s="3" t="s">
        <v>27</v>
      </c>
      <c r="H5218" s="2" t="s">
        <v>72</v>
      </c>
      <c r="I5218" s="2" t="s">
        <v>13033</v>
      </c>
      <c r="J5218" s="3" t="str">
        <f>HYPERLINK("https://www.boe.es/gazeta/dias/1815/02/25/pdfs/GMD-1815-24.pdf#page=6","Abrir facsímil")</f>
        <v>Abrir facsímil</v>
      </c>
      <c r="K5218" s="3" t="s">
        <v>74</v>
      </c>
    </row>
    <row r="5219" spans="1:11" ht="42" customHeight="1">
      <c r="A5219" s="2" t="s">
        <v>13031</v>
      </c>
      <c r="B5219" s="2" t="s">
        <v>13032</v>
      </c>
      <c r="C5219" s="2" t="s">
        <v>61</v>
      </c>
      <c r="D5219" s="2" t="s">
        <v>50</v>
      </c>
      <c r="E5219" s="5">
        <v>-30989</v>
      </c>
      <c r="F5219" s="3" t="s">
        <v>2441</v>
      </c>
      <c r="G5219" s="3" t="s">
        <v>71</v>
      </c>
      <c r="H5219" s="2" t="s">
        <v>72</v>
      </c>
      <c r="I5219" s="2" t="s">
        <v>13034</v>
      </c>
      <c r="J5219" s="3" t="str">
        <f>HYPERLINK("https://www.boe.es/gazeta/dias/1815/02/25/pdfs/GMD-1815-24.pdf#page=7","Abrir facsímil")</f>
        <v>Abrir facsímil</v>
      </c>
      <c r="K5219" s="3" t="s">
        <v>74</v>
      </c>
    </row>
    <row r="5220" spans="1:11" ht="42" customHeight="1">
      <c r="A5220" s="2" t="s">
        <v>13031</v>
      </c>
      <c r="B5220" s="2" t="s">
        <v>13032</v>
      </c>
      <c r="C5220" s="2" t="s">
        <v>61</v>
      </c>
      <c r="D5220" s="2" t="s">
        <v>50</v>
      </c>
      <c r="E5220" s="5">
        <v>-30795</v>
      </c>
      <c r="F5220" s="3" t="s">
        <v>172</v>
      </c>
      <c r="G5220" s="3" t="s">
        <v>52</v>
      </c>
      <c r="H5220" s="2" t="s">
        <v>72</v>
      </c>
      <c r="I5220" s="2" t="s">
        <v>13035</v>
      </c>
      <c r="J5220" s="3" t="str">
        <f>HYPERLINK("https://www.boe.es/gazeta/dias/1815/09/07/pdfs/GMD-1815-111.pdf#page=11","Abrir facsímil")</f>
        <v>Abrir facsímil</v>
      </c>
      <c r="K5220" s="3" t="s">
        <v>74</v>
      </c>
    </row>
    <row r="5221" spans="1:11" ht="42" customHeight="1">
      <c r="A5221" s="2" t="s">
        <v>13031</v>
      </c>
      <c r="B5221" s="2" t="s">
        <v>13032</v>
      </c>
      <c r="C5221" s="2" t="s">
        <v>61</v>
      </c>
      <c r="D5221" s="2" t="s">
        <v>50</v>
      </c>
      <c r="E5221" s="5">
        <v>-30765</v>
      </c>
      <c r="F5221" s="3" t="s">
        <v>2150</v>
      </c>
      <c r="G5221" s="3" t="s">
        <v>20</v>
      </c>
      <c r="H5221" s="2" t="s">
        <v>72</v>
      </c>
      <c r="I5221" s="2" t="s">
        <v>13036</v>
      </c>
      <c r="J5221" s="3" t="str">
        <f>HYPERLINK("https://www.boe.es/gazeta/dias/1815/10/07/pdfs/GMD-1815-126.pdf#page=4","Abrir facsímil")</f>
        <v>Abrir facsímil</v>
      </c>
      <c r="K5221" s="3" t="s">
        <v>74</v>
      </c>
    </row>
    <row r="5222" spans="1:11" ht="42" customHeight="1">
      <c r="A5222" s="2" t="s">
        <v>13037</v>
      </c>
      <c r="B5222" s="2" t="s">
        <v>13038</v>
      </c>
      <c r="C5222" s="2" t="s">
        <v>31</v>
      </c>
      <c r="D5222" s="2" t="s">
        <v>32</v>
      </c>
      <c r="E5222" s="5">
        <v>-30713</v>
      </c>
      <c r="F5222" s="3" t="s">
        <v>895</v>
      </c>
      <c r="G5222" s="3" t="s">
        <v>71</v>
      </c>
      <c r="H5222" s="2" t="s">
        <v>21</v>
      </c>
      <c r="I5222" s="2" t="s">
        <v>13039</v>
      </c>
      <c r="J5222" s="3" t="str">
        <f>HYPERLINK("https://www.boe.es/gazeta/dias/1815/11/28/pdfs/GMD-1815-148.pdf#page=7","Abrir facsímil")</f>
        <v>Abrir facsímil</v>
      </c>
      <c r="K5222" s="3" t="s">
        <v>23</v>
      </c>
    </row>
    <row r="5223" spans="1:11" ht="42" customHeight="1">
      <c r="A5223" s="2" t="s">
        <v>13040</v>
      </c>
      <c r="B5223" s="2" t="s">
        <v>13041</v>
      </c>
      <c r="C5223" s="2" t="s">
        <v>61</v>
      </c>
      <c r="D5223" s="2" t="s">
        <v>50</v>
      </c>
      <c r="E5223" s="5">
        <v>-30914</v>
      </c>
      <c r="F5223" s="3" t="s">
        <v>338</v>
      </c>
      <c r="G5223" s="3" t="s">
        <v>88</v>
      </c>
      <c r="H5223" s="2" t="s">
        <v>72</v>
      </c>
      <c r="I5223" s="2" t="s">
        <v>13042</v>
      </c>
      <c r="J5223" s="3" t="str">
        <f>HYPERLINK("https://www.boe.es/gazeta/dias/1815/05/11/pdfs/GMD-1815-57.pdf#page=10","Abrir facsímil")</f>
        <v>Abrir facsímil</v>
      </c>
      <c r="K5223" s="3" t="s">
        <v>74</v>
      </c>
    </row>
    <row r="5224" spans="1:11" ht="42" customHeight="1">
      <c r="A5224" s="2" t="s">
        <v>13043</v>
      </c>
      <c r="B5224" s="2" t="s">
        <v>13044</v>
      </c>
      <c r="C5224" s="2" t="s">
        <v>17</v>
      </c>
      <c r="D5224" s="2" t="s">
        <v>18</v>
      </c>
      <c r="E5224" s="5">
        <v>-31012</v>
      </c>
      <c r="F5224" s="3" t="s">
        <v>529</v>
      </c>
      <c r="G5224" s="3" t="s">
        <v>20</v>
      </c>
      <c r="H5224" s="2" t="s">
        <v>72</v>
      </c>
      <c r="I5224" s="2" t="s">
        <v>13045</v>
      </c>
      <c r="J5224" s="3" t="str">
        <f>HYPERLINK("https://www.boe.es/gazeta/dias/1815/02/02/pdfs/GMD-1815-14.pdf#page=4","Abrir facsímil")</f>
        <v>Abrir facsímil</v>
      </c>
      <c r="K5224" s="3" t="s">
        <v>74</v>
      </c>
    </row>
    <row r="5225" spans="1:11" ht="42" customHeight="1">
      <c r="A5225" s="2" t="s">
        <v>13043</v>
      </c>
      <c r="B5225" s="2" t="s">
        <v>13044</v>
      </c>
      <c r="C5225" s="2" t="s">
        <v>17</v>
      </c>
      <c r="D5225" s="2" t="s">
        <v>18</v>
      </c>
      <c r="E5225" s="5">
        <v>-30692</v>
      </c>
      <c r="F5225" s="3" t="s">
        <v>508</v>
      </c>
      <c r="G5225" s="3" t="s">
        <v>1353</v>
      </c>
      <c r="H5225" s="2" t="s">
        <v>72</v>
      </c>
      <c r="I5225" s="2" t="s">
        <v>13046</v>
      </c>
      <c r="J5225" s="3" t="str">
        <f>HYPERLINK("https://www.boe.es/gazeta/dias/1815/12/19/pdfs/GMD-1815-157.pdf#page=7","Abrir facsímil")</f>
        <v>Abrir facsímil</v>
      </c>
      <c r="K5225" s="3" t="s">
        <v>74</v>
      </c>
    </row>
    <row r="5226" spans="1:11" ht="42" customHeight="1">
      <c r="A5226" s="2" t="s">
        <v>13047</v>
      </c>
      <c r="B5226" s="2" t="s">
        <v>13048</v>
      </c>
      <c r="C5226" s="2" t="s">
        <v>49</v>
      </c>
      <c r="D5226" s="2" t="s">
        <v>50</v>
      </c>
      <c r="E5226" s="5">
        <v>-30865</v>
      </c>
      <c r="F5226" s="3" t="s">
        <v>163</v>
      </c>
      <c r="G5226" s="3" t="s">
        <v>71</v>
      </c>
      <c r="H5226" s="2" t="s">
        <v>72</v>
      </c>
      <c r="I5226" s="2" t="s">
        <v>13049</v>
      </c>
      <c r="J5226" s="3" t="str">
        <f>HYPERLINK("https://www.boe.es/gazeta/dias/1815/06/29/pdfs/GMD-1815-78.pdf#page=7","Abrir facsímil")</f>
        <v>Abrir facsímil</v>
      </c>
      <c r="K5226" s="3" t="s">
        <v>74</v>
      </c>
    </row>
    <row r="5227" spans="1:11" ht="42" customHeight="1">
      <c r="A5227" s="2" t="s">
        <v>13050</v>
      </c>
      <c r="B5227" s="2" t="s">
        <v>13051</v>
      </c>
      <c r="C5227" s="2" t="s">
        <v>17</v>
      </c>
      <c r="D5227" s="2" t="s">
        <v>18</v>
      </c>
      <c r="E5227" s="5">
        <v>-31040</v>
      </c>
      <c r="F5227" s="3" t="s">
        <v>326</v>
      </c>
      <c r="G5227" s="3" t="s">
        <v>71</v>
      </c>
      <c r="H5227" s="2" t="s">
        <v>21</v>
      </c>
      <c r="I5227" s="2" t="s">
        <v>13052</v>
      </c>
      <c r="J5227" s="3" t="str">
        <f>HYPERLINK("https://www.boe.es/gazeta/dias/1815/01/05/pdfs/GMD-1815-2.pdf#page=7","Abrir facsímil")</f>
        <v>Abrir facsímil</v>
      </c>
      <c r="K5227" s="3" t="s">
        <v>23</v>
      </c>
    </row>
    <row r="5228" spans="1:11" ht="42" customHeight="1">
      <c r="A5228" s="2" t="s">
        <v>13053</v>
      </c>
      <c r="B5228" s="2" t="s">
        <v>13054</v>
      </c>
      <c r="C5228" s="2" t="s">
        <v>17</v>
      </c>
      <c r="D5228" s="2" t="s">
        <v>18</v>
      </c>
      <c r="E5228" s="5">
        <v>-31010</v>
      </c>
      <c r="F5228" s="3" t="s">
        <v>1098</v>
      </c>
      <c r="G5228" s="3" t="s">
        <v>8707</v>
      </c>
      <c r="H5228" s="2" t="s">
        <v>72</v>
      </c>
      <c r="I5228" s="2" t="s">
        <v>13055</v>
      </c>
      <c r="J5228" s="3" t="str">
        <f>HYPERLINK("https://www.boe.es/gazeta/dias/1815/02/04/pdfs/GMD-1815-15.pdf#page=7","Abrir facsímil")</f>
        <v>Abrir facsímil</v>
      </c>
      <c r="K5228" s="3" t="s">
        <v>74</v>
      </c>
    </row>
    <row r="5229" spans="1:11" ht="42" customHeight="1">
      <c r="A5229" s="2" t="s">
        <v>13053</v>
      </c>
      <c r="B5229" s="2" t="s">
        <v>13054</v>
      </c>
      <c r="C5229" s="2" t="s">
        <v>17</v>
      </c>
      <c r="D5229" s="2" t="s">
        <v>18</v>
      </c>
      <c r="E5229" s="5">
        <v>-30984</v>
      </c>
      <c r="F5229" s="3" t="s">
        <v>748</v>
      </c>
      <c r="G5229" s="3" t="s">
        <v>4039</v>
      </c>
      <c r="H5229" s="2" t="s">
        <v>72</v>
      </c>
      <c r="I5229" s="2" t="s">
        <v>13056</v>
      </c>
      <c r="J5229" s="3" t="str">
        <f>HYPERLINK("https://www.boe.es/gazeta/dias/1815/03/02/pdfs/GMD-1815-26.pdf#page=7","Abrir facsímil")</f>
        <v>Abrir facsímil</v>
      </c>
      <c r="K5229" s="3" t="s">
        <v>74</v>
      </c>
    </row>
    <row r="5230" spans="1:11" ht="42" customHeight="1">
      <c r="A5230" s="2" t="s">
        <v>13053</v>
      </c>
      <c r="B5230" s="2" t="s">
        <v>13054</v>
      </c>
      <c r="C5230" s="2" t="s">
        <v>17</v>
      </c>
      <c r="D5230" s="2" t="s">
        <v>18</v>
      </c>
      <c r="E5230" s="5">
        <v>-30760</v>
      </c>
      <c r="F5230" s="3" t="s">
        <v>349</v>
      </c>
      <c r="G5230" s="3" t="s">
        <v>71</v>
      </c>
      <c r="H5230" s="2" t="s">
        <v>72</v>
      </c>
      <c r="I5230" s="2" t="s">
        <v>13057</v>
      </c>
      <c r="J5230" s="3" t="str">
        <f>HYPERLINK("https://www.boe.es/gazeta/dias/1815/10/12/pdfs/GMD-1815-128.pdf#page=7","Abrir facsímil")</f>
        <v>Abrir facsímil</v>
      </c>
      <c r="K5230" s="3" t="s">
        <v>74</v>
      </c>
    </row>
    <row r="5231" spans="1:11" ht="42" customHeight="1">
      <c r="A5231" s="2" t="s">
        <v>13058</v>
      </c>
      <c r="B5231" s="2" t="s">
        <v>13059</v>
      </c>
      <c r="C5231" s="2" t="s">
        <v>49</v>
      </c>
      <c r="D5231" s="2" t="s">
        <v>50</v>
      </c>
      <c r="E5231" s="5">
        <v>-30865</v>
      </c>
      <c r="F5231" s="3" t="s">
        <v>163</v>
      </c>
      <c r="G5231" s="3" t="s">
        <v>27</v>
      </c>
      <c r="H5231" s="2" t="s">
        <v>72</v>
      </c>
      <c r="I5231" s="2" t="s">
        <v>13060</v>
      </c>
      <c r="J5231" s="3" t="str">
        <f>HYPERLINK("https://www.boe.es/gazeta/dias/1815/06/29/pdfs/GMD-1815-78.pdf#page=6","Abrir facsímil")</f>
        <v>Abrir facsímil</v>
      </c>
      <c r="K5231" s="3" t="s">
        <v>74</v>
      </c>
    </row>
    <row r="5232" spans="1:11" ht="42" customHeight="1">
      <c r="A5232" s="2" t="s">
        <v>13061</v>
      </c>
      <c r="B5232" s="2" t="s">
        <v>13062</v>
      </c>
      <c r="C5232" s="2" t="s">
        <v>17</v>
      </c>
      <c r="D5232" s="2" t="s">
        <v>18</v>
      </c>
      <c r="E5232" s="5">
        <v>-30979</v>
      </c>
      <c r="F5232" s="3" t="s">
        <v>56</v>
      </c>
      <c r="G5232" s="3" t="s">
        <v>27</v>
      </c>
      <c r="H5232" s="2" t="s">
        <v>21</v>
      </c>
      <c r="I5232" s="2" t="s">
        <v>13063</v>
      </c>
      <c r="J5232" s="3" t="str">
        <f>HYPERLINK("https://www.boe.es/gazeta/dias/1815/03/07/pdfs/GMD-1815-28.pdf#page=6","Abrir facsímil")</f>
        <v>Abrir facsímil</v>
      </c>
      <c r="K5232" s="3" t="s">
        <v>23</v>
      </c>
    </row>
    <row r="5233" spans="1:11" ht="42" customHeight="1">
      <c r="A5233" s="2" t="s">
        <v>13064</v>
      </c>
      <c r="B5233" s="2" t="s">
        <v>13065</v>
      </c>
      <c r="C5233" s="2" t="s">
        <v>49</v>
      </c>
      <c r="D5233" s="2" t="s">
        <v>50</v>
      </c>
      <c r="E5233" s="5">
        <v>-30886</v>
      </c>
      <c r="F5233" s="3" t="s">
        <v>140</v>
      </c>
      <c r="G5233" s="3" t="s">
        <v>38</v>
      </c>
      <c r="H5233" s="2" t="s">
        <v>72</v>
      </c>
      <c r="I5233" s="2" t="s">
        <v>13066</v>
      </c>
      <c r="J5233" s="3" t="str">
        <f>HYPERLINK("https://www.boe.es/gazeta/dias/1815/06/08/pdfs/GMD-1815-69.pdf#page=8","Abrir facsímil")</f>
        <v>Abrir facsímil</v>
      </c>
      <c r="K5233" s="3" t="s">
        <v>74</v>
      </c>
    </row>
    <row r="5234" spans="1:11" ht="42" customHeight="1">
      <c r="A5234" s="2" t="s">
        <v>13067</v>
      </c>
      <c r="B5234" s="2" t="s">
        <v>13068</v>
      </c>
      <c r="C5234" s="2" t="s">
        <v>195</v>
      </c>
      <c r="D5234" s="2" t="s">
        <v>50</v>
      </c>
      <c r="E5234" s="5">
        <v>-30888</v>
      </c>
      <c r="F5234" s="3" t="s">
        <v>368</v>
      </c>
      <c r="G5234" s="3" t="s">
        <v>369</v>
      </c>
      <c r="H5234" s="2" t="s">
        <v>72</v>
      </c>
      <c r="I5234" s="2" t="s">
        <v>13069</v>
      </c>
      <c r="J5234" s="3" t="str">
        <f>HYPERLINK("https://www.boe.es/gazeta/dias/1815/06/06/pdfs/GMD-1815-68.pdf#page=7","Abrir facsímil")</f>
        <v>Abrir facsímil</v>
      </c>
      <c r="K5234" s="3" t="s">
        <v>74</v>
      </c>
    </row>
    <row r="5235" spans="1:11" ht="42" customHeight="1">
      <c r="A5235" s="2" t="s">
        <v>13070</v>
      </c>
      <c r="B5235" s="2" t="s">
        <v>13071</v>
      </c>
      <c r="C5235" s="2" t="s">
        <v>31</v>
      </c>
      <c r="D5235" s="2" t="s">
        <v>32</v>
      </c>
      <c r="E5235" s="5">
        <v>-30823</v>
      </c>
      <c r="F5235" s="3" t="s">
        <v>305</v>
      </c>
      <c r="G5235" s="3" t="s">
        <v>27</v>
      </c>
      <c r="H5235" s="2" t="s">
        <v>72</v>
      </c>
      <c r="I5235" s="2" t="s">
        <v>13072</v>
      </c>
      <c r="J5235" s="3" t="str">
        <f>HYPERLINK("https://www.boe.es/gazeta/dias/1815/08/10/pdfs/GMD-1815-98.pdf#page=6","Abrir facsímil")</f>
        <v>Abrir facsímil</v>
      </c>
      <c r="K5235" s="3" t="s">
        <v>74</v>
      </c>
    </row>
    <row r="5236" spans="1:11" ht="42" customHeight="1">
      <c r="A5236" s="2" t="s">
        <v>13073</v>
      </c>
      <c r="B5236" s="2" t="s">
        <v>13074</v>
      </c>
      <c r="C5236" s="2" t="s">
        <v>31</v>
      </c>
      <c r="D5236" s="2" t="s">
        <v>32</v>
      </c>
      <c r="E5236" s="5">
        <v>-30916</v>
      </c>
      <c r="F5236" s="3" t="s">
        <v>147</v>
      </c>
      <c r="G5236" s="3" t="s">
        <v>38</v>
      </c>
      <c r="H5236" s="2" t="s">
        <v>72</v>
      </c>
      <c r="I5236" s="2" t="s">
        <v>13075</v>
      </c>
      <c r="J5236" s="3" t="str">
        <f>HYPERLINK("https://www.boe.es/gazeta/dias/1815/05/09/pdfs/GMD-1815-56.pdf#page=8","Abrir facsímil")</f>
        <v>Abrir facsímil</v>
      </c>
      <c r="K5236" s="3" t="s">
        <v>74</v>
      </c>
    </row>
    <row r="5237" spans="1:11" ht="42" customHeight="1">
      <c r="A5237" s="2" t="s">
        <v>13076</v>
      </c>
      <c r="B5237" s="2" t="s">
        <v>13077</v>
      </c>
      <c r="C5237" s="2" t="s">
        <v>17</v>
      </c>
      <c r="D5237" s="2" t="s">
        <v>18</v>
      </c>
      <c r="E5237" s="5">
        <v>-31031</v>
      </c>
      <c r="F5237" s="3" t="s">
        <v>105</v>
      </c>
      <c r="G5237" s="3" t="s">
        <v>27</v>
      </c>
      <c r="H5237" s="2" t="s">
        <v>72</v>
      </c>
      <c r="I5237" s="2" t="s">
        <v>13078</v>
      </c>
      <c r="J5237" s="3" t="str">
        <f>HYPERLINK("https://www.boe.es/gazeta/dias/1815/01/14/pdfs/GMD-1815-6.pdf#page=6","Abrir facsímil")</f>
        <v>Abrir facsímil</v>
      </c>
      <c r="K5237" s="3" t="s">
        <v>74</v>
      </c>
    </row>
    <row r="5238" spans="1:11" ht="42" customHeight="1">
      <c r="A5238" s="2" t="s">
        <v>13079</v>
      </c>
      <c r="B5238" s="2" t="s">
        <v>13080</v>
      </c>
      <c r="C5238" s="2" t="s">
        <v>49</v>
      </c>
      <c r="D5238" s="2" t="s">
        <v>50</v>
      </c>
      <c r="E5238" s="5">
        <v>-30865</v>
      </c>
      <c r="F5238" s="3" t="s">
        <v>163</v>
      </c>
      <c r="G5238" s="3" t="s">
        <v>38</v>
      </c>
      <c r="H5238" s="2" t="s">
        <v>72</v>
      </c>
      <c r="I5238" s="2" t="s">
        <v>13081</v>
      </c>
      <c r="J5238" s="3" t="str">
        <f>HYPERLINK("https://www.boe.es/gazeta/dias/1815/06/29/pdfs/GMD-1815-78.pdf#page=8","Abrir facsímil")</f>
        <v>Abrir facsímil</v>
      </c>
      <c r="K5238" s="3" t="s">
        <v>74</v>
      </c>
    </row>
    <row r="5239" spans="1:11" ht="42" customHeight="1">
      <c r="A5239" s="2" t="s">
        <v>13082</v>
      </c>
      <c r="B5239" s="2" t="s">
        <v>13083</v>
      </c>
      <c r="C5239" s="2" t="s">
        <v>31</v>
      </c>
      <c r="D5239" s="2" t="s">
        <v>32</v>
      </c>
      <c r="E5239" s="5">
        <v>-30739</v>
      </c>
      <c r="F5239" s="3" t="s">
        <v>254</v>
      </c>
      <c r="G5239" s="3" t="s">
        <v>52</v>
      </c>
      <c r="H5239" s="2" t="s">
        <v>72</v>
      </c>
      <c r="I5239" s="2" t="s">
        <v>13084</v>
      </c>
      <c r="J5239" s="3" t="str">
        <f>HYPERLINK("https://www.boe.es/gazeta/dias/1815/11/02/pdfs/GMD-1815-137.pdf#page=11","Abrir facsímil")</f>
        <v>Abrir facsímil</v>
      </c>
      <c r="K5239" s="3" t="s">
        <v>74</v>
      </c>
    </row>
    <row r="5240" spans="1:11" ht="42" customHeight="1">
      <c r="A5240" s="2" t="s">
        <v>13085</v>
      </c>
      <c r="B5240" s="2" t="s">
        <v>13086</v>
      </c>
      <c r="C5240" s="2" t="s">
        <v>31</v>
      </c>
      <c r="D5240" s="2" t="s">
        <v>32</v>
      </c>
      <c r="E5240" s="5">
        <v>-30916</v>
      </c>
      <c r="F5240" s="3" t="s">
        <v>147</v>
      </c>
      <c r="G5240" s="3" t="s">
        <v>148</v>
      </c>
      <c r="H5240" s="2" t="s">
        <v>72</v>
      </c>
      <c r="I5240" s="2" t="s">
        <v>13087</v>
      </c>
      <c r="J5240" s="3" t="str">
        <f>HYPERLINK("https://www.boe.es/gazeta/dias/1815/05/09/pdfs/GMD-1815-56.pdf#page=7","Abrir facsímil")</f>
        <v>Abrir facsímil</v>
      </c>
      <c r="K5240" s="3" t="s">
        <v>74</v>
      </c>
    </row>
    <row r="5241" spans="1:11" ht="42" customHeight="1">
      <c r="A5241" s="2" t="s">
        <v>13088</v>
      </c>
      <c r="B5241" s="2" t="s">
        <v>13089</v>
      </c>
      <c r="C5241" s="2" t="s">
        <v>31</v>
      </c>
      <c r="D5241" s="2" t="s">
        <v>32</v>
      </c>
      <c r="E5241" s="5">
        <v>-30905</v>
      </c>
      <c r="F5241" s="3" t="s">
        <v>901</v>
      </c>
      <c r="G5241" s="3" t="s">
        <v>902</v>
      </c>
      <c r="H5241" s="2" t="s">
        <v>72</v>
      </c>
      <c r="I5241" s="2" t="s">
        <v>13090</v>
      </c>
      <c r="J5241" s="3" t="str">
        <f>HYPERLINK("https://www.boe.es/gazeta/dias/1815/05/20/pdfs/GMD-1815-61.pdf#page=8","Abrir facsímil")</f>
        <v>Abrir facsímil</v>
      </c>
      <c r="K5241" s="3" t="s">
        <v>74</v>
      </c>
    </row>
    <row r="5242" spans="1:11" ht="42" customHeight="1">
      <c r="A5242" s="2" t="s">
        <v>13091</v>
      </c>
      <c r="B5242" s="2" t="s">
        <v>13092</v>
      </c>
      <c r="C5242" s="2" t="s">
        <v>31</v>
      </c>
      <c r="D5242" s="2" t="s">
        <v>32</v>
      </c>
      <c r="E5242" s="5">
        <v>-30790</v>
      </c>
      <c r="F5242" s="3" t="s">
        <v>285</v>
      </c>
      <c r="G5242" s="3" t="s">
        <v>38</v>
      </c>
      <c r="H5242" s="2" t="s">
        <v>72</v>
      </c>
      <c r="I5242" s="2" t="s">
        <v>13093</v>
      </c>
      <c r="J5242" s="3" t="str">
        <f>HYPERLINK("https://www.boe.es/gazeta/dias/1815/09/12/pdfs/GMD-1815-113.pdf#page=8","Abrir facsímil")</f>
        <v>Abrir facsímil</v>
      </c>
      <c r="K5242" s="3" t="s">
        <v>74</v>
      </c>
    </row>
    <row r="5243" spans="1:11" ht="42" customHeight="1">
      <c r="A5243" s="2" t="s">
        <v>13094</v>
      </c>
      <c r="B5243" s="2" t="s">
        <v>13094</v>
      </c>
      <c r="C5243" s="2" t="s">
        <v>31</v>
      </c>
      <c r="D5243" s="2" t="s">
        <v>32</v>
      </c>
      <c r="E5243" s="5">
        <v>-30823</v>
      </c>
      <c r="F5243" s="3" t="s">
        <v>305</v>
      </c>
      <c r="G5243" s="3" t="s">
        <v>306</v>
      </c>
      <c r="H5243" s="2" t="s">
        <v>72</v>
      </c>
      <c r="I5243" s="2" t="s">
        <v>13095</v>
      </c>
      <c r="J5243" s="3" t="str">
        <f>HYPERLINK("https://www.boe.es/gazeta/dias/1815/08/10/pdfs/GMD-1815-98.pdf#page=7","Abrir facsímil")</f>
        <v>Abrir facsímil</v>
      </c>
      <c r="K5243" s="3" t="s">
        <v>74</v>
      </c>
    </row>
    <row r="5244" spans="1:11" ht="42" customHeight="1">
      <c r="A5244" s="2" t="s">
        <v>13096</v>
      </c>
      <c r="B5244" s="2" t="s">
        <v>13097</v>
      </c>
      <c r="C5244" s="2" t="s">
        <v>61</v>
      </c>
      <c r="D5244" s="2" t="s">
        <v>50</v>
      </c>
      <c r="E5244" s="5">
        <v>-30851</v>
      </c>
      <c r="F5244" s="3" t="s">
        <v>442</v>
      </c>
      <c r="G5244" s="3" t="s">
        <v>20</v>
      </c>
      <c r="H5244" s="2" t="s">
        <v>72</v>
      </c>
      <c r="I5244" s="2" t="s">
        <v>13098</v>
      </c>
      <c r="J5244" s="3" t="str">
        <f>HYPERLINK("https://www.boe.es/gazeta/dias/1815/07/13/pdfs/GMD-1815-86.pdf#page=4","Abrir facsímil")</f>
        <v>Abrir facsímil</v>
      </c>
      <c r="K5244" s="3" t="s">
        <v>74</v>
      </c>
    </row>
    <row r="5245" spans="1:11" ht="42" customHeight="1">
      <c r="A5245" s="2" t="s">
        <v>13099</v>
      </c>
      <c r="B5245" s="2" t="s">
        <v>13100</v>
      </c>
      <c r="C5245" s="2" t="s">
        <v>31</v>
      </c>
      <c r="D5245" s="2" t="s">
        <v>32</v>
      </c>
      <c r="E5245" s="5">
        <v>-30872</v>
      </c>
      <c r="F5245" s="3" t="s">
        <v>167</v>
      </c>
      <c r="G5245" s="3" t="s">
        <v>27</v>
      </c>
      <c r="H5245" s="2" t="s">
        <v>72</v>
      </c>
      <c r="I5245" s="2" t="s">
        <v>13101</v>
      </c>
      <c r="J5245" s="3" t="str">
        <f>HYPERLINK("https://www.boe.es/gazeta/dias/1815/06/22/pdfs/GMD-1815-75.pdf#page=6","Abrir facsímil")</f>
        <v>Abrir facsímil</v>
      </c>
      <c r="K5245" s="3" t="s">
        <v>74</v>
      </c>
    </row>
    <row r="5246" spans="1:11" ht="42" customHeight="1">
      <c r="A5246" s="2" t="s">
        <v>13099</v>
      </c>
      <c r="B5246" s="2" t="s">
        <v>13100</v>
      </c>
      <c r="C5246" s="2" t="s">
        <v>31</v>
      </c>
      <c r="D5246" s="2" t="s">
        <v>32</v>
      </c>
      <c r="E5246" s="5">
        <v>-30870</v>
      </c>
      <c r="F5246" s="3" t="s">
        <v>122</v>
      </c>
      <c r="G5246" s="3" t="s">
        <v>71</v>
      </c>
      <c r="H5246" s="2" t="s">
        <v>72</v>
      </c>
      <c r="I5246" s="2" t="s">
        <v>13102</v>
      </c>
      <c r="J5246" s="3" t="str">
        <f>HYPERLINK("https://www.boe.es/gazeta/dias/1815/06/24/pdfs/GMD-1815-76.pdf#page=7","Abrir facsímil")</f>
        <v>Abrir facsímil</v>
      </c>
      <c r="K5246" s="3" t="s">
        <v>74</v>
      </c>
    </row>
    <row r="5247" spans="1:11" ht="42" customHeight="1">
      <c r="A5247" s="2" t="s">
        <v>13103</v>
      </c>
      <c r="B5247" s="2" t="s">
        <v>13103</v>
      </c>
      <c r="C5247" s="2" t="s">
        <v>31</v>
      </c>
      <c r="D5247" s="2" t="s">
        <v>32</v>
      </c>
      <c r="E5247" s="5">
        <v>-30844</v>
      </c>
      <c r="F5247" s="3" t="s">
        <v>114</v>
      </c>
      <c r="G5247" s="3" t="s">
        <v>20</v>
      </c>
      <c r="H5247" s="2" t="s">
        <v>72</v>
      </c>
      <c r="I5247" s="2" t="s">
        <v>13104</v>
      </c>
      <c r="J5247" s="3" t="str">
        <f>HYPERLINK("https://www.boe.es/gazeta/dias/1815/07/20/pdfs/GMD-1815-89.pdf#page=4","Abrir facsímil")</f>
        <v>Abrir facsímil</v>
      </c>
      <c r="K5247" s="3" t="s">
        <v>74</v>
      </c>
    </row>
    <row r="5248" spans="1:11" ht="42" customHeight="1">
      <c r="A5248" s="2" t="s">
        <v>13103</v>
      </c>
      <c r="B5248" s="2" t="s">
        <v>13103</v>
      </c>
      <c r="C5248" s="2" t="s">
        <v>31</v>
      </c>
      <c r="D5248" s="2" t="s">
        <v>32</v>
      </c>
      <c r="E5248" s="5">
        <v>-30835</v>
      </c>
      <c r="F5248" s="3" t="s">
        <v>544</v>
      </c>
      <c r="G5248" s="3" t="s">
        <v>377</v>
      </c>
      <c r="H5248" s="2" t="s">
        <v>72</v>
      </c>
      <c r="I5248" s="2" t="s">
        <v>13105</v>
      </c>
      <c r="J5248" s="3" t="str">
        <f>HYPERLINK("https://www.boe.es/gazeta/dias/1815/07/29/pdfs/GMD-1815-93.pdf#page=2","Abrir facsímil")</f>
        <v>Abrir facsímil</v>
      </c>
      <c r="K5248" s="3" t="s">
        <v>74</v>
      </c>
    </row>
    <row r="5249" spans="1:11" ht="42" customHeight="1">
      <c r="A5249" s="2" t="s">
        <v>13106</v>
      </c>
      <c r="B5249" s="2" t="s">
        <v>13107</v>
      </c>
      <c r="C5249" s="2" t="s">
        <v>61</v>
      </c>
      <c r="D5249" s="2" t="s">
        <v>50</v>
      </c>
      <c r="E5249" s="5">
        <v>-30839</v>
      </c>
      <c r="F5249" s="3" t="s">
        <v>616</v>
      </c>
      <c r="G5249" s="3" t="s">
        <v>617</v>
      </c>
      <c r="H5249" s="2" t="s">
        <v>72</v>
      </c>
      <c r="I5249" s="2" t="s">
        <v>13108</v>
      </c>
      <c r="J5249" s="3" t="str">
        <f>HYPERLINK("https://www.boe.es/gazeta/dias/1815/07/25/pdfs/GMD-1815-91.pdf#page=8","Abrir facsímil")</f>
        <v>Abrir facsímil</v>
      </c>
      <c r="K5249" s="3" t="s">
        <v>74</v>
      </c>
    </row>
    <row r="5250" spans="1:11" ht="42" customHeight="1">
      <c r="A5250" s="2" t="s">
        <v>13109</v>
      </c>
      <c r="B5250" s="2" t="s">
        <v>13110</v>
      </c>
      <c r="C5250" s="2" t="s">
        <v>61</v>
      </c>
      <c r="D5250" s="2" t="s">
        <v>50</v>
      </c>
      <c r="E5250" s="5">
        <v>-31028</v>
      </c>
      <c r="F5250" s="3" t="s">
        <v>517</v>
      </c>
      <c r="G5250" s="3" t="s">
        <v>276</v>
      </c>
      <c r="H5250" s="2" t="s">
        <v>72</v>
      </c>
      <c r="I5250" s="2" t="s">
        <v>13111</v>
      </c>
      <c r="J5250" s="3" t="str">
        <f>HYPERLINK("https://www.boe.es/gazeta/dias/1815/01/17/pdfs/GMD-1815-7.pdf#page=12","Abrir facsímil")</f>
        <v>Abrir facsímil</v>
      </c>
      <c r="K5250" s="3" t="s">
        <v>74</v>
      </c>
    </row>
    <row r="5251" spans="1:11" ht="42" customHeight="1">
      <c r="A5251" s="2" t="s">
        <v>13112</v>
      </c>
      <c r="B5251" s="2" t="s">
        <v>13113</v>
      </c>
      <c r="C5251" s="2" t="s">
        <v>17</v>
      </c>
      <c r="D5251" s="2" t="s">
        <v>18</v>
      </c>
      <c r="E5251" s="5">
        <v>-30702</v>
      </c>
      <c r="F5251" s="3" t="s">
        <v>196</v>
      </c>
      <c r="G5251" s="3" t="s">
        <v>71</v>
      </c>
      <c r="H5251" s="2" t="s">
        <v>21</v>
      </c>
      <c r="I5251" s="2" t="s">
        <v>13114</v>
      </c>
      <c r="J5251" s="3" t="str">
        <f>HYPERLINK("https://www.boe.es/gazeta/dias/1815/12/09/pdfs/GMD-1815-153.pdf#page=7","Abrir facsímil")</f>
        <v>Abrir facsímil</v>
      </c>
      <c r="K5251" s="3" t="s">
        <v>23</v>
      </c>
    </row>
    <row r="5252" spans="1:11" ht="42" customHeight="1">
      <c r="A5252" s="2" t="s">
        <v>13115</v>
      </c>
      <c r="B5252" s="2" t="s">
        <v>13116</v>
      </c>
      <c r="C5252" s="2" t="s">
        <v>195</v>
      </c>
      <c r="D5252" s="2" t="s">
        <v>50</v>
      </c>
      <c r="E5252" s="5">
        <v>-30851</v>
      </c>
      <c r="F5252" s="3" t="s">
        <v>442</v>
      </c>
      <c r="G5252" s="3" t="s">
        <v>20</v>
      </c>
      <c r="H5252" s="2" t="s">
        <v>72</v>
      </c>
      <c r="I5252" s="2" t="s">
        <v>13117</v>
      </c>
      <c r="J5252" s="3" t="str">
        <f>HYPERLINK("https://www.boe.es/gazeta/dias/1815/07/13/pdfs/GMD-1815-86.pdf#page=4","Abrir facsímil")</f>
        <v>Abrir facsímil</v>
      </c>
      <c r="K5252" s="3" t="s">
        <v>74</v>
      </c>
    </row>
    <row r="5253" spans="1:11" ht="42" customHeight="1">
      <c r="A5253" s="2" t="s">
        <v>13118</v>
      </c>
      <c r="B5253" s="2" t="s">
        <v>13119</v>
      </c>
      <c r="C5253" s="2" t="s">
        <v>49</v>
      </c>
      <c r="D5253" s="2" t="s">
        <v>50</v>
      </c>
      <c r="E5253" s="5">
        <v>-30767</v>
      </c>
      <c r="F5253" s="3" t="s">
        <v>228</v>
      </c>
      <c r="G5253" s="3" t="s">
        <v>88</v>
      </c>
      <c r="H5253" s="2" t="s">
        <v>21</v>
      </c>
      <c r="I5253" s="2" t="s">
        <v>13120</v>
      </c>
      <c r="J5253" s="3" t="str">
        <f>HYPERLINK("https://www.boe.es/gazeta/dias/1815/10/05/pdfs/GMD-1815-125.pdf#page=10","Abrir facsímil")</f>
        <v>Abrir facsímil</v>
      </c>
      <c r="K5253" s="3" t="s">
        <v>23</v>
      </c>
    </row>
    <row r="5254" spans="1:11" ht="42" customHeight="1">
      <c r="A5254" s="2" t="s">
        <v>13121</v>
      </c>
      <c r="B5254" s="2" t="s">
        <v>13121</v>
      </c>
      <c r="C5254" s="2" t="s">
        <v>31</v>
      </c>
      <c r="D5254" s="2" t="s">
        <v>32</v>
      </c>
      <c r="E5254" s="5">
        <v>-30818</v>
      </c>
      <c r="F5254" s="3" t="s">
        <v>334</v>
      </c>
      <c r="G5254" s="3" t="s">
        <v>27</v>
      </c>
      <c r="H5254" s="2" t="s">
        <v>72</v>
      </c>
      <c r="I5254" s="2" t="s">
        <v>13122</v>
      </c>
      <c r="J5254" s="3" t="str">
        <f>HYPERLINK("https://www.boe.es/gazeta/dias/1815/08/15/pdfs/GMD-1815-100.pdf#page=6","Abrir facsímil")</f>
        <v>Abrir facsímil</v>
      </c>
      <c r="K5254" s="3" t="s">
        <v>74</v>
      </c>
    </row>
    <row r="5255" spans="1:11" ht="42" customHeight="1">
      <c r="A5255" s="2" t="s">
        <v>13123</v>
      </c>
      <c r="B5255" s="2" t="s">
        <v>13123</v>
      </c>
      <c r="C5255" s="2" t="s">
        <v>31</v>
      </c>
      <c r="D5255" s="2" t="s">
        <v>179</v>
      </c>
      <c r="E5255" s="5">
        <v>-30860</v>
      </c>
      <c r="F5255" s="3" t="s">
        <v>180</v>
      </c>
      <c r="G5255" s="3" t="s">
        <v>2026</v>
      </c>
      <c r="H5255" s="2" t="s">
        <v>72</v>
      </c>
      <c r="I5255" s="2" t="s">
        <v>13124</v>
      </c>
      <c r="J5255" s="3" t="str">
        <f>HYPERLINK("https://www.boe.es/gazeta/dias/1815/07/04/pdfs/GMD-1815-82E.pdf#page=5","Abrir facsímil")</f>
        <v>Abrir facsímil</v>
      </c>
      <c r="K5255" s="3" t="s">
        <v>74</v>
      </c>
    </row>
    <row r="5256" spans="1:11" ht="42" customHeight="1">
      <c r="A5256" s="2" t="s">
        <v>13125</v>
      </c>
      <c r="B5256" s="2" t="s">
        <v>13126</v>
      </c>
      <c r="C5256" s="2" t="s">
        <v>195</v>
      </c>
      <c r="D5256" s="2" t="s">
        <v>50</v>
      </c>
      <c r="E5256" s="5">
        <v>-30940</v>
      </c>
      <c r="F5256" s="3" t="s">
        <v>610</v>
      </c>
      <c r="G5256" s="3" t="s">
        <v>71</v>
      </c>
      <c r="H5256" s="2" t="s">
        <v>72</v>
      </c>
      <c r="I5256" s="2" t="s">
        <v>13127</v>
      </c>
      <c r="J5256" s="3" t="str">
        <f>HYPERLINK("https://www.boe.es/gazeta/dias/1815/04/15/pdfs/GMD-1815-46.pdf#page=7","Abrir facsímil")</f>
        <v>Abrir facsímil</v>
      </c>
      <c r="K5256" s="3" t="s">
        <v>74</v>
      </c>
    </row>
    <row r="5257" spans="1:11" ht="42" customHeight="1">
      <c r="A5257" s="2" t="s">
        <v>13128</v>
      </c>
      <c r="B5257" s="2" t="s">
        <v>13129</v>
      </c>
      <c r="C5257" s="2" t="s">
        <v>17</v>
      </c>
      <c r="D5257" s="2" t="s">
        <v>18</v>
      </c>
      <c r="E5257" s="5">
        <v>-30916</v>
      </c>
      <c r="F5257" s="3" t="s">
        <v>147</v>
      </c>
      <c r="G5257" s="3" t="s">
        <v>52</v>
      </c>
      <c r="H5257" s="2" t="s">
        <v>72</v>
      </c>
      <c r="I5257" s="2" t="s">
        <v>13130</v>
      </c>
      <c r="J5257" s="3" t="str">
        <f>HYPERLINK("https://www.boe.es/gazeta/dias/1815/05/09/pdfs/GMD-1815-56.pdf#page=11","Abrir facsímil")</f>
        <v>Abrir facsímil</v>
      </c>
      <c r="K5257" s="3" t="s">
        <v>74</v>
      </c>
    </row>
    <row r="5258" spans="1:11" ht="42" customHeight="1">
      <c r="A5258" s="2" t="s">
        <v>13131</v>
      </c>
      <c r="B5258" s="2" t="s">
        <v>13132</v>
      </c>
      <c r="C5258" s="2" t="s">
        <v>49</v>
      </c>
      <c r="D5258" s="2" t="s">
        <v>50</v>
      </c>
      <c r="E5258" s="5">
        <v>-30865</v>
      </c>
      <c r="F5258" s="3" t="s">
        <v>163</v>
      </c>
      <c r="G5258" s="3" t="s">
        <v>71</v>
      </c>
      <c r="H5258" s="2" t="s">
        <v>72</v>
      </c>
      <c r="I5258" s="2" t="s">
        <v>13133</v>
      </c>
      <c r="J5258" s="3" t="str">
        <f>HYPERLINK("https://www.boe.es/gazeta/dias/1815/06/29/pdfs/GMD-1815-78.pdf#page=7","Abrir facsímil")</f>
        <v>Abrir facsímil</v>
      </c>
      <c r="K5258" s="3" t="s">
        <v>74</v>
      </c>
    </row>
    <row r="5259" spans="1:11" ht="42" customHeight="1">
      <c r="A5259" s="2" t="s">
        <v>13134</v>
      </c>
      <c r="B5259" s="2" t="s">
        <v>13135</v>
      </c>
      <c r="C5259" s="2" t="s">
        <v>17</v>
      </c>
      <c r="D5259" s="2" t="s">
        <v>18</v>
      </c>
      <c r="E5259" s="5">
        <v>-30888</v>
      </c>
      <c r="F5259" s="3" t="s">
        <v>368</v>
      </c>
      <c r="G5259" s="3" t="s">
        <v>52</v>
      </c>
      <c r="H5259" s="2" t="s">
        <v>72</v>
      </c>
      <c r="I5259" s="2" t="s">
        <v>13136</v>
      </c>
      <c r="J5259" s="3" t="str">
        <f>HYPERLINK("https://www.boe.es/gazeta/dias/1815/06/06/pdfs/GMD-1815-68.pdf#page=11","Abrir facsímil")</f>
        <v>Abrir facsímil</v>
      </c>
      <c r="K5259" s="3" t="s">
        <v>74</v>
      </c>
    </row>
    <row r="5260" spans="1:11" ht="42" customHeight="1">
      <c r="A5260" s="2" t="s">
        <v>13137</v>
      </c>
      <c r="B5260" s="2" t="s">
        <v>13138</v>
      </c>
      <c r="C5260" s="2" t="s">
        <v>31</v>
      </c>
      <c r="D5260" s="2" t="s">
        <v>32</v>
      </c>
      <c r="E5260" s="5">
        <v>-30900</v>
      </c>
      <c r="F5260" s="3" t="s">
        <v>921</v>
      </c>
      <c r="G5260" s="3" t="s">
        <v>88</v>
      </c>
      <c r="H5260" s="2" t="s">
        <v>72</v>
      </c>
      <c r="I5260" s="2" t="s">
        <v>13139</v>
      </c>
      <c r="J5260" s="3" t="str">
        <f>HYPERLINK("https://www.boe.es/gazeta/dias/1815/05/25/pdfs/GMD-1815-63.pdf#page=10","Abrir facsímil")</f>
        <v>Abrir facsímil</v>
      </c>
      <c r="K5260" s="3" t="s">
        <v>74</v>
      </c>
    </row>
    <row r="5261" spans="1:11" ht="42" customHeight="1">
      <c r="A5261" s="2" t="s">
        <v>13140</v>
      </c>
      <c r="B5261" s="2" t="s">
        <v>13141</v>
      </c>
      <c r="C5261" s="2" t="s">
        <v>31</v>
      </c>
      <c r="D5261" s="2" t="s">
        <v>32</v>
      </c>
      <c r="E5261" s="5">
        <v>-31040</v>
      </c>
      <c r="F5261" s="3" t="s">
        <v>326</v>
      </c>
      <c r="G5261" s="3" t="s">
        <v>38</v>
      </c>
      <c r="H5261" s="2" t="s">
        <v>72</v>
      </c>
      <c r="I5261" s="2" t="s">
        <v>13142</v>
      </c>
      <c r="J5261" s="3" t="str">
        <f>HYPERLINK("https://www.boe.es/gazeta/dias/1815/01/05/pdfs/GMD-1815-2.pdf#page=8","Abrir facsímil")</f>
        <v>Abrir facsímil</v>
      </c>
      <c r="K5261" s="3" t="s">
        <v>74</v>
      </c>
    </row>
    <row r="5262" spans="1:11" ht="42" customHeight="1">
      <c r="A5262" s="2" t="s">
        <v>13143</v>
      </c>
      <c r="B5262" s="2" t="s">
        <v>13144</v>
      </c>
      <c r="C5262" s="2" t="s">
        <v>49</v>
      </c>
      <c r="D5262" s="2" t="s">
        <v>50</v>
      </c>
      <c r="E5262" s="5">
        <v>-30865</v>
      </c>
      <c r="F5262" s="3" t="s">
        <v>163</v>
      </c>
      <c r="G5262" s="3" t="s">
        <v>38</v>
      </c>
      <c r="H5262" s="2" t="s">
        <v>72</v>
      </c>
      <c r="I5262" s="2" t="s">
        <v>13145</v>
      </c>
      <c r="J5262" s="3" t="str">
        <f>HYPERLINK("https://www.boe.es/gazeta/dias/1815/06/29/pdfs/GMD-1815-78.pdf#page=8","Abrir facsímil")</f>
        <v>Abrir facsímil</v>
      </c>
      <c r="K5262" s="3" t="s">
        <v>74</v>
      </c>
    </row>
    <row r="5263" spans="1:11" ht="42" customHeight="1">
      <c r="A5263" s="2" t="s">
        <v>13146</v>
      </c>
      <c r="B5263" s="2" t="s">
        <v>13147</v>
      </c>
      <c r="C5263" s="2" t="s">
        <v>31</v>
      </c>
      <c r="D5263" s="2" t="s">
        <v>32</v>
      </c>
      <c r="E5263" s="5">
        <v>-30982</v>
      </c>
      <c r="F5263" s="3" t="s">
        <v>220</v>
      </c>
      <c r="G5263" s="3" t="s">
        <v>57</v>
      </c>
      <c r="H5263" s="2" t="s">
        <v>72</v>
      </c>
      <c r="I5263" s="2" t="s">
        <v>13148</v>
      </c>
      <c r="J5263" s="3" t="str">
        <f>HYPERLINK("https://www.boe.es/gazeta/dias/1815/03/04/pdfs/GMD-1815-27.pdf#page=5","Abrir facsímil")</f>
        <v>Abrir facsímil</v>
      </c>
      <c r="K5263" s="3" t="s">
        <v>74</v>
      </c>
    </row>
    <row r="5264" spans="1:11" ht="42" customHeight="1">
      <c r="A5264" s="2" t="s">
        <v>13149</v>
      </c>
      <c r="B5264" s="2" t="s">
        <v>13150</v>
      </c>
      <c r="C5264" s="2" t="s">
        <v>17</v>
      </c>
      <c r="D5264" s="2" t="s">
        <v>18</v>
      </c>
      <c r="E5264" s="5">
        <v>-30772</v>
      </c>
      <c r="F5264" s="3" t="s">
        <v>216</v>
      </c>
      <c r="G5264" s="3" t="s">
        <v>990</v>
      </c>
      <c r="H5264" s="2" t="s">
        <v>72</v>
      </c>
      <c r="I5264" s="2" t="s">
        <v>13151</v>
      </c>
      <c r="J5264" s="3" t="str">
        <f>HYPERLINK("https://www.boe.es/gazeta/dias/1815/09/30/pdfs/GMD-1815-123.pdf#page=8","Abrir facsímil")</f>
        <v>Abrir facsímil</v>
      </c>
      <c r="K5264" s="3" t="s">
        <v>74</v>
      </c>
    </row>
    <row r="5265" spans="1:11" ht="42" customHeight="1">
      <c r="A5265" s="2" t="s">
        <v>13149</v>
      </c>
      <c r="B5265" s="2" t="s">
        <v>13150</v>
      </c>
      <c r="C5265" s="2" t="s">
        <v>17</v>
      </c>
      <c r="D5265" s="2" t="s">
        <v>18</v>
      </c>
      <c r="E5265" s="5">
        <v>-30751</v>
      </c>
      <c r="F5265" s="3" t="s">
        <v>819</v>
      </c>
      <c r="G5265" s="3" t="s">
        <v>38</v>
      </c>
      <c r="H5265" s="2" t="s">
        <v>72</v>
      </c>
      <c r="I5265" s="2" t="s">
        <v>13152</v>
      </c>
      <c r="J5265" s="3" t="str">
        <f>HYPERLINK("https://www.boe.es/gazeta/dias/1815/10/21/pdfs/GMD-1815-132.pdf#page=8","Abrir facsímil")</f>
        <v>Abrir facsímil</v>
      </c>
      <c r="K5265" s="3" t="s">
        <v>74</v>
      </c>
    </row>
    <row r="5266" spans="1:11" ht="42" customHeight="1">
      <c r="A5266" s="2" t="s">
        <v>13153</v>
      </c>
      <c r="B5266" s="2" t="s">
        <v>13154</v>
      </c>
      <c r="C5266" s="2" t="s">
        <v>195</v>
      </c>
      <c r="D5266" s="2" t="s">
        <v>50</v>
      </c>
      <c r="E5266" s="5">
        <v>-31012</v>
      </c>
      <c r="F5266" s="3" t="s">
        <v>529</v>
      </c>
      <c r="G5266" s="3" t="s">
        <v>57</v>
      </c>
      <c r="H5266" s="2" t="s">
        <v>72</v>
      </c>
      <c r="I5266" s="2" t="s">
        <v>13155</v>
      </c>
      <c r="J5266" s="3" t="str">
        <f>HYPERLINK("https://www.boe.es/gazeta/dias/1815/02/02/pdfs/GMD-1815-14.pdf#page=5","Abrir facsímil")</f>
        <v>Abrir facsímil</v>
      </c>
      <c r="K5266" s="3" t="s">
        <v>74</v>
      </c>
    </row>
    <row r="5267" spans="1:11" ht="42" customHeight="1">
      <c r="A5267" s="2" t="s">
        <v>13156</v>
      </c>
      <c r="B5267" s="2" t="s">
        <v>13157</v>
      </c>
      <c r="C5267" s="2" t="s">
        <v>49</v>
      </c>
      <c r="D5267" s="2" t="s">
        <v>50</v>
      </c>
      <c r="E5267" s="5">
        <v>-30865</v>
      </c>
      <c r="F5267" s="3" t="s">
        <v>163</v>
      </c>
      <c r="G5267" s="3" t="s">
        <v>27</v>
      </c>
      <c r="H5267" s="2" t="s">
        <v>72</v>
      </c>
      <c r="I5267" s="2" t="s">
        <v>13158</v>
      </c>
      <c r="J5267" s="3" t="str">
        <f>HYPERLINK("https://www.boe.es/gazeta/dias/1815/06/29/pdfs/GMD-1815-78.pdf#page=6","Abrir facsímil")</f>
        <v>Abrir facsímil</v>
      </c>
      <c r="K5267" s="3" t="s">
        <v>74</v>
      </c>
    </row>
    <row r="5268" spans="1:11" ht="42" customHeight="1">
      <c r="A5268" s="2" t="s">
        <v>13159</v>
      </c>
      <c r="B5268" s="2" t="s">
        <v>13159</v>
      </c>
      <c r="C5268" s="2" t="s">
        <v>61</v>
      </c>
      <c r="D5268" s="2" t="s">
        <v>50</v>
      </c>
      <c r="E5268" s="5">
        <v>-30683</v>
      </c>
      <c r="F5268" s="3" t="s">
        <v>1693</v>
      </c>
      <c r="G5268" s="3" t="s">
        <v>410</v>
      </c>
      <c r="H5268" s="2" t="s">
        <v>72</v>
      </c>
      <c r="I5268" s="2" t="s">
        <v>13160</v>
      </c>
      <c r="J5268" s="3" t="str">
        <f>HYPERLINK("https://www.boe.es/gazeta/dias/1815/12/28/pdfs/GMD-1815-161.pdf#page=1","Abrir facsímil")</f>
        <v>Abrir facsímil</v>
      </c>
      <c r="K5268" s="3" t="s">
        <v>74</v>
      </c>
    </row>
    <row r="5269" spans="1:11" ht="42" customHeight="1">
      <c r="A5269" s="2" t="s">
        <v>13161</v>
      </c>
      <c r="B5269" s="2" t="s">
        <v>13161</v>
      </c>
      <c r="C5269" s="2" t="s">
        <v>31</v>
      </c>
      <c r="D5269" s="2" t="s">
        <v>32</v>
      </c>
      <c r="E5269" s="5">
        <v>-30926</v>
      </c>
      <c r="F5269" s="3" t="s">
        <v>2018</v>
      </c>
      <c r="G5269" s="3" t="s">
        <v>377</v>
      </c>
      <c r="H5269" s="2" t="s">
        <v>72</v>
      </c>
      <c r="I5269" s="2" t="s">
        <v>13162</v>
      </c>
      <c r="J5269" s="3" t="str">
        <f>HYPERLINK("https://www.boe.es/gazeta/dias/1815/04/29/pdfs/GMD-1815-52.pdf#page=2","Abrir facsímil")</f>
        <v>Abrir facsímil</v>
      </c>
      <c r="K5269" s="3" t="s">
        <v>74</v>
      </c>
    </row>
    <row r="5270" spans="1:11" ht="42" customHeight="1">
      <c r="A5270" s="2" t="s">
        <v>13163</v>
      </c>
      <c r="B5270" s="2" t="s">
        <v>13164</v>
      </c>
      <c r="C5270" s="2" t="s">
        <v>31</v>
      </c>
      <c r="D5270" s="2" t="s">
        <v>32</v>
      </c>
      <c r="E5270" s="5">
        <v>-30699</v>
      </c>
      <c r="F5270" s="3" t="s">
        <v>810</v>
      </c>
      <c r="G5270" s="3" t="s">
        <v>38</v>
      </c>
      <c r="H5270" s="2" t="s">
        <v>72</v>
      </c>
      <c r="I5270" s="2" t="s">
        <v>13165</v>
      </c>
      <c r="J5270" s="3" t="str">
        <f>HYPERLINK("https://www.boe.es/gazeta/dias/1815/12/12/pdfs/GMD-1815-154.pdf#page=8","Abrir facsímil")</f>
        <v>Abrir facsímil</v>
      </c>
      <c r="K5270" s="3" t="s">
        <v>74</v>
      </c>
    </row>
    <row r="5271" spans="1:11" ht="42" customHeight="1">
      <c r="A5271" s="2" t="s">
        <v>13166</v>
      </c>
      <c r="B5271" s="2" t="s">
        <v>13167</v>
      </c>
      <c r="C5271" s="2" t="s">
        <v>49</v>
      </c>
      <c r="D5271" s="2" t="s">
        <v>50</v>
      </c>
      <c r="E5271" s="5">
        <v>-30886</v>
      </c>
      <c r="F5271" s="3" t="s">
        <v>140</v>
      </c>
      <c r="G5271" s="3" t="s">
        <v>20</v>
      </c>
      <c r="H5271" s="2" t="s">
        <v>72</v>
      </c>
      <c r="I5271" s="2" t="s">
        <v>13168</v>
      </c>
      <c r="J5271" s="3" t="str">
        <f>HYPERLINK("https://www.boe.es/gazeta/dias/1815/06/08/pdfs/GMD-1815-69.pdf#page=4","Abrir facsímil")</f>
        <v>Abrir facsímil</v>
      </c>
      <c r="K5271" s="3" t="s">
        <v>74</v>
      </c>
    </row>
    <row r="5272" spans="1:11" ht="42" customHeight="1">
      <c r="A5272" s="2" t="s">
        <v>13169</v>
      </c>
      <c r="B5272" s="2" t="s">
        <v>13170</v>
      </c>
      <c r="C5272" s="2" t="s">
        <v>49</v>
      </c>
      <c r="D5272" s="2" t="s">
        <v>50</v>
      </c>
      <c r="E5272" s="5">
        <v>-30835</v>
      </c>
      <c r="F5272" s="3" t="s">
        <v>544</v>
      </c>
      <c r="G5272" s="3" t="s">
        <v>88</v>
      </c>
      <c r="H5272" s="2" t="s">
        <v>72</v>
      </c>
      <c r="I5272" s="2" t="s">
        <v>13171</v>
      </c>
      <c r="J5272" s="3" t="str">
        <f>HYPERLINK("https://www.boe.es/gazeta/dias/1815/07/29/pdfs/GMD-1815-93.pdf#page=10","Abrir facsímil")</f>
        <v>Abrir facsímil</v>
      </c>
      <c r="K5272" s="3" t="s">
        <v>74</v>
      </c>
    </row>
    <row r="5273" spans="1:11" ht="42" customHeight="1">
      <c r="A5273" s="2" t="s">
        <v>13172</v>
      </c>
      <c r="B5273" s="2" t="s">
        <v>13173</v>
      </c>
      <c r="C5273" s="2" t="s">
        <v>49</v>
      </c>
      <c r="D5273" s="2" t="s">
        <v>50</v>
      </c>
      <c r="E5273" s="5">
        <v>-30863</v>
      </c>
      <c r="F5273" s="3" t="s">
        <v>110</v>
      </c>
      <c r="G5273" s="3" t="s">
        <v>88</v>
      </c>
      <c r="H5273" s="2" t="s">
        <v>72</v>
      </c>
      <c r="I5273" s="2" t="s">
        <v>13174</v>
      </c>
      <c r="J5273" s="3" t="str">
        <f>HYPERLINK("https://www.boe.es/gazeta/dias/1815/07/01/pdfs/GMD-1815-79.pdf#page=10","Abrir facsímil")</f>
        <v>Abrir facsímil</v>
      </c>
      <c r="K5273" s="3" t="s">
        <v>74</v>
      </c>
    </row>
    <row r="5274" spans="1:11" ht="42" customHeight="1">
      <c r="A5274" s="2" t="s">
        <v>13175</v>
      </c>
      <c r="B5274" s="2" t="s">
        <v>13176</v>
      </c>
      <c r="C5274" s="2" t="s">
        <v>49</v>
      </c>
      <c r="D5274" s="2" t="s">
        <v>50</v>
      </c>
      <c r="E5274" s="5">
        <v>-31026</v>
      </c>
      <c r="F5274" s="3" t="s">
        <v>874</v>
      </c>
      <c r="G5274" s="3" t="s">
        <v>38</v>
      </c>
      <c r="H5274" s="2" t="s">
        <v>72</v>
      </c>
      <c r="I5274" s="2" t="s">
        <v>13177</v>
      </c>
      <c r="J5274" s="3" t="str">
        <f>HYPERLINK("https://www.boe.es/gazeta/dias/1815/01/19/pdfs/GMD-1815-8.pdf#page=8","Abrir facsímil")</f>
        <v>Abrir facsímil</v>
      </c>
      <c r="K5274" s="3" t="s">
        <v>74</v>
      </c>
    </row>
    <row r="5275" spans="1:11" ht="42" customHeight="1">
      <c r="A5275" s="2" t="s">
        <v>13178</v>
      </c>
      <c r="B5275" s="2" t="s">
        <v>13179</v>
      </c>
      <c r="C5275" s="2" t="s">
        <v>195</v>
      </c>
      <c r="D5275" s="2" t="s">
        <v>50</v>
      </c>
      <c r="E5275" s="5">
        <v>-30874</v>
      </c>
      <c r="F5275" s="3" t="s">
        <v>208</v>
      </c>
      <c r="G5275" s="3" t="s">
        <v>38</v>
      </c>
      <c r="H5275" s="2" t="s">
        <v>72</v>
      </c>
      <c r="I5275" s="2" t="s">
        <v>13180</v>
      </c>
      <c r="J5275" s="3" t="str">
        <f>HYPERLINK("https://www.boe.es/gazeta/dias/1815/06/20/pdfs/GMD-1815-74.pdf#page=8","Abrir facsímil")</f>
        <v>Abrir facsímil</v>
      </c>
      <c r="K5275" s="3" t="s">
        <v>74</v>
      </c>
    </row>
    <row r="5276" spans="1:11" ht="42" customHeight="1">
      <c r="A5276" s="2" t="s">
        <v>13181</v>
      </c>
      <c r="B5276" s="2" t="s">
        <v>13182</v>
      </c>
      <c r="C5276" s="2" t="s">
        <v>195</v>
      </c>
      <c r="D5276" s="2" t="s">
        <v>50</v>
      </c>
      <c r="E5276" s="5">
        <v>-30872</v>
      </c>
      <c r="F5276" s="3" t="s">
        <v>167</v>
      </c>
      <c r="G5276" s="3" t="s">
        <v>342</v>
      </c>
      <c r="H5276" s="2" t="s">
        <v>72</v>
      </c>
      <c r="I5276" s="2" t="s">
        <v>13183</v>
      </c>
      <c r="J5276" s="3" t="str">
        <f>HYPERLINK("https://www.boe.es/gazeta/dias/1815/06/22/pdfs/GMD-1815-75.pdf#page=8","Abrir facsímil")</f>
        <v>Abrir facsímil</v>
      </c>
      <c r="K5276" s="3" t="s">
        <v>74</v>
      </c>
    </row>
    <row r="5277" spans="1:11" ht="42" customHeight="1">
      <c r="A5277" s="2" t="s">
        <v>13184</v>
      </c>
      <c r="B5277" s="2" t="s">
        <v>13184</v>
      </c>
      <c r="C5277" s="2" t="s">
        <v>49</v>
      </c>
      <c r="D5277" s="2" t="s">
        <v>50</v>
      </c>
      <c r="E5277" s="5">
        <v>-30935</v>
      </c>
      <c r="F5277" s="3" t="s">
        <v>519</v>
      </c>
      <c r="G5277" s="3" t="s">
        <v>1793</v>
      </c>
      <c r="H5277" s="2" t="s">
        <v>72</v>
      </c>
      <c r="I5277" s="2" t="s">
        <v>13185</v>
      </c>
      <c r="J5277" s="3" t="str">
        <f>HYPERLINK("https://www.boe.es/gazeta/dias/1815/04/20/pdfs/GMD-1815-48.pdf#page=2","Abrir facsímil")</f>
        <v>Abrir facsímil</v>
      </c>
      <c r="K5277" s="3" t="s">
        <v>74</v>
      </c>
    </row>
    <row r="5278" spans="1:11" ht="42" customHeight="1">
      <c r="A5278" s="2" t="s">
        <v>13186</v>
      </c>
      <c r="B5278" s="2" t="s">
        <v>13187</v>
      </c>
      <c r="C5278" s="2" t="s">
        <v>31</v>
      </c>
      <c r="D5278" s="2" t="s">
        <v>32</v>
      </c>
      <c r="E5278" s="5">
        <v>-30699</v>
      </c>
      <c r="F5278" s="3" t="s">
        <v>810</v>
      </c>
      <c r="G5278" s="3" t="s">
        <v>38</v>
      </c>
      <c r="H5278" s="2" t="s">
        <v>72</v>
      </c>
      <c r="I5278" s="2" t="s">
        <v>13188</v>
      </c>
      <c r="J5278" s="3" t="str">
        <f>HYPERLINK("https://www.boe.es/gazeta/dias/1815/12/12/pdfs/GMD-1815-154.pdf#page=8","Abrir facsímil")</f>
        <v>Abrir facsímil</v>
      </c>
      <c r="K5278" s="3" t="s">
        <v>74</v>
      </c>
    </row>
    <row r="5279" spans="1:11" ht="42" customHeight="1">
      <c r="A5279" s="2" t="s">
        <v>13189</v>
      </c>
      <c r="B5279" s="2" t="s">
        <v>13190</v>
      </c>
      <c r="C5279" s="2" t="s">
        <v>49</v>
      </c>
      <c r="D5279" s="2" t="s">
        <v>50</v>
      </c>
      <c r="E5279" s="5">
        <v>-30818</v>
      </c>
      <c r="F5279" s="3" t="s">
        <v>334</v>
      </c>
      <c r="G5279" s="3" t="s">
        <v>224</v>
      </c>
      <c r="H5279" s="2" t="s">
        <v>72</v>
      </c>
      <c r="I5279" s="2" t="s">
        <v>13191</v>
      </c>
      <c r="J5279" s="3" t="str">
        <f>HYPERLINK("https://www.boe.es/gazeta/dias/1815/08/15/pdfs/GMD-1815-100.pdf#page=9","Abrir facsímil")</f>
        <v>Abrir facsímil</v>
      </c>
      <c r="K5279" s="3" t="s">
        <v>74</v>
      </c>
    </row>
    <row r="5280" spans="1:11" ht="42" customHeight="1">
      <c r="A5280" s="2" t="s">
        <v>13192</v>
      </c>
      <c r="B5280" s="2" t="s">
        <v>13193</v>
      </c>
      <c r="C5280" s="2" t="s">
        <v>31</v>
      </c>
      <c r="D5280" s="2" t="s">
        <v>32</v>
      </c>
      <c r="E5280" s="5">
        <v>-30942</v>
      </c>
      <c r="F5280" s="3" t="s">
        <v>730</v>
      </c>
      <c r="G5280" s="3" t="s">
        <v>862</v>
      </c>
      <c r="H5280" s="2" t="s">
        <v>21</v>
      </c>
      <c r="I5280" s="2" t="s">
        <v>13194</v>
      </c>
      <c r="J5280" s="3" t="str">
        <f>HYPERLINK("https://www.boe.es/gazeta/dias/1815/04/13/pdfs/GMD-1815-45.pdf#page=6","Abrir facsímil")</f>
        <v>Abrir facsímil</v>
      </c>
      <c r="K5280" s="3" t="s">
        <v>23</v>
      </c>
    </row>
    <row r="5281" spans="1:11" ht="42" customHeight="1">
      <c r="A5281" s="2" t="s">
        <v>13195</v>
      </c>
      <c r="B5281" s="2" t="s">
        <v>13196</v>
      </c>
      <c r="C5281" s="2" t="s">
        <v>49</v>
      </c>
      <c r="D5281" s="2" t="s">
        <v>50</v>
      </c>
      <c r="E5281" s="5">
        <v>-30916</v>
      </c>
      <c r="F5281" s="3" t="s">
        <v>147</v>
      </c>
      <c r="G5281" s="3" t="s">
        <v>38</v>
      </c>
      <c r="H5281" s="2" t="s">
        <v>72</v>
      </c>
      <c r="I5281" s="2" t="s">
        <v>13197</v>
      </c>
      <c r="J5281" s="3" t="str">
        <f>HYPERLINK("https://www.boe.es/gazeta/dias/1815/05/09/pdfs/GMD-1815-56.pdf#page=8","Abrir facsímil")</f>
        <v>Abrir facsímil</v>
      </c>
      <c r="K5281" s="3" t="s">
        <v>74</v>
      </c>
    </row>
    <row r="5282" spans="1:11" ht="42" customHeight="1">
      <c r="A5282" s="2" t="s">
        <v>13198</v>
      </c>
      <c r="B5282" s="2" t="s">
        <v>13199</v>
      </c>
      <c r="C5282" s="2" t="s">
        <v>195</v>
      </c>
      <c r="D5282" s="2" t="s">
        <v>50</v>
      </c>
      <c r="E5282" s="5">
        <v>-30940</v>
      </c>
      <c r="F5282" s="3" t="s">
        <v>610</v>
      </c>
      <c r="G5282" s="3" t="s">
        <v>71</v>
      </c>
      <c r="H5282" s="2" t="s">
        <v>72</v>
      </c>
      <c r="I5282" s="2" t="s">
        <v>13200</v>
      </c>
      <c r="J5282" s="3" t="str">
        <f>HYPERLINK("https://www.boe.es/gazeta/dias/1815/04/15/pdfs/GMD-1815-46.pdf#page=7","Abrir facsímil")</f>
        <v>Abrir facsímil</v>
      </c>
      <c r="K5282" s="3" t="s">
        <v>74</v>
      </c>
    </row>
    <row r="5283" spans="1:11" ht="42" customHeight="1">
      <c r="A5283" s="2" t="s">
        <v>13201</v>
      </c>
      <c r="B5283" s="2" t="s">
        <v>13202</v>
      </c>
      <c r="C5283" s="2" t="s">
        <v>49</v>
      </c>
      <c r="D5283" s="2" t="s">
        <v>50</v>
      </c>
      <c r="E5283" s="5">
        <v>-30830</v>
      </c>
      <c r="F5283" s="3" t="s">
        <v>33</v>
      </c>
      <c r="G5283" s="3" t="s">
        <v>52</v>
      </c>
      <c r="H5283" s="2" t="s">
        <v>72</v>
      </c>
      <c r="I5283" s="2" t="s">
        <v>13203</v>
      </c>
      <c r="J5283" s="3" t="str">
        <f>HYPERLINK("https://www.boe.es/gazeta/dias/1815/08/03/pdfs/GMD-1815-95.pdf#page=11","Abrir facsímil")</f>
        <v>Abrir facsímil</v>
      </c>
      <c r="K5283" s="3" t="s">
        <v>74</v>
      </c>
    </row>
    <row r="5284" spans="1:11" ht="42" customHeight="1">
      <c r="A5284" s="2" t="s">
        <v>13204</v>
      </c>
      <c r="B5284" s="2" t="s">
        <v>13205</v>
      </c>
      <c r="C5284" s="2" t="s">
        <v>49</v>
      </c>
      <c r="D5284" s="2" t="s">
        <v>50</v>
      </c>
      <c r="E5284" s="5">
        <v>-30818</v>
      </c>
      <c r="F5284" s="3" t="s">
        <v>334</v>
      </c>
      <c r="G5284" s="3" t="s">
        <v>224</v>
      </c>
      <c r="H5284" s="2" t="s">
        <v>72</v>
      </c>
      <c r="I5284" s="2" t="s">
        <v>13206</v>
      </c>
      <c r="J5284" s="3" t="str">
        <f>HYPERLINK("https://www.boe.es/gazeta/dias/1815/08/15/pdfs/GMD-1815-100.pdf#page=9","Abrir facsímil")</f>
        <v>Abrir facsímil</v>
      </c>
      <c r="K5284" s="3" t="s">
        <v>74</v>
      </c>
    </row>
    <row r="5285" spans="1:11" ht="42" customHeight="1">
      <c r="A5285" s="2" t="s">
        <v>13207</v>
      </c>
      <c r="B5285" s="2" t="s">
        <v>13207</v>
      </c>
      <c r="C5285" s="2" t="s">
        <v>31</v>
      </c>
      <c r="D5285" s="2" t="s">
        <v>32</v>
      </c>
      <c r="E5285" s="5">
        <v>-30716</v>
      </c>
      <c r="F5285" s="3" t="s">
        <v>589</v>
      </c>
      <c r="G5285" s="3" t="s">
        <v>377</v>
      </c>
      <c r="H5285" s="2" t="s">
        <v>72</v>
      </c>
      <c r="I5285" s="2" t="s">
        <v>13208</v>
      </c>
      <c r="J5285" s="3" t="str">
        <f>HYPERLINK("https://www.boe.es/gazeta/dias/1815/11/25/pdfs/GMD-1815-147.pdf#page=2","Abrir facsímil")</f>
        <v>Abrir facsímil</v>
      </c>
      <c r="K5285" s="3" t="s">
        <v>74</v>
      </c>
    </row>
    <row r="5286" spans="1:11" ht="42" customHeight="1">
      <c r="A5286" s="2" t="s">
        <v>13209</v>
      </c>
      <c r="B5286" s="2" t="s">
        <v>13209</v>
      </c>
      <c r="C5286" s="2" t="s">
        <v>31</v>
      </c>
      <c r="D5286" s="2" t="s">
        <v>32</v>
      </c>
      <c r="E5286" s="5">
        <v>-30823</v>
      </c>
      <c r="F5286" s="3" t="s">
        <v>305</v>
      </c>
      <c r="G5286" s="3" t="s">
        <v>410</v>
      </c>
      <c r="H5286" s="2" t="s">
        <v>72</v>
      </c>
      <c r="I5286" s="2" t="s">
        <v>13210</v>
      </c>
      <c r="J5286" s="3" t="str">
        <f>HYPERLINK("https://www.boe.es/gazeta/dias/1815/08/10/pdfs/GMD-1815-98.pdf#page=1","Abrir facsímil")</f>
        <v>Abrir facsímil</v>
      </c>
      <c r="K5286" s="3" t="s">
        <v>74</v>
      </c>
    </row>
    <row r="5287" spans="1:11" ht="42" customHeight="1">
      <c r="A5287" s="2" t="s">
        <v>13211</v>
      </c>
      <c r="B5287" s="2" t="s">
        <v>13212</v>
      </c>
      <c r="C5287" s="2" t="s">
        <v>195</v>
      </c>
      <c r="D5287" s="2" t="s">
        <v>50</v>
      </c>
      <c r="E5287" s="5">
        <v>-30949</v>
      </c>
      <c r="F5287" s="3" t="s">
        <v>420</v>
      </c>
      <c r="G5287" s="3" t="s">
        <v>27</v>
      </c>
      <c r="H5287" s="2" t="s">
        <v>72</v>
      </c>
      <c r="I5287" s="2" t="s">
        <v>13213</v>
      </c>
      <c r="J5287" s="3" t="str">
        <f>HYPERLINK("https://www.boe.es/gazeta/dias/1815/04/06/pdfs/GMD-1815-42.pdf#page=6","Abrir facsímil")</f>
        <v>Abrir facsímil</v>
      </c>
      <c r="K5287" s="3" t="s">
        <v>74</v>
      </c>
    </row>
    <row r="5288" spans="1:11" ht="42" customHeight="1">
      <c r="A5288" s="2" t="s">
        <v>13214</v>
      </c>
      <c r="B5288" s="2" t="s">
        <v>13215</v>
      </c>
      <c r="C5288" s="2" t="s">
        <v>195</v>
      </c>
      <c r="D5288" s="2" t="s">
        <v>50</v>
      </c>
      <c r="E5288" s="5">
        <v>-30879</v>
      </c>
      <c r="F5288" s="3" t="s">
        <v>754</v>
      </c>
      <c r="G5288" s="3" t="s">
        <v>88</v>
      </c>
      <c r="H5288" s="2" t="s">
        <v>72</v>
      </c>
      <c r="I5288" s="2" t="s">
        <v>13216</v>
      </c>
      <c r="J5288" s="3" t="str">
        <f>HYPERLINK("https://www.boe.es/gazeta/dias/1815/06/15/pdfs/GMD-1815-72.pdf#page=10","Abrir facsímil")</f>
        <v>Abrir facsímil</v>
      </c>
      <c r="K5288" s="3" t="s">
        <v>74</v>
      </c>
    </row>
    <row r="5289" spans="1:11" ht="42" customHeight="1">
      <c r="A5289" s="2" t="s">
        <v>13217</v>
      </c>
      <c r="B5289" s="2" t="s">
        <v>13218</v>
      </c>
      <c r="C5289" s="2" t="s">
        <v>131</v>
      </c>
      <c r="D5289" s="2" t="s">
        <v>50</v>
      </c>
      <c r="E5289" s="5">
        <v>-30977</v>
      </c>
      <c r="F5289" s="3" t="s">
        <v>37</v>
      </c>
      <c r="G5289" s="3" t="s">
        <v>57</v>
      </c>
      <c r="H5289" s="2" t="s">
        <v>21</v>
      </c>
      <c r="I5289" s="2" t="s">
        <v>13219</v>
      </c>
      <c r="J5289" s="3" t="str">
        <f>HYPERLINK("https://www.boe.es/gazeta/dias/1815/03/09/pdfs/GMD-1815-29.pdf#page=5","Abrir facsímil")</f>
        <v>Abrir facsímil</v>
      </c>
      <c r="K5289" s="3" t="s">
        <v>23</v>
      </c>
    </row>
    <row r="5290" spans="1:11" ht="42" customHeight="1">
      <c r="A5290" s="2" t="s">
        <v>13217</v>
      </c>
      <c r="B5290" s="2" t="s">
        <v>13218</v>
      </c>
      <c r="C5290" s="2" t="s">
        <v>31</v>
      </c>
      <c r="D5290" s="2" t="s">
        <v>32</v>
      </c>
      <c r="E5290" s="5">
        <v>-30961</v>
      </c>
      <c r="F5290" s="3" t="s">
        <v>1176</v>
      </c>
      <c r="G5290" s="3" t="s">
        <v>1177</v>
      </c>
      <c r="H5290" s="2" t="s">
        <v>21</v>
      </c>
      <c r="I5290" s="2" t="s">
        <v>13220</v>
      </c>
      <c r="J5290" s="3" t="str">
        <f>HYPERLINK("https://www.boe.es/gazeta/dias/1815/03/25/pdfs/GMD-1815-36.pdf#page=7","Abrir facsímil")</f>
        <v>Abrir facsímil</v>
      </c>
      <c r="K5290" s="3" t="s">
        <v>23</v>
      </c>
    </row>
    <row r="5291" spans="1:11" ht="42" customHeight="1">
      <c r="A5291" s="2" t="s">
        <v>13217</v>
      </c>
      <c r="B5291" s="2" t="s">
        <v>13218</v>
      </c>
      <c r="C5291" s="2" t="s">
        <v>31</v>
      </c>
      <c r="D5291" s="2" t="s">
        <v>32</v>
      </c>
      <c r="E5291" s="5">
        <v>-30947</v>
      </c>
      <c r="F5291" s="3" t="s">
        <v>159</v>
      </c>
      <c r="G5291" s="3" t="s">
        <v>4728</v>
      </c>
      <c r="H5291" s="2" t="s">
        <v>21</v>
      </c>
      <c r="I5291" s="2" t="s">
        <v>13221</v>
      </c>
      <c r="J5291" s="3" t="str">
        <f>HYPERLINK("https://www.boe.es/gazeta/dias/1815/04/08/pdfs/GMD-1815-43.pdf#page=4","Abrir facsímil")</f>
        <v>Abrir facsímil</v>
      </c>
      <c r="K5291" s="3" t="s">
        <v>23</v>
      </c>
    </row>
    <row r="5292" spans="1:11" ht="42" customHeight="1">
      <c r="A5292" s="2" t="s">
        <v>13222</v>
      </c>
      <c r="B5292" s="2" t="s">
        <v>13223</v>
      </c>
      <c r="C5292" s="2" t="s">
        <v>195</v>
      </c>
      <c r="D5292" s="2" t="s">
        <v>50</v>
      </c>
      <c r="E5292" s="5">
        <v>-30888</v>
      </c>
      <c r="F5292" s="3" t="s">
        <v>368</v>
      </c>
      <c r="G5292" s="3" t="s">
        <v>369</v>
      </c>
      <c r="H5292" s="2" t="s">
        <v>72</v>
      </c>
      <c r="I5292" s="2" t="s">
        <v>13224</v>
      </c>
      <c r="J5292" s="3" t="str">
        <f>HYPERLINK("https://www.boe.es/gazeta/dias/1815/06/06/pdfs/GMD-1815-68.pdf#page=7","Abrir facsímil")</f>
        <v>Abrir facsímil</v>
      </c>
      <c r="K5292" s="3" t="s">
        <v>74</v>
      </c>
    </row>
    <row r="5293" spans="1:11" ht="42" customHeight="1">
      <c r="A5293" s="2" t="s">
        <v>13225</v>
      </c>
      <c r="B5293" s="2" t="s">
        <v>13226</v>
      </c>
      <c r="C5293" s="2" t="s">
        <v>195</v>
      </c>
      <c r="D5293" s="2" t="s">
        <v>50</v>
      </c>
      <c r="E5293" s="5">
        <v>-30949</v>
      </c>
      <c r="F5293" s="3" t="s">
        <v>420</v>
      </c>
      <c r="G5293" s="3" t="s">
        <v>27</v>
      </c>
      <c r="H5293" s="2" t="s">
        <v>72</v>
      </c>
      <c r="I5293" s="2" t="s">
        <v>13227</v>
      </c>
      <c r="J5293" s="3" t="str">
        <f>HYPERLINK("https://www.boe.es/gazeta/dias/1815/04/06/pdfs/GMD-1815-42.pdf#page=6","Abrir facsímil")</f>
        <v>Abrir facsímil</v>
      </c>
      <c r="K5293" s="3" t="s">
        <v>74</v>
      </c>
    </row>
    <row r="5294" spans="1:11" ht="42" customHeight="1">
      <c r="A5294" s="2" t="s">
        <v>13228</v>
      </c>
      <c r="B5294" s="2" t="s">
        <v>13229</v>
      </c>
      <c r="C5294" s="2" t="s">
        <v>31</v>
      </c>
      <c r="D5294" s="2" t="s">
        <v>32</v>
      </c>
      <c r="E5294" s="5">
        <v>-30818</v>
      </c>
      <c r="F5294" s="3" t="s">
        <v>334</v>
      </c>
      <c r="G5294" s="3" t="s">
        <v>38</v>
      </c>
      <c r="H5294" s="2" t="s">
        <v>72</v>
      </c>
      <c r="I5294" s="2" t="s">
        <v>13230</v>
      </c>
      <c r="J5294" s="3" t="str">
        <f>HYPERLINK("https://www.boe.es/gazeta/dias/1815/08/15/pdfs/GMD-1815-100.pdf#page=8","Abrir facsímil")</f>
        <v>Abrir facsímil</v>
      </c>
      <c r="K5294" s="3" t="s">
        <v>74</v>
      </c>
    </row>
    <row r="5295" spans="1:11" ht="42" customHeight="1">
      <c r="A5295" s="2" t="s">
        <v>13231</v>
      </c>
      <c r="B5295" s="2" t="s">
        <v>13232</v>
      </c>
      <c r="C5295" s="2" t="s">
        <v>49</v>
      </c>
      <c r="D5295" s="2" t="s">
        <v>50</v>
      </c>
      <c r="E5295" s="5">
        <v>-30951</v>
      </c>
      <c r="F5295" s="3" t="s">
        <v>87</v>
      </c>
      <c r="G5295" s="3" t="s">
        <v>88</v>
      </c>
      <c r="H5295" s="2" t="s">
        <v>72</v>
      </c>
      <c r="I5295" s="2" t="s">
        <v>13233</v>
      </c>
      <c r="J5295" s="3" t="str">
        <f>HYPERLINK("https://www.boe.es/gazeta/dias/1815/04/04/pdfs/GMD-1815-41.pdf#page=10","Abrir facsímil")</f>
        <v>Abrir facsímil</v>
      </c>
      <c r="K5295" s="3" t="s">
        <v>74</v>
      </c>
    </row>
    <row r="5296" spans="1:11" ht="42" customHeight="1">
      <c r="A5296" s="2" t="s">
        <v>13234</v>
      </c>
      <c r="B5296" s="2" t="s">
        <v>13235</v>
      </c>
      <c r="C5296" s="2" t="s">
        <v>49</v>
      </c>
      <c r="D5296" s="2" t="s">
        <v>50</v>
      </c>
      <c r="E5296" s="5">
        <v>-30870</v>
      </c>
      <c r="F5296" s="3" t="s">
        <v>122</v>
      </c>
      <c r="G5296" s="3" t="s">
        <v>88</v>
      </c>
      <c r="H5296" s="2" t="s">
        <v>72</v>
      </c>
      <c r="I5296" s="2" t="s">
        <v>13236</v>
      </c>
      <c r="J5296" s="3" t="str">
        <f>HYPERLINK("https://www.boe.es/gazeta/dias/1815/06/24/pdfs/GMD-1815-76.pdf#page=10","Abrir facsímil")</f>
        <v>Abrir facsímil</v>
      </c>
      <c r="K5296" s="3" t="s">
        <v>74</v>
      </c>
    </row>
    <row r="5297" spans="1:11" ht="42" customHeight="1">
      <c r="A5297" s="2" t="s">
        <v>13237</v>
      </c>
      <c r="B5297" s="2" t="s">
        <v>13238</v>
      </c>
      <c r="C5297" s="2" t="s">
        <v>49</v>
      </c>
      <c r="D5297" s="2" t="s">
        <v>50</v>
      </c>
      <c r="E5297" s="5">
        <v>-30702</v>
      </c>
      <c r="F5297" s="3" t="s">
        <v>196</v>
      </c>
      <c r="G5297" s="3" t="s">
        <v>38</v>
      </c>
      <c r="H5297" s="2" t="s">
        <v>72</v>
      </c>
      <c r="I5297" s="2" t="s">
        <v>13239</v>
      </c>
      <c r="J5297" s="3" t="str">
        <f>HYPERLINK("https://www.boe.es/gazeta/dias/1815/12/09/pdfs/GMD-1815-153.pdf#page=8","Abrir facsímil")</f>
        <v>Abrir facsímil</v>
      </c>
      <c r="K5297" s="3" t="s">
        <v>74</v>
      </c>
    </row>
    <row r="5298" spans="1:11" ht="42" customHeight="1">
      <c r="A5298" s="2" t="s">
        <v>13240</v>
      </c>
      <c r="B5298" s="2" t="s">
        <v>13241</v>
      </c>
      <c r="C5298" s="2" t="s">
        <v>31</v>
      </c>
      <c r="D5298" s="2" t="s">
        <v>32</v>
      </c>
      <c r="E5298" s="5">
        <v>-30723</v>
      </c>
      <c r="F5298" s="3" t="s">
        <v>77</v>
      </c>
      <c r="G5298" s="3" t="s">
        <v>57</v>
      </c>
      <c r="H5298" s="2" t="s">
        <v>72</v>
      </c>
      <c r="I5298" s="2" t="s">
        <v>13242</v>
      </c>
      <c r="J5298" s="3" t="str">
        <f>HYPERLINK("https://www.boe.es/gazeta/dias/1815/11/18/pdfs/GMD-1815-144.pdf#page=5","Abrir facsímil")</f>
        <v>Abrir facsímil</v>
      </c>
      <c r="K5298" s="3" t="s">
        <v>74</v>
      </c>
    </row>
    <row r="5299" spans="1:11" ht="42" customHeight="1">
      <c r="A5299" s="2" t="s">
        <v>13243</v>
      </c>
      <c r="B5299" s="2" t="s">
        <v>13244</v>
      </c>
      <c r="C5299" s="2" t="s">
        <v>195</v>
      </c>
      <c r="D5299" s="2" t="s">
        <v>50</v>
      </c>
      <c r="E5299" s="5">
        <v>-31000</v>
      </c>
      <c r="F5299" s="3" t="s">
        <v>70</v>
      </c>
      <c r="G5299" s="3" t="s">
        <v>71</v>
      </c>
      <c r="H5299" s="2" t="s">
        <v>72</v>
      </c>
      <c r="I5299" s="2" t="s">
        <v>13245</v>
      </c>
      <c r="J5299" s="3" t="str">
        <f>HYPERLINK("https://www.boe.es/gazeta/dias/1815/02/14/pdfs/GMD-1815-19.pdf#page=7","Abrir facsímil")</f>
        <v>Abrir facsímil</v>
      </c>
      <c r="K5299" s="3" t="s">
        <v>74</v>
      </c>
    </row>
    <row r="5300" spans="1:11" ht="42" customHeight="1">
      <c r="A5300" s="2" t="s">
        <v>13246</v>
      </c>
      <c r="B5300" s="2" t="s">
        <v>13247</v>
      </c>
      <c r="C5300" s="2" t="s">
        <v>31</v>
      </c>
      <c r="D5300" s="2" t="s">
        <v>32</v>
      </c>
      <c r="E5300" s="5">
        <v>-30795</v>
      </c>
      <c r="F5300" s="3" t="s">
        <v>172</v>
      </c>
      <c r="G5300" s="3" t="s">
        <v>57</v>
      </c>
      <c r="H5300" s="2" t="s">
        <v>72</v>
      </c>
      <c r="I5300" s="2" t="s">
        <v>13248</v>
      </c>
      <c r="J5300" s="3" t="str">
        <f>HYPERLINK("https://www.boe.es/gazeta/dias/1815/09/07/pdfs/GMD-1815-111.pdf#page=5","Abrir facsímil")</f>
        <v>Abrir facsímil</v>
      </c>
      <c r="K5300" s="3" t="s">
        <v>74</v>
      </c>
    </row>
    <row r="5301" spans="1:11" ht="42" customHeight="1">
      <c r="A5301" s="2" t="s">
        <v>13249</v>
      </c>
      <c r="B5301" s="2" t="s">
        <v>13250</v>
      </c>
      <c r="C5301" s="2" t="s">
        <v>897</v>
      </c>
      <c r="D5301" s="2" t="s">
        <v>50</v>
      </c>
      <c r="E5301" s="5">
        <v>-30886</v>
      </c>
      <c r="F5301" s="3" t="s">
        <v>140</v>
      </c>
      <c r="G5301" s="3" t="s">
        <v>276</v>
      </c>
      <c r="H5301" s="2" t="s">
        <v>72</v>
      </c>
      <c r="I5301" s="2" t="s">
        <v>13251</v>
      </c>
      <c r="J5301" s="3" t="str">
        <f>HYPERLINK("https://www.boe.es/gazeta/dias/1815/06/08/pdfs/GMD-1815-69.pdf#page=12","Abrir facsímil")</f>
        <v>Abrir facsímil</v>
      </c>
      <c r="K5301" s="3" t="s">
        <v>74</v>
      </c>
    </row>
    <row r="5302" spans="1:11" ht="42" customHeight="1">
      <c r="A5302" s="2" t="s">
        <v>13252</v>
      </c>
      <c r="B5302" s="2" t="s">
        <v>13253</v>
      </c>
      <c r="C5302" s="2" t="s">
        <v>131</v>
      </c>
      <c r="D5302" s="2" t="s">
        <v>50</v>
      </c>
      <c r="E5302" s="5">
        <v>-30989</v>
      </c>
      <c r="F5302" s="3" t="s">
        <v>2441</v>
      </c>
      <c r="G5302" s="3" t="s">
        <v>97</v>
      </c>
      <c r="H5302" s="2" t="s">
        <v>21</v>
      </c>
      <c r="I5302" s="2" t="s">
        <v>13254</v>
      </c>
      <c r="J5302" s="3" t="str">
        <f>HYPERLINK("https://www.boe.es/gazeta/dias/1815/02/25/pdfs/GMD-1815-24.pdf#page=3","Abrir facsímil")</f>
        <v>Abrir facsímil</v>
      </c>
      <c r="K5302" s="3" t="s">
        <v>23</v>
      </c>
    </row>
    <row r="5303" spans="1:11" ht="42" customHeight="1">
      <c r="A5303" s="2" t="s">
        <v>13255</v>
      </c>
      <c r="B5303" s="2" t="s">
        <v>13256</v>
      </c>
      <c r="C5303" s="2" t="s">
        <v>31</v>
      </c>
      <c r="D5303" s="2" t="s">
        <v>32</v>
      </c>
      <c r="E5303" s="5">
        <v>-31028</v>
      </c>
      <c r="F5303" s="3" t="s">
        <v>517</v>
      </c>
      <c r="G5303" s="3" t="s">
        <v>88</v>
      </c>
      <c r="H5303" s="2" t="s">
        <v>72</v>
      </c>
      <c r="I5303" s="2" t="s">
        <v>13257</v>
      </c>
      <c r="J5303" s="3" t="str">
        <f>HYPERLINK("https://www.boe.es/gazeta/dias/1815/01/17/pdfs/GMD-1815-7.pdf#page=10","Abrir facsímil")</f>
        <v>Abrir facsímil</v>
      </c>
      <c r="K5303" s="3" t="s">
        <v>74</v>
      </c>
    </row>
    <row r="5304" spans="1:11" ht="42" customHeight="1">
      <c r="A5304" s="2" t="s">
        <v>13258</v>
      </c>
      <c r="B5304" s="2" t="s">
        <v>13259</v>
      </c>
      <c r="C5304" s="2" t="s">
        <v>31</v>
      </c>
      <c r="D5304" s="2" t="s">
        <v>32</v>
      </c>
      <c r="E5304" s="5">
        <v>-30730</v>
      </c>
      <c r="F5304" s="3" t="s">
        <v>953</v>
      </c>
      <c r="G5304" s="3" t="s">
        <v>38</v>
      </c>
      <c r="H5304" s="2" t="s">
        <v>72</v>
      </c>
      <c r="I5304" s="2" t="s">
        <v>13260</v>
      </c>
      <c r="J5304" s="3" t="str">
        <f>HYPERLINK("https://www.boe.es/gazeta/dias/1815/11/11/pdfs/GMD-1815-141.pdf#page=8","Abrir facsímil")</f>
        <v>Abrir facsímil</v>
      </c>
      <c r="K5304" s="3" t="s">
        <v>74</v>
      </c>
    </row>
    <row r="5305" spans="1:11" ht="42" customHeight="1">
      <c r="A5305" s="2" t="s">
        <v>13261</v>
      </c>
      <c r="B5305" s="2" t="s">
        <v>13261</v>
      </c>
      <c r="C5305" s="2" t="s">
        <v>31</v>
      </c>
      <c r="D5305" s="2" t="s">
        <v>179</v>
      </c>
      <c r="E5305" s="5">
        <v>-30860</v>
      </c>
      <c r="F5305" s="3" t="s">
        <v>180</v>
      </c>
      <c r="G5305" s="3" t="s">
        <v>377</v>
      </c>
      <c r="H5305" s="2" t="s">
        <v>72</v>
      </c>
      <c r="I5305" s="2" t="s">
        <v>13262</v>
      </c>
      <c r="J5305" s="3" t="str">
        <f>HYPERLINK("https://www.boe.es/gazeta/dias/1815/07/04/pdfs/GMD-1815-82E.pdf#page=2","Abrir facsímil")</f>
        <v>Abrir facsímil</v>
      </c>
      <c r="K5305" s="3" t="s">
        <v>74</v>
      </c>
    </row>
    <row r="5306" spans="1:11" ht="42" customHeight="1">
      <c r="A5306" s="2" t="s">
        <v>13263</v>
      </c>
      <c r="B5306" s="2" t="s">
        <v>13264</v>
      </c>
      <c r="C5306" s="2" t="s">
        <v>17</v>
      </c>
      <c r="D5306" s="2" t="s">
        <v>18</v>
      </c>
      <c r="E5306" s="5">
        <v>-30982</v>
      </c>
      <c r="F5306" s="3" t="s">
        <v>220</v>
      </c>
      <c r="G5306" s="3" t="s">
        <v>71</v>
      </c>
      <c r="H5306" s="2" t="s">
        <v>72</v>
      </c>
      <c r="I5306" s="2" t="s">
        <v>13265</v>
      </c>
      <c r="J5306" s="3" t="str">
        <f>HYPERLINK("https://www.boe.es/gazeta/dias/1815/03/04/pdfs/GMD-1815-27.pdf#page=7","Abrir facsímil")</f>
        <v>Abrir facsímil</v>
      </c>
      <c r="K5306" s="3" t="s">
        <v>74</v>
      </c>
    </row>
    <row r="5307" spans="1:11" ht="42" customHeight="1">
      <c r="A5307" s="2" t="s">
        <v>13266</v>
      </c>
      <c r="B5307" s="2" t="s">
        <v>13267</v>
      </c>
      <c r="C5307" s="2" t="s">
        <v>49</v>
      </c>
      <c r="D5307" s="2" t="s">
        <v>50</v>
      </c>
      <c r="E5307" s="5">
        <v>-30940</v>
      </c>
      <c r="F5307" s="3" t="s">
        <v>610</v>
      </c>
      <c r="G5307" s="3" t="s">
        <v>71</v>
      </c>
      <c r="H5307" s="2" t="s">
        <v>21</v>
      </c>
      <c r="I5307" s="2" t="s">
        <v>13268</v>
      </c>
      <c r="J5307" s="3" t="str">
        <f>HYPERLINK("https://www.boe.es/gazeta/dias/1815/04/15/pdfs/GMD-1815-46.pdf#page=7","Abrir facsímil")</f>
        <v>Abrir facsímil</v>
      </c>
      <c r="K5307" s="3" t="s">
        <v>23</v>
      </c>
    </row>
    <row r="5308" spans="1:11" ht="42" customHeight="1">
      <c r="A5308" s="2" t="s">
        <v>13269</v>
      </c>
      <c r="B5308" s="2" t="s">
        <v>13270</v>
      </c>
      <c r="C5308" s="2" t="s">
        <v>61</v>
      </c>
      <c r="D5308" s="2" t="s">
        <v>50</v>
      </c>
      <c r="E5308" s="5">
        <v>-30872</v>
      </c>
      <c r="F5308" s="3" t="s">
        <v>167</v>
      </c>
      <c r="G5308" s="3" t="s">
        <v>276</v>
      </c>
      <c r="H5308" s="2" t="s">
        <v>72</v>
      </c>
      <c r="I5308" s="2" t="s">
        <v>13271</v>
      </c>
      <c r="J5308" s="3" t="str">
        <f>HYPERLINK("https://www.boe.es/gazeta/dias/1815/06/22/pdfs/GMD-1815-75.pdf#page=12","Abrir facsímil")</f>
        <v>Abrir facsímil</v>
      </c>
      <c r="K5308" s="3" t="s">
        <v>74</v>
      </c>
    </row>
    <row r="5309" spans="1:11" ht="42" customHeight="1">
      <c r="A5309" s="2" t="s">
        <v>13272</v>
      </c>
      <c r="B5309" s="2" t="s">
        <v>13273</v>
      </c>
      <c r="C5309" s="2" t="s">
        <v>195</v>
      </c>
      <c r="D5309" s="2" t="s">
        <v>50</v>
      </c>
      <c r="E5309" s="5">
        <v>-30888</v>
      </c>
      <c r="F5309" s="3" t="s">
        <v>368</v>
      </c>
      <c r="G5309" s="3" t="s">
        <v>38</v>
      </c>
      <c r="H5309" s="2" t="s">
        <v>21</v>
      </c>
      <c r="I5309" s="2" t="s">
        <v>13274</v>
      </c>
      <c r="J5309" s="3" t="str">
        <f>HYPERLINK("https://www.boe.es/gazeta/dias/1815/06/06/pdfs/GMD-1815-68.pdf#page=8","Abrir facsímil")</f>
        <v>Abrir facsímil</v>
      </c>
      <c r="K5309" s="3" t="s">
        <v>23</v>
      </c>
    </row>
    <row r="5310" spans="1:11" ht="42" customHeight="1">
      <c r="A5310" s="2" t="s">
        <v>13275</v>
      </c>
      <c r="B5310" s="2" t="s">
        <v>13276</v>
      </c>
      <c r="C5310" s="2" t="s">
        <v>31</v>
      </c>
      <c r="D5310" s="2" t="s">
        <v>32</v>
      </c>
      <c r="E5310" s="5">
        <v>-31038</v>
      </c>
      <c r="F5310" s="3" t="s">
        <v>395</v>
      </c>
      <c r="G5310" s="3" t="s">
        <v>396</v>
      </c>
      <c r="H5310" s="2" t="s">
        <v>72</v>
      </c>
      <c r="I5310" s="2" t="s">
        <v>13277</v>
      </c>
      <c r="J5310" s="3" t="str">
        <f>HYPERLINK("https://www.boe.es/gazeta/dias/1815/01/07/pdfs/GMD-1815-3.pdf#page=5","Abrir facsímil")</f>
        <v>Abrir facsímil</v>
      </c>
      <c r="K5310" s="3" t="s">
        <v>74</v>
      </c>
    </row>
    <row r="5311" spans="1:11" ht="42" customHeight="1">
      <c r="A5311" s="2" t="s">
        <v>13278</v>
      </c>
      <c r="B5311" s="2" t="s">
        <v>13279</v>
      </c>
      <c r="C5311" s="2" t="s">
        <v>195</v>
      </c>
      <c r="D5311" s="2" t="s">
        <v>50</v>
      </c>
      <c r="E5311" s="5">
        <v>-30923</v>
      </c>
      <c r="F5311" s="3" t="s">
        <v>524</v>
      </c>
      <c r="G5311" s="3" t="s">
        <v>88</v>
      </c>
      <c r="H5311" s="2" t="s">
        <v>72</v>
      </c>
      <c r="I5311" s="2" t="s">
        <v>13280</v>
      </c>
      <c r="J5311" s="3" t="str">
        <f>HYPERLINK("https://www.boe.es/gazeta/dias/1815/05/02/pdfs/GMD-1815-53.pdf#page=10","Abrir facsímil")</f>
        <v>Abrir facsímil</v>
      </c>
      <c r="K5311" s="3" t="s">
        <v>74</v>
      </c>
    </row>
    <row r="5312" spans="1:11" ht="42" customHeight="1">
      <c r="A5312" s="2" t="s">
        <v>13281</v>
      </c>
      <c r="B5312" s="2" t="s">
        <v>13282</v>
      </c>
      <c r="C5312" s="2" t="s">
        <v>31</v>
      </c>
      <c r="D5312" s="2" t="s">
        <v>32</v>
      </c>
      <c r="E5312" s="5">
        <v>-30937</v>
      </c>
      <c r="F5312" s="3" t="s">
        <v>322</v>
      </c>
      <c r="G5312" s="3" t="s">
        <v>27</v>
      </c>
      <c r="H5312" s="2" t="s">
        <v>21</v>
      </c>
      <c r="I5312" s="2" t="s">
        <v>13283</v>
      </c>
      <c r="J5312" s="3" t="str">
        <f>HYPERLINK("https://www.boe.es/gazeta/dias/1815/04/18/pdfs/GMD-1815-47.pdf#page=6","Abrir facsímil")</f>
        <v>Abrir facsímil</v>
      </c>
      <c r="K5312" s="3" t="s">
        <v>23</v>
      </c>
    </row>
    <row r="5313" spans="1:11" ht="42" customHeight="1">
      <c r="A5313" s="2" t="s">
        <v>13284</v>
      </c>
      <c r="B5313" s="2" t="s">
        <v>13285</v>
      </c>
      <c r="C5313" s="2" t="s">
        <v>31</v>
      </c>
      <c r="D5313" s="2" t="s">
        <v>32</v>
      </c>
      <c r="E5313" s="5">
        <v>-30818</v>
      </c>
      <c r="F5313" s="3" t="s">
        <v>334</v>
      </c>
      <c r="G5313" s="3" t="s">
        <v>224</v>
      </c>
      <c r="H5313" s="2" t="s">
        <v>72</v>
      </c>
      <c r="I5313" s="2" t="s">
        <v>13286</v>
      </c>
      <c r="J5313" s="3" t="str">
        <f>HYPERLINK("https://www.boe.es/gazeta/dias/1815/08/15/pdfs/GMD-1815-100.pdf#page=9","Abrir facsímil")</f>
        <v>Abrir facsímil</v>
      </c>
      <c r="K5313" s="3" t="s">
        <v>74</v>
      </c>
    </row>
    <row r="5314" spans="1:11" ht="42" customHeight="1">
      <c r="A5314" s="2" t="s">
        <v>13287</v>
      </c>
      <c r="B5314" s="2" t="s">
        <v>13288</v>
      </c>
      <c r="C5314" s="2" t="s">
        <v>61</v>
      </c>
      <c r="D5314" s="2" t="s">
        <v>50</v>
      </c>
      <c r="E5314" s="5">
        <v>-30769</v>
      </c>
      <c r="F5314" s="3" t="s">
        <v>1641</v>
      </c>
      <c r="G5314" s="3" t="s">
        <v>38</v>
      </c>
      <c r="H5314" s="2" t="s">
        <v>72</v>
      </c>
      <c r="I5314" s="2" t="s">
        <v>13289</v>
      </c>
      <c r="J5314" s="3" t="str">
        <f>HYPERLINK("https://www.boe.es/gazeta/dias/1815/10/03/pdfs/GMD-1815-124.pdf#page=8","Abrir facsímil")</f>
        <v>Abrir facsímil</v>
      </c>
      <c r="K5314" s="3" t="s">
        <v>74</v>
      </c>
    </row>
    <row r="5315" spans="1:11" ht="42" customHeight="1">
      <c r="A5315" s="2" t="s">
        <v>13290</v>
      </c>
      <c r="B5315" s="2" t="s">
        <v>13291</v>
      </c>
      <c r="C5315" s="2" t="s">
        <v>17</v>
      </c>
      <c r="D5315" s="2" t="s">
        <v>18</v>
      </c>
      <c r="E5315" s="5">
        <v>-30795</v>
      </c>
      <c r="F5315" s="3" t="s">
        <v>172</v>
      </c>
      <c r="G5315" s="3" t="s">
        <v>276</v>
      </c>
      <c r="H5315" s="2" t="s">
        <v>72</v>
      </c>
      <c r="I5315" s="2" t="s">
        <v>13292</v>
      </c>
      <c r="J5315" s="3" t="str">
        <f>HYPERLINK("https://www.boe.es/gazeta/dias/1815/09/07/pdfs/GMD-1815-111.pdf#page=12","Abrir facsímil")</f>
        <v>Abrir facsímil</v>
      </c>
      <c r="K5315" s="3" t="s">
        <v>74</v>
      </c>
    </row>
    <row r="5316" spans="1:11" ht="42" customHeight="1">
      <c r="A5316" s="2" t="s">
        <v>13293</v>
      </c>
      <c r="B5316" s="2" t="s">
        <v>13294</v>
      </c>
      <c r="C5316" s="2" t="s">
        <v>17</v>
      </c>
      <c r="D5316" s="2" t="s">
        <v>18</v>
      </c>
      <c r="E5316" s="5">
        <v>-30991</v>
      </c>
      <c r="F5316" s="3" t="s">
        <v>318</v>
      </c>
      <c r="G5316" s="3" t="s">
        <v>4115</v>
      </c>
      <c r="H5316" s="2" t="s">
        <v>72</v>
      </c>
      <c r="I5316" s="2" t="s">
        <v>13295</v>
      </c>
      <c r="J5316" s="3" t="str">
        <f>HYPERLINK("https://www.boe.es/gazeta/dias/1815/02/23/pdfs/GMD-1815-23.pdf#page=7","Abrir facsímil")</f>
        <v>Abrir facsímil</v>
      </c>
      <c r="K5316" s="3" t="s">
        <v>74</v>
      </c>
    </row>
    <row r="5317" spans="1:11" ht="42" customHeight="1">
      <c r="A5317" s="2" t="s">
        <v>13296</v>
      </c>
      <c r="B5317" s="2" t="s">
        <v>13297</v>
      </c>
      <c r="C5317" s="2" t="s">
        <v>195</v>
      </c>
      <c r="D5317" s="2" t="s">
        <v>50</v>
      </c>
      <c r="E5317" s="5">
        <v>-30879</v>
      </c>
      <c r="F5317" s="3" t="s">
        <v>754</v>
      </c>
      <c r="G5317" s="3" t="s">
        <v>88</v>
      </c>
      <c r="H5317" s="2" t="s">
        <v>72</v>
      </c>
      <c r="I5317" s="2" t="s">
        <v>13298</v>
      </c>
      <c r="J5317" s="3" t="str">
        <f>HYPERLINK("https://www.boe.es/gazeta/dias/1815/06/15/pdfs/GMD-1815-72.pdf#page=10","Abrir facsímil")</f>
        <v>Abrir facsímil</v>
      </c>
      <c r="K5317" s="3" t="s">
        <v>74</v>
      </c>
    </row>
    <row r="5318" spans="1:11" ht="42" customHeight="1">
      <c r="A5318" s="2" t="s">
        <v>13299</v>
      </c>
      <c r="B5318" s="2" t="s">
        <v>13300</v>
      </c>
      <c r="C5318" s="2" t="s">
        <v>49</v>
      </c>
      <c r="D5318" s="2" t="s">
        <v>50</v>
      </c>
      <c r="E5318" s="5">
        <v>-30886</v>
      </c>
      <c r="F5318" s="3" t="s">
        <v>140</v>
      </c>
      <c r="G5318" s="3" t="s">
        <v>224</v>
      </c>
      <c r="H5318" s="2" t="s">
        <v>72</v>
      </c>
      <c r="I5318" s="2" t="s">
        <v>13301</v>
      </c>
      <c r="J5318" s="3" t="str">
        <f>HYPERLINK("https://www.boe.es/gazeta/dias/1815/06/08/pdfs/GMD-1815-69.pdf#page=9","Abrir facsímil")</f>
        <v>Abrir facsímil</v>
      </c>
      <c r="K5318" s="3" t="s">
        <v>74</v>
      </c>
    </row>
    <row r="5319" spans="1:11" ht="42" customHeight="1">
      <c r="A5319" s="2" t="s">
        <v>13302</v>
      </c>
      <c r="B5319" s="2" t="s">
        <v>13303</v>
      </c>
      <c r="C5319" s="2" t="s">
        <v>49</v>
      </c>
      <c r="D5319" s="2" t="s">
        <v>50</v>
      </c>
      <c r="E5319" s="5">
        <v>-30916</v>
      </c>
      <c r="F5319" s="3" t="s">
        <v>147</v>
      </c>
      <c r="G5319" s="3" t="s">
        <v>38</v>
      </c>
      <c r="H5319" s="2" t="s">
        <v>72</v>
      </c>
      <c r="I5319" s="2" t="s">
        <v>13304</v>
      </c>
      <c r="J5319" s="3" t="str">
        <f>HYPERLINK("https://www.boe.es/gazeta/dias/1815/05/09/pdfs/GMD-1815-56.pdf#page=8","Abrir facsímil")</f>
        <v>Abrir facsímil</v>
      </c>
      <c r="K5319" s="3" t="s">
        <v>74</v>
      </c>
    </row>
    <row r="5320" spans="1:11" ht="42" customHeight="1">
      <c r="A5320" s="2" t="s">
        <v>13305</v>
      </c>
      <c r="B5320" s="2" t="s">
        <v>13306</v>
      </c>
      <c r="C5320" s="2" t="s">
        <v>49</v>
      </c>
      <c r="D5320" s="2" t="s">
        <v>50</v>
      </c>
      <c r="E5320" s="5">
        <v>-30916</v>
      </c>
      <c r="F5320" s="3" t="s">
        <v>147</v>
      </c>
      <c r="G5320" s="3" t="s">
        <v>38</v>
      </c>
      <c r="H5320" s="2" t="s">
        <v>72</v>
      </c>
      <c r="I5320" s="2" t="s">
        <v>13307</v>
      </c>
      <c r="J5320" s="3" t="str">
        <f>HYPERLINK("https://www.boe.es/gazeta/dias/1815/05/09/pdfs/GMD-1815-56.pdf#page=8","Abrir facsímil")</f>
        <v>Abrir facsímil</v>
      </c>
      <c r="K5320" s="3" t="s">
        <v>74</v>
      </c>
    </row>
    <row r="5321" spans="1:11" ht="42" customHeight="1">
      <c r="A5321" s="2" t="s">
        <v>13308</v>
      </c>
      <c r="B5321" s="2" t="s">
        <v>13309</v>
      </c>
      <c r="C5321" s="2" t="s">
        <v>49</v>
      </c>
      <c r="D5321" s="2" t="s">
        <v>50</v>
      </c>
      <c r="E5321" s="5">
        <v>-30916</v>
      </c>
      <c r="F5321" s="3" t="s">
        <v>147</v>
      </c>
      <c r="G5321" s="3" t="s">
        <v>38</v>
      </c>
      <c r="H5321" s="2" t="s">
        <v>72</v>
      </c>
      <c r="I5321" s="2" t="s">
        <v>13310</v>
      </c>
      <c r="J5321" s="3" t="str">
        <f>HYPERLINK("https://www.boe.es/gazeta/dias/1815/05/09/pdfs/GMD-1815-56.pdf#page=8","Abrir facsímil")</f>
        <v>Abrir facsímil</v>
      </c>
      <c r="K5321" s="3" t="s">
        <v>74</v>
      </c>
    </row>
    <row r="5322" spans="1:11" ht="42" customHeight="1">
      <c r="A5322" s="2" t="s">
        <v>13311</v>
      </c>
      <c r="B5322" s="2" t="s">
        <v>13312</v>
      </c>
      <c r="C5322" s="2" t="s">
        <v>49</v>
      </c>
      <c r="D5322" s="2" t="s">
        <v>50</v>
      </c>
      <c r="E5322" s="5">
        <v>-30916</v>
      </c>
      <c r="F5322" s="3" t="s">
        <v>147</v>
      </c>
      <c r="G5322" s="3" t="s">
        <v>38</v>
      </c>
      <c r="H5322" s="2" t="s">
        <v>72</v>
      </c>
      <c r="I5322" s="2" t="s">
        <v>13313</v>
      </c>
      <c r="J5322" s="3" t="str">
        <f>HYPERLINK("https://www.boe.es/gazeta/dias/1815/05/09/pdfs/GMD-1815-56.pdf#page=8","Abrir facsímil")</f>
        <v>Abrir facsímil</v>
      </c>
      <c r="K5322" s="3" t="s">
        <v>74</v>
      </c>
    </row>
    <row r="5323" spans="1:11" ht="42" customHeight="1">
      <c r="A5323" s="2" t="s">
        <v>13314</v>
      </c>
      <c r="B5323" s="2" t="s">
        <v>13315</v>
      </c>
      <c r="C5323" s="2" t="s">
        <v>31</v>
      </c>
      <c r="D5323" s="2" t="s">
        <v>32</v>
      </c>
      <c r="E5323" s="5">
        <v>-30916</v>
      </c>
      <c r="F5323" s="3" t="s">
        <v>147</v>
      </c>
      <c r="G5323" s="3" t="s">
        <v>38</v>
      </c>
      <c r="H5323" s="2" t="s">
        <v>72</v>
      </c>
      <c r="I5323" s="2" t="s">
        <v>13316</v>
      </c>
      <c r="J5323" s="3" t="str">
        <f>HYPERLINK("https://www.boe.es/gazeta/dias/1815/05/09/pdfs/GMD-1815-56.pdf#page=8","Abrir facsímil")</f>
        <v>Abrir facsímil</v>
      </c>
      <c r="K5323" s="3" t="s">
        <v>74</v>
      </c>
    </row>
    <row r="5324" spans="1:11" ht="42" customHeight="1">
      <c r="A5324" s="2" t="s">
        <v>13317</v>
      </c>
      <c r="B5324" s="2" t="s">
        <v>13318</v>
      </c>
      <c r="C5324" s="2" t="s">
        <v>17</v>
      </c>
      <c r="D5324" s="2" t="s">
        <v>18</v>
      </c>
      <c r="E5324" s="5">
        <v>-30998</v>
      </c>
      <c r="F5324" s="3" t="s">
        <v>539</v>
      </c>
      <c r="G5324" s="3" t="s">
        <v>57</v>
      </c>
      <c r="H5324" s="2" t="s">
        <v>72</v>
      </c>
      <c r="I5324" s="2" t="s">
        <v>13319</v>
      </c>
      <c r="J5324" s="3" t="str">
        <f>HYPERLINK("https://www.boe.es/gazeta/dias/1815/02/16/pdfs/GMD-1815-20.pdf#page=5","Abrir facsímil")</f>
        <v>Abrir facsímil</v>
      </c>
      <c r="K5324" s="3" t="s">
        <v>74</v>
      </c>
    </row>
    <row r="5325" spans="1:11" ht="42" customHeight="1">
      <c r="A5325" s="2" t="s">
        <v>13317</v>
      </c>
      <c r="B5325" s="2" t="s">
        <v>13318</v>
      </c>
      <c r="C5325" s="2" t="s">
        <v>17</v>
      </c>
      <c r="D5325" s="2" t="s">
        <v>18</v>
      </c>
      <c r="E5325" s="5">
        <v>-30944</v>
      </c>
      <c r="F5325" s="3" t="s">
        <v>412</v>
      </c>
      <c r="G5325" s="3" t="s">
        <v>57</v>
      </c>
      <c r="H5325" s="2" t="s">
        <v>72</v>
      </c>
      <c r="I5325" s="2" t="s">
        <v>13320</v>
      </c>
      <c r="J5325" s="3" t="str">
        <f>HYPERLINK("https://www.boe.es/gazeta/dias/1815/04/11/pdfs/GMD-1815-44.pdf#page=5","Abrir facsímil")</f>
        <v>Abrir facsímil</v>
      </c>
      <c r="K5325" s="3" t="s">
        <v>74</v>
      </c>
    </row>
    <row r="5326" spans="1:11" ht="42" customHeight="1">
      <c r="A5326" s="2" t="s">
        <v>13321</v>
      </c>
      <c r="B5326" s="2" t="s">
        <v>13322</v>
      </c>
      <c r="C5326" s="2" t="s">
        <v>31</v>
      </c>
      <c r="D5326" s="2" t="s">
        <v>32</v>
      </c>
      <c r="E5326" s="5">
        <v>-30767</v>
      </c>
      <c r="F5326" s="3" t="s">
        <v>228</v>
      </c>
      <c r="G5326" s="3" t="s">
        <v>224</v>
      </c>
      <c r="H5326" s="2" t="s">
        <v>72</v>
      </c>
      <c r="I5326" s="2" t="s">
        <v>13323</v>
      </c>
      <c r="J5326" s="3" t="str">
        <f>HYPERLINK("https://www.boe.es/gazeta/dias/1815/10/05/pdfs/GMD-1815-125.pdf#page=9","Abrir facsímil")</f>
        <v>Abrir facsímil</v>
      </c>
      <c r="K5326" s="3" t="s">
        <v>74</v>
      </c>
    </row>
    <row r="5327" spans="1:11" ht="42" customHeight="1">
      <c r="A5327" s="2" t="s">
        <v>13324</v>
      </c>
      <c r="B5327" s="2" t="s">
        <v>13325</v>
      </c>
      <c r="C5327" s="2" t="s">
        <v>17</v>
      </c>
      <c r="D5327" s="2" t="s">
        <v>18</v>
      </c>
      <c r="E5327" s="5">
        <v>-30979</v>
      </c>
      <c r="F5327" s="3" t="s">
        <v>56</v>
      </c>
      <c r="G5327" s="3" t="s">
        <v>57</v>
      </c>
      <c r="H5327" s="2" t="s">
        <v>72</v>
      </c>
      <c r="I5327" s="2" t="s">
        <v>13326</v>
      </c>
      <c r="J5327" s="3" t="str">
        <f>HYPERLINK("https://www.boe.es/gazeta/dias/1815/03/07/pdfs/GMD-1815-28.pdf#page=5","Abrir facsímil")</f>
        <v>Abrir facsímil</v>
      </c>
      <c r="K5327" s="3" t="s">
        <v>74</v>
      </c>
    </row>
    <row r="5328" spans="1:11" ht="42" customHeight="1">
      <c r="A5328" s="2" t="s">
        <v>13327</v>
      </c>
      <c r="B5328" s="2" t="s">
        <v>13328</v>
      </c>
      <c r="C5328" s="2" t="s">
        <v>31</v>
      </c>
      <c r="D5328" s="2" t="s">
        <v>32</v>
      </c>
      <c r="E5328" s="5">
        <v>-30865</v>
      </c>
      <c r="F5328" s="3" t="s">
        <v>163</v>
      </c>
      <c r="G5328" s="3" t="s">
        <v>38</v>
      </c>
      <c r="H5328" s="2" t="s">
        <v>72</v>
      </c>
      <c r="I5328" s="2" t="s">
        <v>13329</v>
      </c>
      <c r="J5328" s="3" t="str">
        <f>HYPERLINK("https://www.boe.es/gazeta/dias/1815/06/29/pdfs/GMD-1815-78.pdf#page=8","Abrir facsímil")</f>
        <v>Abrir facsímil</v>
      </c>
      <c r="K5328" s="3" t="s">
        <v>74</v>
      </c>
    </row>
    <row r="5329" spans="1:11" ht="42" customHeight="1">
      <c r="A5329" s="2" t="s">
        <v>13330</v>
      </c>
      <c r="B5329" s="2" t="s">
        <v>13331</v>
      </c>
      <c r="C5329" s="2" t="s">
        <v>131</v>
      </c>
      <c r="D5329" s="2" t="s">
        <v>50</v>
      </c>
      <c r="E5329" s="5">
        <v>-31012</v>
      </c>
      <c r="F5329" s="3" t="s">
        <v>529</v>
      </c>
      <c r="G5329" s="3" t="s">
        <v>57</v>
      </c>
      <c r="H5329" s="2" t="s">
        <v>72</v>
      </c>
      <c r="I5329" s="2" t="s">
        <v>13332</v>
      </c>
      <c r="J5329" s="3" t="str">
        <f>HYPERLINK("https://www.boe.es/gazeta/dias/1815/02/02/pdfs/GMD-1815-14.pdf#page=5","Abrir facsímil")</f>
        <v>Abrir facsímil</v>
      </c>
      <c r="K5329" s="3" t="s">
        <v>74</v>
      </c>
    </row>
    <row r="5330" spans="1:11" ht="42" customHeight="1">
      <c r="A5330" s="2" t="s">
        <v>13333</v>
      </c>
      <c r="B5330" s="2" t="s">
        <v>13334</v>
      </c>
      <c r="C5330" s="2" t="s">
        <v>31</v>
      </c>
      <c r="D5330" s="2" t="s">
        <v>32</v>
      </c>
      <c r="E5330" s="5">
        <v>-31038</v>
      </c>
      <c r="F5330" s="3" t="s">
        <v>395</v>
      </c>
      <c r="G5330" s="3" t="s">
        <v>396</v>
      </c>
      <c r="H5330" s="2" t="s">
        <v>72</v>
      </c>
      <c r="I5330" s="2" t="s">
        <v>13335</v>
      </c>
      <c r="J5330" s="3" t="str">
        <f>HYPERLINK("https://www.boe.es/gazeta/dias/1815/01/07/pdfs/GMD-1815-3.pdf#page=5","Abrir facsímil")</f>
        <v>Abrir facsímil</v>
      </c>
      <c r="K5330" s="3" t="s">
        <v>74</v>
      </c>
    </row>
    <row r="5331" spans="1:11" ht="42" customHeight="1">
      <c r="A5331" s="2" t="s">
        <v>13336</v>
      </c>
      <c r="B5331" s="2" t="s">
        <v>13337</v>
      </c>
      <c r="C5331" s="2" t="s">
        <v>31</v>
      </c>
      <c r="D5331" s="2" t="s">
        <v>32</v>
      </c>
      <c r="E5331" s="5">
        <v>-30982</v>
      </c>
      <c r="F5331" s="3" t="s">
        <v>220</v>
      </c>
      <c r="G5331" s="3" t="s">
        <v>57</v>
      </c>
      <c r="H5331" s="2" t="s">
        <v>72</v>
      </c>
      <c r="I5331" s="2" t="s">
        <v>13338</v>
      </c>
      <c r="J5331" s="3" t="str">
        <f>HYPERLINK("https://www.boe.es/gazeta/dias/1815/03/04/pdfs/GMD-1815-27.pdf#page=5","Abrir facsímil")</f>
        <v>Abrir facsímil</v>
      </c>
      <c r="K5331" s="3" t="s">
        <v>74</v>
      </c>
    </row>
    <row r="5332" spans="1:11" ht="42" customHeight="1">
      <c r="A5332" s="2" t="s">
        <v>13339</v>
      </c>
      <c r="B5332" s="2" t="s">
        <v>13340</v>
      </c>
      <c r="C5332" s="2" t="s">
        <v>31</v>
      </c>
      <c r="D5332" s="2" t="s">
        <v>32</v>
      </c>
      <c r="E5332" s="5">
        <v>-30921</v>
      </c>
      <c r="F5332" s="3" t="s">
        <v>191</v>
      </c>
      <c r="G5332" s="3" t="s">
        <v>71</v>
      </c>
      <c r="H5332" s="2" t="s">
        <v>72</v>
      </c>
      <c r="I5332" s="2" t="s">
        <v>13341</v>
      </c>
      <c r="J5332" s="3" t="str">
        <f>HYPERLINK("https://www.boe.es/gazeta/dias/1815/05/04/pdfs/GMD-1815-54.pdf#page=7","Abrir facsímil")</f>
        <v>Abrir facsímil</v>
      </c>
      <c r="K5332" s="3" t="s">
        <v>74</v>
      </c>
    </row>
    <row r="5333" spans="1:11" ht="42" customHeight="1">
      <c r="A5333" s="2" t="s">
        <v>13342</v>
      </c>
      <c r="B5333" s="2" t="s">
        <v>13343</v>
      </c>
      <c r="C5333" s="2" t="s">
        <v>31</v>
      </c>
      <c r="D5333" s="2" t="s">
        <v>32</v>
      </c>
      <c r="E5333" s="5">
        <v>-30982</v>
      </c>
      <c r="F5333" s="3" t="s">
        <v>220</v>
      </c>
      <c r="G5333" s="3" t="s">
        <v>57</v>
      </c>
      <c r="H5333" s="2" t="s">
        <v>72</v>
      </c>
      <c r="I5333" s="2" t="s">
        <v>13344</v>
      </c>
      <c r="J5333" s="3" t="str">
        <f>HYPERLINK("https://www.boe.es/gazeta/dias/1815/03/04/pdfs/GMD-1815-27.pdf#page=5","Abrir facsímil")</f>
        <v>Abrir facsímil</v>
      </c>
      <c r="K5333" s="3" t="s">
        <v>74</v>
      </c>
    </row>
    <row r="5334" spans="1:11" ht="42" customHeight="1">
      <c r="A5334" s="2" t="s">
        <v>13345</v>
      </c>
      <c r="B5334" s="2" t="s">
        <v>13346</v>
      </c>
      <c r="C5334" s="2" t="s">
        <v>195</v>
      </c>
      <c r="D5334" s="2" t="s">
        <v>50</v>
      </c>
      <c r="E5334" s="5">
        <v>-30949</v>
      </c>
      <c r="F5334" s="3" t="s">
        <v>420</v>
      </c>
      <c r="G5334" s="3" t="s">
        <v>71</v>
      </c>
      <c r="H5334" s="2" t="s">
        <v>72</v>
      </c>
      <c r="I5334" s="2" t="s">
        <v>13347</v>
      </c>
      <c r="J5334" s="3" t="str">
        <f>HYPERLINK("https://www.boe.es/gazeta/dias/1815/04/06/pdfs/GMD-1815-42.pdf#page=7","Abrir facsímil")</f>
        <v>Abrir facsímil</v>
      </c>
      <c r="K5334" s="3" t="s">
        <v>74</v>
      </c>
    </row>
    <row r="5335" spans="1:11" ht="42" customHeight="1">
      <c r="A5335" s="2" t="s">
        <v>13348</v>
      </c>
      <c r="B5335" s="2" t="s">
        <v>13349</v>
      </c>
      <c r="C5335" s="2" t="s">
        <v>17</v>
      </c>
      <c r="D5335" s="2" t="s">
        <v>18</v>
      </c>
      <c r="E5335" s="5">
        <v>-30865</v>
      </c>
      <c r="F5335" s="3" t="s">
        <v>163</v>
      </c>
      <c r="G5335" s="3" t="s">
        <v>71</v>
      </c>
      <c r="H5335" s="2" t="s">
        <v>72</v>
      </c>
      <c r="I5335" s="2" t="s">
        <v>13350</v>
      </c>
      <c r="J5335" s="3" t="str">
        <f>HYPERLINK("https://www.boe.es/gazeta/dias/1815/06/29/pdfs/GMD-1815-78.pdf#page=7","Abrir facsímil")</f>
        <v>Abrir facsímil</v>
      </c>
      <c r="K5335" s="3" t="s">
        <v>74</v>
      </c>
    </row>
    <row r="5336" spans="1:11" ht="42" customHeight="1">
      <c r="A5336" s="2" t="s">
        <v>13351</v>
      </c>
      <c r="B5336" s="2" t="s">
        <v>13352</v>
      </c>
      <c r="C5336" s="2" t="s">
        <v>49</v>
      </c>
      <c r="D5336" s="2" t="s">
        <v>50</v>
      </c>
      <c r="E5336" s="5">
        <v>-30769</v>
      </c>
      <c r="F5336" s="3" t="s">
        <v>1641</v>
      </c>
      <c r="G5336" s="3" t="s">
        <v>27</v>
      </c>
      <c r="H5336" s="2" t="s">
        <v>72</v>
      </c>
      <c r="I5336" s="2" t="s">
        <v>13353</v>
      </c>
      <c r="J5336" s="3" t="str">
        <f>HYPERLINK("https://www.boe.es/gazeta/dias/1815/10/03/pdfs/GMD-1815-124.pdf#page=6","Abrir facsímil")</f>
        <v>Abrir facsímil</v>
      </c>
      <c r="K5336" s="3" t="s">
        <v>74</v>
      </c>
    </row>
    <row r="5337" spans="1:11" ht="42" customHeight="1">
      <c r="A5337" s="2" t="s">
        <v>13354</v>
      </c>
      <c r="B5337" s="2" t="s">
        <v>13355</v>
      </c>
      <c r="C5337" s="2" t="s">
        <v>31</v>
      </c>
      <c r="D5337" s="2" t="s">
        <v>32</v>
      </c>
      <c r="E5337" s="5">
        <v>-30886</v>
      </c>
      <c r="F5337" s="3" t="s">
        <v>140</v>
      </c>
      <c r="G5337" s="3" t="s">
        <v>224</v>
      </c>
      <c r="H5337" s="2" t="s">
        <v>72</v>
      </c>
      <c r="I5337" s="2" t="s">
        <v>13356</v>
      </c>
      <c r="J5337" s="3" t="str">
        <f>HYPERLINK("https://www.boe.es/gazeta/dias/1815/06/08/pdfs/GMD-1815-69.pdf#page=9","Abrir facsímil")</f>
        <v>Abrir facsímil</v>
      </c>
      <c r="K5337" s="3" t="s">
        <v>74</v>
      </c>
    </row>
    <row r="5338" spans="1:11" ht="42" customHeight="1">
      <c r="A5338" s="2" t="s">
        <v>13357</v>
      </c>
      <c r="B5338" s="2" t="s">
        <v>13358</v>
      </c>
      <c r="C5338" s="2" t="s">
        <v>49</v>
      </c>
      <c r="D5338" s="2" t="s">
        <v>50</v>
      </c>
      <c r="E5338" s="5">
        <v>-30767</v>
      </c>
      <c r="F5338" s="3" t="s">
        <v>228</v>
      </c>
      <c r="G5338" s="3" t="s">
        <v>88</v>
      </c>
      <c r="H5338" s="2" t="s">
        <v>72</v>
      </c>
      <c r="I5338" s="2" t="s">
        <v>13359</v>
      </c>
      <c r="J5338" s="3" t="str">
        <f>HYPERLINK("https://www.boe.es/gazeta/dias/1815/10/05/pdfs/GMD-1815-125.pdf#page=10","Abrir facsímil")</f>
        <v>Abrir facsímil</v>
      </c>
      <c r="K5338" s="3" t="s">
        <v>74</v>
      </c>
    </row>
    <row r="5339" spans="1:11" ht="42" customHeight="1">
      <c r="A5339" s="2" t="s">
        <v>13360</v>
      </c>
      <c r="B5339" s="2" t="s">
        <v>13361</v>
      </c>
      <c r="C5339" s="2" t="s">
        <v>49</v>
      </c>
      <c r="D5339" s="2" t="s">
        <v>50</v>
      </c>
      <c r="E5339" s="5">
        <v>-30767</v>
      </c>
      <c r="F5339" s="3" t="s">
        <v>228</v>
      </c>
      <c r="G5339" s="3" t="s">
        <v>88</v>
      </c>
      <c r="H5339" s="2" t="s">
        <v>21</v>
      </c>
      <c r="I5339" s="2" t="s">
        <v>13362</v>
      </c>
      <c r="J5339" s="3" t="str">
        <f>HYPERLINK("https://www.boe.es/gazeta/dias/1815/10/05/pdfs/GMD-1815-125.pdf#page=10","Abrir facsímil")</f>
        <v>Abrir facsímil</v>
      </c>
      <c r="K5339" s="3" t="s">
        <v>23</v>
      </c>
    </row>
    <row r="5340" spans="1:11" ht="42" customHeight="1">
      <c r="A5340" s="2" t="s">
        <v>13363</v>
      </c>
      <c r="B5340" s="2" t="s">
        <v>13364</v>
      </c>
      <c r="C5340" s="2" t="s">
        <v>61</v>
      </c>
      <c r="D5340" s="2" t="s">
        <v>50</v>
      </c>
      <c r="E5340" s="5">
        <v>-30879</v>
      </c>
      <c r="F5340" s="3" t="s">
        <v>754</v>
      </c>
      <c r="G5340" s="3" t="s">
        <v>71</v>
      </c>
      <c r="H5340" s="2" t="s">
        <v>72</v>
      </c>
      <c r="I5340" s="2" t="s">
        <v>13365</v>
      </c>
      <c r="J5340" s="3" t="str">
        <f>HYPERLINK("https://www.boe.es/gazeta/dias/1815/06/15/pdfs/GMD-1815-72.pdf#page=7","Abrir facsímil")</f>
        <v>Abrir facsímil</v>
      </c>
      <c r="K5340" s="3" t="s">
        <v>74</v>
      </c>
    </row>
    <row r="5341" spans="1:11" ht="42" customHeight="1">
      <c r="A5341" s="2" t="s">
        <v>13366</v>
      </c>
      <c r="B5341" s="2" t="s">
        <v>13367</v>
      </c>
      <c r="C5341" s="2" t="s">
        <v>17</v>
      </c>
      <c r="D5341" s="2" t="s">
        <v>18</v>
      </c>
      <c r="E5341" s="5">
        <v>-31028</v>
      </c>
      <c r="F5341" s="3" t="s">
        <v>517</v>
      </c>
      <c r="G5341" s="3" t="s">
        <v>52</v>
      </c>
      <c r="H5341" s="2" t="s">
        <v>72</v>
      </c>
      <c r="I5341" s="2" t="s">
        <v>13368</v>
      </c>
      <c r="J5341" s="3" t="str">
        <f>HYPERLINK("https://www.boe.es/gazeta/dias/1815/01/17/pdfs/GMD-1815-7.pdf#page=11","Abrir facsímil")</f>
        <v>Abrir facsímil</v>
      </c>
      <c r="K5341" s="3" t="s">
        <v>74</v>
      </c>
    </row>
    <row r="5342" spans="1:11" ht="42" customHeight="1">
      <c r="A5342" s="2" t="s">
        <v>13369</v>
      </c>
      <c r="B5342" s="2" t="s">
        <v>13370</v>
      </c>
      <c r="C5342" s="2" t="s">
        <v>195</v>
      </c>
      <c r="D5342" s="2" t="s">
        <v>50</v>
      </c>
      <c r="E5342" s="5">
        <v>-31040</v>
      </c>
      <c r="F5342" s="3" t="s">
        <v>326</v>
      </c>
      <c r="G5342" s="3" t="s">
        <v>27</v>
      </c>
      <c r="H5342" s="2" t="s">
        <v>72</v>
      </c>
      <c r="I5342" s="2" t="s">
        <v>13371</v>
      </c>
      <c r="J5342" s="3" t="str">
        <f>HYPERLINK("https://www.boe.es/gazeta/dias/1815/01/05/pdfs/GMD-1815-2.pdf#page=6","Abrir facsímil")</f>
        <v>Abrir facsímil</v>
      </c>
      <c r="K5342" s="3" t="s">
        <v>74</v>
      </c>
    </row>
    <row r="5343" spans="1:11" ht="42" customHeight="1">
      <c r="A5343" s="2" t="s">
        <v>13369</v>
      </c>
      <c r="B5343" s="2" t="s">
        <v>13370</v>
      </c>
      <c r="C5343" s="2" t="s">
        <v>31</v>
      </c>
      <c r="D5343" s="2" t="s">
        <v>32</v>
      </c>
      <c r="E5343" s="5">
        <v>-30741</v>
      </c>
      <c r="F5343" s="3" t="s">
        <v>1000</v>
      </c>
      <c r="G5343" s="3" t="s">
        <v>71</v>
      </c>
      <c r="H5343" s="2" t="s">
        <v>72</v>
      </c>
      <c r="I5343" s="2" t="s">
        <v>13372</v>
      </c>
      <c r="J5343" s="3" t="str">
        <f>HYPERLINK("https://www.boe.es/gazeta/dias/1815/10/31/pdfs/GMD-1815-136.pdf#page=7","Abrir facsímil")</f>
        <v>Abrir facsímil</v>
      </c>
      <c r="K5343" s="3" t="s">
        <v>74</v>
      </c>
    </row>
    <row r="5344" spans="1:11" ht="42" customHeight="1">
      <c r="A5344" s="2" t="s">
        <v>13373</v>
      </c>
      <c r="B5344" s="2" t="s">
        <v>13374</v>
      </c>
      <c r="C5344" s="2" t="s">
        <v>31</v>
      </c>
      <c r="D5344" s="2" t="s">
        <v>32</v>
      </c>
      <c r="E5344" s="5">
        <v>-31031</v>
      </c>
      <c r="F5344" s="3" t="s">
        <v>105</v>
      </c>
      <c r="G5344" s="3" t="s">
        <v>27</v>
      </c>
      <c r="H5344" s="2" t="s">
        <v>72</v>
      </c>
      <c r="I5344" s="2" t="s">
        <v>13375</v>
      </c>
      <c r="J5344" s="3" t="str">
        <f>HYPERLINK("https://www.boe.es/gazeta/dias/1815/01/14/pdfs/GMD-1815-6.pdf#page=6","Abrir facsímil")</f>
        <v>Abrir facsímil</v>
      </c>
      <c r="K5344" s="3" t="s">
        <v>74</v>
      </c>
    </row>
    <row r="5345" spans="1:11" ht="42" customHeight="1">
      <c r="A5345" s="2" t="s">
        <v>13373</v>
      </c>
      <c r="B5345" s="2" t="s">
        <v>13374</v>
      </c>
      <c r="C5345" s="2" t="s">
        <v>17</v>
      </c>
      <c r="D5345" s="2" t="s">
        <v>18</v>
      </c>
      <c r="E5345" s="5">
        <v>-30975</v>
      </c>
      <c r="F5345" s="3" t="s">
        <v>1194</v>
      </c>
      <c r="G5345" s="3" t="s">
        <v>71</v>
      </c>
      <c r="H5345" s="2" t="s">
        <v>72</v>
      </c>
      <c r="I5345" s="2" t="s">
        <v>13376</v>
      </c>
      <c r="J5345" s="3" t="str">
        <f>HYPERLINK("https://www.boe.es/gazeta/dias/1815/03/11/pdfs/GMD-1815-30.pdf#page=7","Abrir facsímil")</f>
        <v>Abrir facsímil</v>
      </c>
      <c r="K5345" s="3" t="s">
        <v>74</v>
      </c>
    </row>
    <row r="5346" spans="1:11" ht="42" customHeight="1">
      <c r="A5346" s="2" t="s">
        <v>13377</v>
      </c>
      <c r="B5346" s="2" t="s">
        <v>13378</v>
      </c>
      <c r="C5346" s="2" t="s">
        <v>31</v>
      </c>
      <c r="D5346" s="2" t="s">
        <v>32</v>
      </c>
      <c r="E5346" s="5">
        <v>-30867</v>
      </c>
      <c r="F5346" s="3" t="s">
        <v>3179</v>
      </c>
      <c r="G5346" s="3" t="s">
        <v>20</v>
      </c>
      <c r="H5346" s="2" t="s">
        <v>72</v>
      </c>
      <c r="I5346" s="2" t="s">
        <v>13379</v>
      </c>
      <c r="J5346" s="3" t="str">
        <f>HYPERLINK("https://www.boe.es/gazeta/dias/1815/06/27/pdfs/GMD-1815-77.pdf#page=4","Abrir facsímil")</f>
        <v>Abrir facsímil</v>
      </c>
      <c r="K5346" s="3" t="s">
        <v>74</v>
      </c>
    </row>
    <row r="5347" spans="1:11" ht="42" customHeight="1">
      <c r="A5347" s="2" t="s">
        <v>13380</v>
      </c>
      <c r="B5347" s="2" t="s">
        <v>13381</v>
      </c>
      <c r="C5347" s="2" t="s">
        <v>195</v>
      </c>
      <c r="D5347" s="2" t="s">
        <v>50</v>
      </c>
      <c r="E5347" s="5">
        <v>-30991</v>
      </c>
      <c r="F5347" s="3" t="s">
        <v>318</v>
      </c>
      <c r="G5347" s="3" t="s">
        <v>319</v>
      </c>
      <c r="H5347" s="2" t="s">
        <v>72</v>
      </c>
      <c r="I5347" s="2" t="s">
        <v>13382</v>
      </c>
      <c r="J5347" s="3" t="str">
        <f>HYPERLINK("https://www.boe.es/gazeta/dias/1815/02/23/pdfs/GMD-1815-23.pdf#page=6","Abrir facsímil")</f>
        <v>Abrir facsímil</v>
      </c>
      <c r="K5347" s="3" t="s">
        <v>74</v>
      </c>
    </row>
    <row r="5348" spans="1:11" ht="42" customHeight="1">
      <c r="A5348" s="2" t="s">
        <v>13383</v>
      </c>
      <c r="B5348" s="2" t="s">
        <v>13384</v>
      </c>
      <c r="C5348" s="2" t="s">
        <v>49</v>
      </c>
      <c r="D5348" s="2" t="s">
        <v>50</v>
      </c>
      <c r="E5348" s="5">
        <v>-30944</v>
      </c>
      <c r="F5348" s="3" t="s">
        <v>412</v>
      </c>
      <c r="G5348" s="3" t="s">
        <v>27</v>
      </c>
      <c r="H5348" s="2" t="s">
        <v>72</v>
      </c>
      <c r="I5348" s="2" t="s">
        <v>13385</v>
      </c>
      <c r="J5348" s="3" t="str">
        <f>HYPERLINK("https://www.boe.es/gazeta/dias/1815/04/11/pdfs/GMD-1815-44.pdf#page=6","Abrir facsímil")</f>
        <v>Abrir facsímil</v>
      </c>
      <c r="K5348" s="3" t="s">
        <v>74</v>
      </c>
    </row>
    <row r="5349" spans="1:11" ht="42" customHeight="1">
      <c r="A5349" s="2" t="s">
        <v>13386</v>
      </c>
      <c r="B5349" s="2" t="s">
        <v>13387</v>
      </c>
      <c r="C5349" s="2" t="s">
        <v>195</v>
      </c>
      <c r="D5349" s="2" t="s">
        <v>50</v>
      </c>
      <c r="E5349" s="5">
        <v>-30872</v>
      </c>
      <c r="F5349" s="3" t="s">
        <v>167</v>
      </c>
      <c r="G5349" s="3" t="s">
        <v>224</v>
      </c>
      <c r="H5349" s="2" t="s">
        <v>72</v>
      </c>
      <c r="I5349" s="2" t="s">
        <v>13388</v>
      </c>
      <c r="J5349" s="3" t="str">
        <f>HYPERLINK("https://www.boe.es/gazeta/dias/1815/06/22/pdfs/GMD-1815-75.pdf#page=9","Abrir facsímil")</f>
        <v>Abrir facsímil</v>
      </c>
      <c r="K5349" s="3" t="s">
        <v>74</v>
      </c>
    </row>
    <row r="5350" spans="1:11" ht="42" customHeight="1">
      <c r="A5350" s="2" t="s">
        <v>13389</v>
      </c>
      <c r="B5350" s="2" t="s">
        <v>13390</v>
      </c>
      <c r="C5350" s="2" t="s">
        <v>31</v>
      </c>
      <c r="D5350" s="2" t="s">
        <v>32</v>
      </c>
      <c r="E5350" s="5">
        <v>-30821</v>
      </c>
      <c r="F5350" s="3" t="s">
        <v>915</v>
      </c>
      <c r="G5350" s="3" t="s">
        <v>57</v>
      </c>
      <c r="H5350" s="2" t="s">
        <v>72</v>
      </c>
      <c r="I5350" s="2" t="s">
        <v>13391</v>
      </c>
      <c r="J5350" s="3" t="str">
        <f>HYPERLINK("https://www.boe.es/gazeta/dias/1815/08/12/pdfs/GMD-1815-99.pdf#page=5","Abrir facsímil")</f>
        <v>Abrir facsímil</v>
      </c>
      <c r="K5350" s="3" t="s">
        <v>74</v>
      </c>
    </row>
    <row r="5351" spans="1:11" ht="42" customHeight="1">
      <c r="A5351" s="2" t="s">
        <v>13392</v>
      </c>
      <c r="B5351" s="2" t="s">
        <v>13393</v>
      </c>
      <c r="C5351" s="2" t="s">
        <v>31</v>
      </c>
      <c r="D5351" s="2" t="s">
        <v>32</v>
      </c>
      <c r="E5351" s="5">
        <v>-30818</v>
      </c>
      <c r="F5351" s="3" t="s">
        <v>334</v>
      </c>
      <c r="G5351" s="3" t="s">
        <v>38</v>
      </c>
      <c r="H5351" s="2" t="s">
        <v>72</v>
      </c>
      <c r="I5351" s="2" t="s">
        <v>13394</v>
      </c>
      <c r="J5351" s="3" t="str">
        <f>HYPERLINK("https://www.boe.es/gazeta/dias/1815/08/15/pdfs/GMD-1815-100.pdf#page=8","Abrir facsímil")</f>
        <v>Abrir facsímil</v>
      </c>
      <c r="K5351" s="3" t="s">
        <v>74</v>
      </c>
    </row>
    <row r="5352" spans="1:11" ht="42" customHeight="1">
      <c r="A5352" s="2" t="s">
        <v>13395</v>
      </c>
      <c r="B5352" s="2" t="s">
        <v>13396</v>
      </c>
      <c r="C5352" s="2" t="s">
        <v>31</v>
      </c>
      <c r="D5352" s="2" t="s">
        <v>32</v>
      </c>
      <c r="E5352" s="5">
        <v>-30818</v>
      </c>
      <c r="F5352" s="3" t="s">
        <v>334</v>
      </c>
      <c r="G5352" s="3" t="s">
        <v>38</v>
      </c>
      <c r="H5352" s="2" t="s">
        <v>72</v>
      </c>
      <c r="I5352" s="2" t="s">
        <v>13397</v>
      </c>
      <c r="J5352" s="3" t="str">
        <f>HYPERLINK("https://www.boe.es/gazeta/dias/1815/08/15/pdfs/GMD-1815-100.pdf#page=8","Abrir facsímil")</f>
        <v>Abrir facsímil</v>
      </c>
      <c r="K5352" s="3" t="s">
        <v>74</v>
      </c>
    </row>
    <row r="5353" spans="1:11" ht="42" customHeight="1">
      <c r="A5353" s="2" t="s">
        <v>13398</v>
      </c>
      <c r="B5353" s="2" t="s">
        <v>13399</v>
      </c>
      <c r="C5353" s="2" t="s">
        <v>49</v>
      </c>
      <c r="D5353" s="2" t="s">
        <v>50</v>
      </c>
      <c r="E5353" s="5">
        <v>-30951</v>
      </c>
      <c r="F5353" s="3" t="s">
        <v>87</v>
      </c>
      <c r="G5353" s="3" t="s">
        <v>88</v>
      </c>
      <c r="H5353" s="2" t="s">
        <v>72</v>
      </c>
      <c r="I5353" s="2" t="s">
        <v>13400</v>
      </c>
      <c r="J5353" s="3" t="str">
        <f>HYPERLINK("https://www.boe.es/gazeta/dias/1815/04/04/pdfs/GMD-1815-41.pdf#page=10","Abrir facsímil")</f>
        <v>Abrir facsímil</v>
      </c>
      <c r="K5353" s="3" t="s">
        <v>74</v>
      </c>
    </row>
    <row r="5354" spans="1:11" ht="42" customHeight="1">
      <c r="A5354" s="2" t="s">
        <v>13401</v>
      </c>
      <c r="B5354" s="2" t="s">
        <v>13402</v>
      </c>
      <c r="C5354" s="2" t="s">
        <v>195</v>
      </c>
      <c r="D5354" s="2" t="s">
        <v>50</v>
      </c>
      <c r="E5354" s="5">
        <v>-30795</v>
      </c>
      <c r="F5354" s="3" t="s">
        <v>172</v>
      </c>
      <c r="G5354" s="3" t="s">
        <v>276</v>
      </c>
      <c r="H5354" s="2" t="s">
        <v>72</v>
      </c>
      <c r="I5354" s="2" t="s">
        <v>13403</v>
      </c>
      <c r="J5354" s="3" t="str">
        <f>HYPERLINK("https://www.boe.es/gazeta/dias/1815/09/07/pdfs/GMD-1815-111.pdf#page=12","Abrir facsímil")</f>
        <v>Abrir facsímil</v>
      </c>
      <c r="K5354" s="3" t="s">
        <v>74</v>
      </c>
    </row>
    <row r="5355" spans="1:11" ht="42" customHeight="1">
      <c r="A5355" s="2" t="s">
        <v>13404</v>
      </c>
      <c r="B5355" s="2" t="s">
        <v>13405</v>
      </c>
      <c r="C5355" s="2" t="s">
        <v>17</v>
      </c>
      <c r="D5355" s="2" t="s">
        <v>18</v>
      </c>
      <c r="E5355" s="5">
        <v>-30767</v>
      </c>
      <c r="F5355" s="3" t="s">
        <v>228</v>
      </c>
      <c r="G5355" s="3" t="s">
        <v>88</v>
      </c>
      <c r="H5355" s="2" t="s">
        <v>21</v>
      </c>
      <c r="I5355" s="2" t="s">
        <v>13406</v>
      </c>
      <c r="J5355" s="3" t="str">
        <f>HYPERLINK("https://www.boe.es/gazeta/dias/1815/10/05/pdfs/GMD-1815-125.pdf#page=10","Abrir facsímil")</f>
        <v>Abrir facsímil</v>
      </c>
      <c r="K5355" s="3" t="s">
        <v>23</v>
      </c>
    </row>
    <row r="5356" spans="1:11" ht="42" customHeight="1">
      <c r="A5356" s="2" t="s">
        <v>13407</v>
      </c>
      <c r="B5356" s="2" t="s">
        <v>13408</v>
      </c>
      <c r="C5356" s="2" t="s">
        <v>31</v>
      </c>
      <c r="D5356" s="2" t="s">
        <v>32</v>
      </c>
      <c r="E5356" s="5">
        <v>-30762</v>
      </c>
      <c r="F5356" s="3" t="s">
        <v>19</v>
      </c>
      <c r="G5356" s="3" t="s">
        <v>2323</v>
      </c>
      <c r="H5356" s="2" t="s">
        <v>72</v>
      </c>
      <c r="I5356" s="2" t="s">
        <v>13409</v>
      </c>
      <c r="J5356" s="3" t="str">
        <f>HYPERLINK("https://www.boe.es/gazeta/dias/1815/10/10/pdfs/GMD-1815-127.pdf#page=8","Abrir facsímil")</f>
        <v>Abrir facsímil</v>
      </c>
      <c r="K5356" s="3" t="s">
        <v>74</v>
      </c>
    </row>
    <row r="5357" spans="1:11" ht="42" customHeight="1">
      <c r="A5357" s="2" t="s">
        <v>13410</v>
      </c>
      <c r="B5357" s="2" t="s">
        <v>13411</v>
      </c>
      <c r="C5357" s="2" t="s">
        <v>31</v>
      </c>
      <c r="D5357" s="2" t="s">
        <v>32</v>
      </c>
      <c r="E5357" s="5">
        <v>-30958</v>
      </c>
      <c r="F5357" s="3" t="s">
        <v>297</v>
      </c>
      <c r="G5357" s="3" t="s">
        <v>71</v>
      </c>
      <c r="H5357" s="2" t="s">
        <v>72</v>
      </c>
      <c r="I5357" s="2" t="s">
        <v>13412</v>
      </c>
      <c r="J5357" s="3" t="str">
        <f>HYPERLINK("https://www.boe.es/gazeta/dias/1815/03/28/pdfs/GMD-1815-37.pdf#page=7","Abrir facsímil")</f>
        <v>Abrir facsímil</v>
      </c>
      <c r="K5357" s="3" t="s">
        <v>74</v>
      </c>
    </row>
    <row r="5358" spans="1:11" ht="42" customHeight="1">
      <c r="A5358" s="2" t="s">
        <v>13413</v>
      </c>
      <c r="B5358" s="2" t="s">
        <v>13414</v>
      </c>
      <c r="C5358" s="2" t="s">
        <v>31</v>
      </c>
      <c r="D5358" s="2" t="s">
        <v>32</v>
      </c>
      <c r="E5358" s="5">
        <v>-30797</v>
      </c>
      <c r="F5358" s="3" t="s">
        <v>248</v>
      </c>
      <c r="G5358" s="3" t="s">
        <v>20</v>
      </c>
      <c r="H5358" s="2" t="s">
        <v>72</v>
      </c>
      <c r="I5358" s="2" t="s">
        <v>13415</v>
      </c>
      <c r="J5358" s="3" t="str">
        <f>HYPERLINK("https://www.boe.es/gazeta/dias/1815/09/05/pdfs/GMD-1815-110.pdf#page=4","Abrir facsímil")</f>
        <v>Abrir facsímil</v>
      </c>
      <c r="K5358" s="3" t="s">
        <v>74</v>
      </c>
    </row>
    <row r="5359" spans="1:11" ht="42" customHeight="1">
      <c r="A5359" s="2" t="s">
        <v>13416</v>
      </c>
      <c r="B5359" s="2" t="s">
        <v>13417</v>
      </c>
      <c r="C5359" s="2" t="s">
        <v>17</v>
      </c>
      <c r="D5359" s="2" t="s">
        <v>18</v>
      </c>
      <c r="E5359" s="5">
        <v>-30914</v>
      </c>
      <c r="F5359" s="3" t="s">
        <v>338</v>
      </c>
      <c r="G5359" s="3" t="s">
        <v>802</v>
      </c>
      <c r="H5359" s="2" t="s">
        <v>72</v>
      </c>
      <c r="I5359" s="2" t="s">
        <v>13418</v>
      </c>
      <c r="J5359" s="3" t="str">
        <f>HYPERLINK("https://www.boe.es/gazeta/dias/1815/05/11/pdfs/GMD-1815-57.pdf#page=7","Abrir facsímil")</f>
        <v>Abrir facsímil</v>
      </c>
      <c r="K5359" s="3" t="s">
        <v>74</v>
      </c>
    </row>
    <row r="5360" spans="1:11" ht="42" customHeight="1">
      <c r="A5360" s="2" t="s">
        <v>13419</v>
      </c>
      <c r="B5360" s="2" t="s">
        <v>13420</v>
      </c>
      <c r="C5360" s="2" t="s">
        <v>31</v>
      </c>
      <c r="D5360" s="2" t="s">
        <v>32</v>
      </c>
      <c r="E5360" s="5">
        <v>-30977</v>
      </c>
      <c r="F5360" s="3" t="s">
        <v>37</v>
      </c>
      <c r="G5360" s="3" t="s">
        <v>71</v>
      </c>
      <c r="H5360" s="2" t="s">
        <v>72</v>
      </c>
      <c r="I5360" s="2" t="s">
        <v>13421</v>
      </c>
      <c r="J5360" s="3" t="str">
        <f>HYPERLINK("https://www.boe.es/gazeta/dias/1815/03/09/pdfs/GMD-1815-29.pdf#page=7","Abrir facsímil")</f>
        <v>Abrir facsímil</v>
      </c>
      <c r="K5360" s="3" t="s">
        <v>74</v>
      </c>
    </row>
    <row r="5361" spans="1:11" ht="42" customHeight="1">
      <c r="A5361" s="2" t="s">
        <v>13422</v>
      </c>
      <c r="B5361" s="2" t="s">
        <v>13423</v>
      </c>
      <c r="C5361" s="2" t="s">
        <v>31</v>
      </c>
      <c r="D5361" s="2" t="s">
        <v>32</v>
      </c>
      <c r="E5361" s="5">
        <v>-30863</v>
      </c>
      <c r="F5361" s="3" t="s">
        <v>110</v>
      </c>
      <c r="G5361" s="3" t="s">
        <v>88</v>
      </c>
      <c r="H5361" s="2" t="s">
        <v>72</v>
      </c>
      <c r="I5361" s="2" t="s">
        <v>13424</v>
      </c>
      <c r="J5361" s="3" t="str">
        <f>HYPERLINK("https://www.boe.es/gazeta/dias/1815/07/01/pdfs/GMD-1815-79.pdf#page=10","Abrir facsímil")</f>
        <v>Abrir facsímil</v>
      </c>
      <c r="K5361" s="3" t="s">
        <v>74</v>
      </c>
    </row>
    <row r="5362" spans="1:11" ht="42" customHeight="1">
      <c r="A5362" s="2" t="s">
        <v>13425</v>
      </c>
      <c r="B5362" s="2" t="s">
        <v>13426</v>
      </c>
      <c r="C5362" s="2" t="s">
        <v>195</v>
      </c>
      <c r="D5362" s="2" t="s">
        <v>50</v>
      </c>
      <c r="E5362" s="5">
        <v>-30874</v>
      </c>
      <c r="F5362" s="3" t="s">
        <v>208</v>
      </c>
      <c r="G5362" s="3" t="s">
        <v>38</v>
      </c>
      <c r="H5362" s="2" t="s">
        <v>21</v>
      </c>
      <c r="I5362" s="2" t="s">
        <v>13427</v>
      </c>
      <c r="J5362" s="3" t="str">
        <f>HYPERLINK("https://www.boe.es/gazeta/dias/1815/06/20/pdfs/GMD-1815-74.pdf#page=8","Abrir facsímil")</f>
        <v>Abrir facsímil</v>
      </c>
      <c r="K5362" s="3" t="s">
        <v>23</v>
      </c>
    </row>
    <row r="5363" spans="1:11" ht="42" customHeight="1">
      <c r="A5363" s="2" t="s">
        <v>13428</v>
      </c>
      <c r="B5363" s="2" t="s">
        <v>13429</v>
      </c>
      <c r="C5363" s="2" t="s">
        <v>31</v>
      </c>
      <c r="D5363" s="2" t="s">
        <v>32</v>
      </c>
      <c r="E5363" s="5">
        <v>-30863</v>
      </c>
      <c r="F5363" s="3" t="s">
        <v>110</v>
      </c>
      <c r="G5363" s="3" t="s">
        <v>88</v>
      </c>
      <c r="H5363" s="2" t="s">
        <v>72</v>
      </c>
      <c r="I5363" s="2" t="s">
        <v>13430</v>
      </c>
      <c r="J5363" s="3" t="str">
        <f>HYPERLINK("https://www.boe.es/gazeta/dias/1815/07/01/pdfs/GMD-1815-79.pdf#page=10","Abrir facsímil")</f>
        <v>Abrir facsímil</v>
      </c>
      <c r="K5363" s="3" t="s">
        <v>74</v>
      </c>
    </row>
    <row r="5364" spans="1:11" ht="42" customHeight="1">
      <c r="A5364" s="2" t="s">
        <v>13431</v>
      </c>
      <c r="B5364" s="2" t="s">
        <v>13432</v>
      </c>
      <c r="C5364" s="2" t="s">
        <v>31</v>
      </c>
      <c r="D5364" s="2" t="s">
        <v>32</v>
      </c>
      <c r="E5364" s="5">
        <v>-30872</v>
      </c>
      <c r="F5364" s="3" t="s">
        <v>167</v>
      </c>
      <c r="G5364" s="3" t="s">
        <v>276</v>
      </c>
      <c r="H5364" s="2" t="s">
        <v>72</v>
      </c>
      <c r="I5364" s="2" t="s">
        <v>13433</v>
      </c>
      <c r="J5364" s="3" t="str">
        <f>HYPERLINK("https://www.boe.es/gazeta/dias/1815/06/22/pdfs/GMD-1815-75.pdf#page=12","Abrir facsímil")</f>
        <v>Abrir facsímil</v>
      </c>
      <c r="K5364" s="3" t="s">
        <v>74</v>
      </c>
    </row>
    <row r="5365" spans="1:11" ht="42" customHeight="1">
      <c r="A5365" s="2" t="s">
        <v>13434</v>
      </c>
      <c r="B5365" s="2" t="s">
        <v>13435</v>
      </c>
      <c r="C5365" s="2" t="s">
        <v>131</v>
      </c>
      <c r="D5365" s="2" t="s">
        <v>50</v>
      </c>
      <c r="E5365" s="5">
        <v>-30802</v>
      </c>
      <c r="F5365" s="3" t="s">
        <v>1393</v>
      </c>
      <c r="G5365" s="3" t="s">
        <v>38</v>
      </c>
      <c r="H5365" s="2" t="s">
        <v>72</v>
      </c>
      <c r="I5365" s="2" t="s">
        <v>13436</v>
      </c>
      <c r="J5365" s="3" t="str">
        <f>HYPERLINK("https://www.boe.es/gazeta/dias/1815/08/31/pdfs/GMD-1815-107.pdf#page=8","Abrir facsímil")</f>
        <v>Abrir facsímil</v>
      </c>
      <c r="K5365" s="3" t="s">
        <v>74</v>
      </c>
    </row>
    <row r="5366" spans="1:11" ht="42" customHeight="1">
      <c r="A5366" s="2" t="s">
        <v>13434</v>
      </c>
      <c r="B5366" s="2" t="s">
        <v>13435</v>
      </c>
      <c r="C5366" s="2" t="s">
        <v>31</v>
      </c>
      <c r="D5366" s="2" t="s">
        <v>32</v>
      </c>
      <c r="E5366" s="5">
        <v>-30797</v>
      </c>
      <c r="F5366" s="3" t="s">
        <v>248</v>
      </c>
      <c r="G5366" s="3" t="s">
        <v>71</v>
      </c>
      <c r="H5366" s="2" t="s">
        <v>72</v>
      </c>
      <c r="I5366" s="2" t="s">
        <v>13437</v>
      </c>
      <c r="J5366" s="3" t="str">
        <f>HYPERLINK("https://www.boe.es/gazeta/dias/1815/09/05/pdfs/GMD-1815-110.pdf#page=7","Abrir facsímil")</f>
        <v>Abrir facsímil</v>
      </c>
      <c r="K5366" s="3" t="s">
        <v>74</v>
      </c>
    </row>
    <row r="5367" spans="1:11" ht="42" customHeight="1">
      <c r="A5367" s="2" t="s">
        <v>13438</v>
      </c>
      <c r="B5367" s="2" t="s">
        <v>13439</v>
      </c>
      <c r="C5367" s="2" t="s">
        <v>31</v>
      </c>
      <c r="D5367" s="2" t="s">
        <v>32</v>
      </c>
      <c r="E5367" s="5">
        <v>-30793</v>
      </c>
      <c r="F5367" s="3" t="s">
        <v>1704</v>
      </c>
      <c r="G5367" s="3" t="s">
        <v>27</v>
      </c>
      <c r="H5367" s="2" t="s">
        <v>72</v>
      </c>
      <c r="I5367" s="2" t="s">
        <v>13440</v>
      </c>
      <c r="J5367" s="3" t="str">
        <f>HYPERLINK("https://www.boe.es/gazeta/dias/1815/09/09/pdfs/GMD-1815-112.pdf#page=6","Abrir facsímil")</f>
        <v>Abrir facsímil</v>
      </c>
      <c r="K5367" s="3" t="s">
        <v>74</v>
      </c>
    </row>
    <row r="5368" spans="1:11" ht="42" customHeight="1">
      <c r="A5368" s="2" t="s">
        <v>13441</v>
      </c>
      <c r="B5368" s="2" t="s">
        <v>13442</v>
      </c>
      <c r="C5368" s="2" t="s">
        <v>17</v>
      </c>
      <c r="D5368" s="2" t="s">
        <v>18</v>
      </c>
      <c r="E5368" s="5">
        <v>-30972</v>
      </c>
      <c r="F5368" s="3" t="s">
        <v>1382</v>
      </c>
      <c r="G5368" s="3" t="s">
        <v>20</v>
      </c>
      <c r="H5368" s="2" t="s">
        <v>72</v>
      </c>
      <c r="I5368" s="2" t="s">
        <v>13443</v>
      </c>
      <c r="J5368" s="3" t="str">
        <f>HYPERLINK("https://www.boe.es/gazeta/dias/1815/03/14/pdfs/GMD-1815-31.pdf#page=4","Abrir facsímil")</f>
        <v>Abrir facsímil</v>
      </c>
      <c r="K5368" s="3" t="s">
        <v>74</v>
      </c>
    </row>
    <row r="5369" spans="1:11" ht="42" customHeight="1">
      <c r="A5369" s="2" t="s">
        <v>13444</v>
      </c>
      <c r="B5369" s="2" t="s">
        <v>13444</v>
      </c>
      <c r="C5369" s="2" t="s">
        <v>31</v>
      </c>
      <c r="D5369" s="2" t="s">
        <v>32</v>
      </c>
      <c r="E5369" s="5">
        <v>-30816</v>
      </c>
      <c r="F5369" s="3" t="s">
        <v>1253</v>
      </c>
      <c r="G5369" s="3" t="s">
        <v>88</v>
      </c>
      <c r="H5369" s="2" t="s">
        <v>72</v>
      </c>
      <c r="I5369" s="2" t="s">
        <v>13445</v>
      </c>
      <c r="J5369" s="3" t="str">
        <f>HYPERLINK("https://www.boe.es/gazeta/dias/1815/08/17/pdfs/GMD-1815-101.pdf#page=10","Abrir facsímil")</f>
        <v>Abrir facsímil</v>
      </c>
      <c r="K5369" s="3" t="s">
        <v>74</v>
      </c>
    </row>
    <row r="5370" spans="1:11" ht="42" customHeight="1">
      <c r="A5370" s="2" t="s">
        <v>13446</v>
      </c>
      <c r="B5370" s="2" t="s">
        <v>13447</v>
      </c>
      <c r="C5370" s="2" t="s">
        <v>31</v>
      </c>
      <c r="D5370" s="2" t="s">
        <v>32</v>
      </c>
      <c r="E5370" s="5">
        <v>-30816</v>
      </c>
      <c r="F5370" s="3" t="s">
        <v>1253</v>
      </c>
      <c r="G5370" s="3" t="s">
        <v>38</v>
      </c>
      <c r="H5370" s="2" t="s">
        <v>72</v>
      </c>
      <c r="I5370" s="2" t="s">
        <v>13448</v>
      </c>
      <c r="J5370" s="3" t="str">
        <f>HYPERLINK("https://www.boe.es/gazeta/dias/1815/08/17/pdfs/GMD-1815-101.pdf#page=8","Abrir facsímil")</f>
        <v>Abrir facsímil</v>
      </c>
      <c r="K5370" s="3" t="s">
        <v>74</v>
      </c>
    </row>
    <row r="5371" spans="1:11" ht="42" customHeight="1">
      <c r="A5371" s="2" t="s">
        <v>13449</v>
      </c>
      <c r="B5371" s="2" t="s">
        <v>13449</v>
      </c>
      <c r="C5371" s="2" t="s">
        <v>31</v>
      </c>
      <c r="D5371" s="2" t="s">
        <v>32</v>
      </c>
      <c r="E5371" s="5">
        <v>-30816</v>
      </c>
      <c r="F5371" s="3" t="s">
        <v>1253</v>
      </c>
      <c r="G5371" s="3" t="s">
        <v>88</v>
      </c>
      <c r="H5371" s="2" t="s">
        <v>72</v>
      </c>
      <c r="I5371" s="2" t="s">
        <v>13450</v>
      </c>
      <c r="J5371" s="3" t="str">
        <f>HYPERLINK("https://www.boe.es/gazeta/dias/1815/08/17/pdfs/GMD-1815-101.pdf#page=10","Abrir facsímil")</f>
        <v>Abrir facsímil</v>
      </c>
      <c r="K5371" s="3" t="s">
        <v>74</v>
      </c>
    </row>
    <row r="5372" spans="1:11" ht="42" customHeight="1">
      <c r="A5372" s="2" t="s">
        <v>13449</v>
      </c>
      <c r="B5372" s="2" t="s">
        <v>13449</v>
      </c>
      <c r="C5372" s="2" t="s">
        <v>31</v>
      </c>
      <c r="D5372" s="2" t="s">
        <v>32</v>
      </c>
      <c r="E5372" s="5">
        <v>-30816</v>
      </c>
      <c r="F5372" s="3" t="s">
        <v>1253</v>
      </c>
      <c r="G5372" s="3" t="s">
        <v>224</v>
      </c>
      <c r="H5372" s="2" t="s">
        <v>72</v>
      </c>
      <c r="I5372" s="2" t="s">
        <v>13451</v>
      </c>
      <c r="J5372" s="3" t="str">
        <f>HYPERLINK("https://www.boe.es/gazeta/dias/1815/08/17/pdfs/GMD-1815-101.pdf#page=9","Abrir facsímil")</f>
        <v>Abrir facsímil</v>
      </c>
      <c r="K5372" s="3" t="s">
        <v>74</v>
      </c>
    </row>
    <row r="5373" spans="1:11" ht="42" customHeight="1">
      <c r="A5373" s="2" t="s">
        <v>13452</v>
      </c>
      <c r="B5373" s="2" t="s">
        <v>13453</v>
      </c>
      <c r="C5373" s="2" t="s">
        <v>131</v>
      </c>
      <c r="D5373" s="2" t="s">
        <v>50</v>
      </c>
      <c r="E5373" s="5">
        <v>-30874</v>
      </c>
      <c r="F5373" s="3" t="s">
        <v>208</v>
      </c>
      <c r="G5373" s="3" t="s">
        <v>27</v>
      </c>
      <c r="H5373" s="2" t="s">
        <v>72</v>
      </c>
      <c r="I5373" s="2" t="s">
        <v>13454</v>
      </c>
      <c r="J5373" s="3" t="str">
        <f>HYPERLINK("https://www.boe.es/gazeta/dias/1815/06/20/pdfs/GMD-1815-74.pdf#page=6","Abrir facsímil")</f>
        <v>Abrir facsímil</v>
      </c>
      <c r="K5373" s="3" t="s">
        <v>74</v>
      </c>
    </row>
    <row r="5374" spans="1:11" ht="42" customHeight="1">
      <c r="A5374" s="2" t="s">
        <v>13452</v>
      </c>
      <c r="B5374" s="2" t="s">
        <v>13453</v>
      </c>
      <c r="C5374" s="2" t="s">
        <v>31</v>
      </c>
      <c r="D5374" s="2" t="s">
        <v>32</v>
      </c>
      <c r="E5374" s="5">
        <v>-30779</v>
      </c>
      <c r="F5374" s="3" t="s">
        <v>1426</v>
      </c>
      <c r="G5374" s="3" t="s">
        <v>71</v>
      </c>
      <c r="H5374" s="2" t="s">
        <v>72</v>
      </c>
      <c r="I5374" s="2" t="s">
        <v>13455</v>
      </c>
      <c r="J5374" s="3" t="str">
        <f>HYPERLINK("https://www.boe.es/gazeta/dias/1815/09/23/pdfs/GMD-1815-118.pdf#page=7","Abrir facsímil")</f>
        <v>Abrir facsímil</v>
      </c>
      <c r="K5374" s="3" t="s">
        <v>74</v>
      </c>
    </row>
    <row r="5375" spans="1:11" ht="42" customHeight="1">
      <c r="A5375" s="2" t="s">
        <v>13452</v>
      </c>
      <c r="B5375" s="2" t="s">
        <v>13453</v>
      </c>
      <c r="C5375" s="2" t="s">
        <v>31</v>
      </c>
      <c r="D5375" s="2" t="s">
        <v>32</v>
      </c>
      <c r="E5375" s="5">
        <v>-30746</v>
      </c>
      <c r="F5375" s="3" t="s">
        <v>3203</v>
      </c>
      <c r="G5375" s="3" t="s">
        <v>3294</v>
      </c>
      <c r="H5375" s="2" t="s">
        <v>72</v>
      </c>
      <c r="I5375" s="2" t="s">
        <v>13456</v>
      </c>
      <c r="J5375" s="3" t="str">
        <f>HYPERLINK("https://www.boe.es/gazeta/dias/1815/10/26/pdfs/GMD-1815-134.pdf#page=5","Abrir facsímil")</f>
        <v>Abrir facsímil</v>
      </c>
      <c r="K5375" s="3" t="s">
        <v>74</v>
      </c>
    </row>
    <row r="5376" spans="1:11" ht="42" customHeight="1">
      <c r="A5376" s="2" t="s">
        <v>13457</v>
      </c>
      <c r="B5376" s="2" t="s">
        <v>13457</v>
      </c>
      <c r="C5376" s="2" t="s">
        <v>31</v>
      </c>
      <c r="D5376" s="2" t="s">
        <v>32</v>
      </c>
      <c r="E5376" s="5">
        <v>-30816</v>
      </c>
      <c r="F5376" s="3" t="s">
        <v>1253</v>
      </c>
      <c r="G5376" s="3" t="s">
        <v>224</v>
      </c>
      <c r="H5376" s="2" t="s">
        <v>72</v>
      </c>
      <c r="I5376" s="2" t="s">
        <v>13458</v>
      </c>
      <c r="J5376" s="3" t="str">
        <f>HYPERLINK("https://www.boe.es/gazeta/dias/1815/08/17/pdfs/GMD-1815-101.pdf#page=9","Abrir facsímil")</f>
        <v>Abrir facsímil</v>
      </c>
      <c r="K5376" s="3" t="s">
        <v>74</v>
      </c>
    </row>
    <row r="5377" spans="1:11" ht="42" customHeight="1">
      <c r="A5377" s="2" t="s">
        <v>13459</v>
      </c>
      <c r="B5377" s="2" t="s">
        <v>13460</v>
      </c>
      <c r="C5377" s="2" t="s">
        <v>49</v>
      </c>
      <c r="D5377" s="2" t="s">
        <v>50</v>
      </c>
      <c r="E5377" s="5">
        <v>-30886</v>
      </c>
      <c r="F5377" s="3" t="s">
        <v>140</v>
      </c>
      <c r="G5377" s="3" t="s">
        <v>88</v>
      </c>
      <c r="H5377" s="2" t="s">
        <v>72</v>
      </c>
      <c r="I5377" s="2" t="s">
        <v>13461</v>
      </c>
      <c r="J5377" s="3" t="str">
        <f>HYPERLINK("https://www.boe.es/gazeta/dias/1815/06/08/pdfs/GMD-1815-69.pdf#page=10","Abrir facsímil")</f>
        <v>Abrir facsímil</v>
      </c>
      <c r="K5377" s="3" t="s">
        <v>74</v>
      </c>
    </row>
    <row r="5378" spans="1:11" ht="42" customHeight="1">
      <c r="A5378" s="2" t="s">
        <v>13462</v>
      </c>
      <c r="B5378" s="2" t="s">
        <v>13462</v>
      </c>
      <c r="C5378" s="2" t="s">
        <v>195</v>
      </c>
      <c r="D5378" s="2" t="s">
        <v>50</v>
      </c>
      <c r="E5378" s="5">
        <v>-30921</v>
      </c>
      <c r="F5378" s="3" t="s">
        <v>191</v>
      </c>
      <c r="G5378" s="3" t="s">
        <v>38</v>
      </c>
      <c r="H5378" s="2" t="s">
        <v>72</v>
      </c>
      <c r="I5378" s="2" t="s">
        <v>13463</v>
      </c>
      <c r="J5378" s="3" t="str">
        <f>HYPERLINK("https://www.boe.es/gazeta/dias/1815/05/04/pdfs/GMD-1815-54.pdf#page=8","Abrir facsímil")</f>
        <v>Abrir facsímil</v>
      </c>
      <c r="K5378" s="3" t="s">
        <v>74</v>
      </c>
    </row>
    <row r="5379" spans="1:11" ht="42" customHeight="1">
      <c r="A5379" s="2" t="s">
        <v>13464</v>
      </c>
      <c r="B5379" s="2" t="s">
        <v>13465</v>
      </c>
      <c r="C5379" s="2" t="s">
        <v>17</v>
      </c>
      <c r="D5379" s="2" t="s">
        <v>18</v>
      </c>
      <c r="E5379" s="5">
        <v>-30968</v>
      </c>
      <c r="F5379" s="3" t="s">
        <v>2695</v>
      </c>
      <c r="G5379" s="3" t="s">
        <v>52</v>
      </c>
      <c r="H5379" s="2" t="s">
        <v>72</v>
      </c>
      <c r="I5379" s="2" t="s">
        <v>13466</v>
      </c>
      <c r="J5379" s="3" t="str">
        <f>HYPERLINK("https://www.boe.es/gazeta/dias/1815/03/18/pdfs/GMD-1815-33.pdf#page=11","Abrir facsímil")</f>
        <v>Abrir facsímil</v>
      </c>
      <c r="K5379" s="3" t="s">
        <v>74</v>
      </c>
    </row>
    <row r="5380" spans="1:11" ht="42" customHeight="1">
      <c r="A5380" s="2" t="s">
        <v>13467</v>
      </c>
      <c r="B5380" s="2" t="s">
        <v>13467</v>
      </c>
      <c r="C5380" s="2" t="s">
        <v>81</v>
      </c>
      <c r="D5380" s="2" t="s">
        <v>50</v>
      </c>
      <c r="E5380" s="5">
        <v>-30683</v>
      </c>
      <c r="F5380" s="3" t="s">
        <v>1693</v>
      </c>
      <c r="G5380" s="3" t="s">
        <v>410</v>
      </c>
      <c r="H5380" s="2" t="s">
        <v>72</v>
      </c>
      <c r="I5380" s="2" t="s">
        <v>13468</v>
      </c>
      <c r="J5380" s="3" t="str">
        <f>HYPERLINK("https://www.boe.es/gazeta/dias/1815/12/28/pdfs/GMD-1815-161.pdf#page=1","Abrir facsímil")</f>
        <v>Abrir facsímil</v>
      </c>
      <c r="K5380" s="3" t="s">
        <v>74</v>
      </c>
    </row>
    <row r="5381" spans="1:11" ht="42" customHeight="1">
      <c r="A5381" s="2" t="s">
        <v>13469</v>
      </c>
      <c r="B5381" s="2" t="s">
        <v>13469</v>
      </c>
      <c r="C5381" s="2" t="s">
        <v>31</v>
      </c>
      <c r="D5381" s="2" t="s">
        <v>179</v>
      </c>
      <c r="E5381" s="5">
        <v>-30863</v>
      </c>
      <c r="F5381" s="3" t="s">
        <v>2024</v>
      </c>
      <c r="G5381" s="3" t="s">
        <v>377</v>
      </c>
      <c r="H5381" s="2" t="s">
        <v>72</v>
      </c>
      <c r="I5381" s="2" t="s">
        <v>13470</v>
      </c>
      <c r="J5381" s="3" t="str">
        <f>HYPERLINK("https://www.boe.es/gazeta/dias/1815/07/01/pdfs/GMD-1815-80E.pdf#page=2","Abrir facsímil")</f>
        <v>Abrir facsímil</v>
      </c>
      <c r="K5381" s="3" t="s">
        <v>74</v>
      </c>
    </row>
    <row r="5382" spans="1:11" ht="42" customHeight="1">
      <c r="A5382" s="2" t="s">
        <v>13469</v>
      </c>
      <c r="B5382" s="2" t="s">
        <v>13469</v>
      </c>
      <c r="C5382" s="2" t="s">
        <v>31</v>
      </c>
      <c r="D5382" s="2" t="s">
        <v>32</v>
      </c>
      <c r="E5382" s="5">
        <v>-30849</v>
      </c>
      <c r="F5382" s="3" t="s">
        <v>501</v>
      </c>
      <c r="G5382" s="3" t="s">
        <v>27</v>
      </c>
      <c r="H5382" s="2" t="s">
        <v>72</v>
      </c>
      <c r="I5382" s="2" t="s">
        <v>13471</v>
      </c>
      <c r="J5382" s="3" t="str">
        <f>HYPERLINK("https://www.boe.es/gazeta/dias/1815/07/15/pdfs/GMD-1815-87.pdf#page=6","Abrir facsímil")</f>
        <v>Abrir facsímil</v>
      </c>
      <c r="K5382" s="3" t="s">
        <v>74</v>
      </c>
    </row>
    <row r="5383" spans="1:11" ht="42" customHeight="1">
      <c r="A5383" s="2" t="s">
        <v>13469</v>
      </c>
      <c r="B5383" s="2" t="s">
        <v>13469</v>
      </c>
      <c r="C5383" s="2" t="s">
        <v>31</v>
      </c>
      <c r="D5383" s="2" t="s">
        <v>32</v>
      </c>
      <c r="E5383" s="5">
        <v>-30842</v>
      </c>
      <c r="F5383" s="3" t="s">
        <v>126</v>
      </c>
      <c r="G5383" s="3" t="s">
        <v>97</v>
      </c>
      <c r="H5383" s="2" t="s">
        <v>72</v>
      </c>
      <c r="I5383" s="2" t="s">
        <v>13472</v>
      </c>
      <c r="J5383" s="3" t="str">
        <f>HYPERLINK("https://www.boe.es/gazeta/dias/1815/07/22/pdfs/GMD-1815-90.pdf#page=3","Abrir facsímil")</f>
        <v>Abrir facsímil</v>
      </c>
      <c r="K5383" s="3" t="s">
        <v>74</v>
      </c>
    </row>
    <row r="5384" spans="1:11" ht="42" customHeight="1">
      <c r="A5384" s="2" t="s">
        <v>13469</v>
      </c>
      <c r="B5384" s="2" t="s">
        <v>13469</v>
      </c>
      <c r="C5384" s="2" t="s">
        <v>31</v>
      </c>
      <c r="D5384" s="2" t="s">
        <v>32</v>
      </c>
      <c r="E5384" s="5">
        <v>-30811</v>
      </c>
      <c r="F5384" s="3" t="s">
        <v>293</v>
      </c>
      <c r="G5384" s="3" t="s">
        <v>377</v>
      </c>
      <c r="H5384" s="2" t="s">
        <v>72</v>
      </c>
      <c r="I5384" s="2" t="s">
        <v>13473</v>
      </c>
      <c r="J5384" s="3" t="str">
        <f>HYPERLINK("https://www.boe.es/gazeta/dias/1815/08/22/pdfs/GMD-1815-103.pdf#page=2","Abrir facsímil")</f>
        <v>Abrir facsímil</v>
      </c>
      <c r="K5384" s="3" t="s">
        <v>74</v>
      </c>
    </row>
    <row r="5385" spans="1:11" ht="42" customHeight="1">
      <c r="A5385" s="2" t="s">
        <v>13469</v>
      </c>
      <c r="B5385" s="2" t="s">
        <v>13469</v>
      </c>
      <c r="C5385" s="2" t="s">
        <v>31</v>
      </c>
      <c r="D5385" s="2" t="s">
        <v>32</v>
      </c>
      <c r="E5385" s="5">
        <v>-30811</v>
      </c>
      <c r="F5385" s="3" t="s">
        <v>293</v>
      </c>
      <c r="G5385" s="3" t="s">
        <v>97</v>
      </c>
      <c r="H5385" s="2" t="s">
        <v>72</v>
      </c>
      <c r="I5385" s="2" t="s">
        <v>13474</v>
      </c>
      <c r="J5385" s="3" t="str">
        <f>HYPERLINK("https://www.boe.es/gazeta/dias/1815/08/22/pdfs/GMD-1815-103.pdf#page=3","Abrir facsímil")</f>
        <v>Abrir facsímil</v>
      </c>
      <c r="K5385" s="3" t="s">
        <v>74</v>
      </c>
    </row>
    <row r="5386" spans="1:11" ht="42" customHeight="1">
      <c r="A5386" s="2" t="s">
        <v>13475</v>
      </c>
      <c r="B5386" s="2" t="s">
        <v>13475</v>
      </c>
      <c r="C5386" s="2" t="s">
        <v>31</v>
      </c>
      <c r="D5386" s="2" t="s">
        <v>32</v>
      </c>
      <c r="E5386" s="5">
        <v>-30681</v>
      </c>
      <c r="F5386" s="3" t="s">
        <v>2093</v>
      </c>
      <c r="G5386" s="3" t="s">
        <v>27</v>
      </c>
      <c r="H5386" s="2" t="s">
        <v>72</v>
      </c>
      <c r="I5386" s="2" t="s">
        <v>13476</v>
      </c>
      <c r="J5386" s="3" t="str">
        <f>HYPERLINK("https://www.boe.es/gazeta/dias/1815/12/30/pdfs/GMD-1815-162.pdf#page=6","Abrir facsímil")</f>
        <v>Abrir facsímil</v>
      </c>
      <c r="K5386" s="3" t="s">
        <v>74</v>
      </c>
    </row>
    <row r="5387" spans="1:11" ht="42" customHeight="1">
      <c r="A5387" s="2" t="s">
        <v>13477</v>
      </c>
      <c r="B5387" s="2" t="s">
        <v>13477</v>
      </c>
      <c r="C5387" s="2" t="s">
        <v>31</v>
      </c>
      <c r="D5387" s="2" t="s">
        <v>32</v>
      </c>
      <c r="E5387" s="5">
        <v>-30898</v>
      </c>
      <c r="F5387" s="3" t="s">
        <v>212</v>
      </c>
      <c r="G5387" s="3" t="s">
        <v>97</v>
      </c>
      <c r="H5387" s="2" t="s">
        <v>72</v>
      </c>
      <c r="I5387" s="2" t="s">
        <v>13478</v>
      </c>
      <c r="J5387" s="3" t="str">
        <f>HYPERLINK("https://www.boe.es/gazeta/dias/1815/05/27/pdfs/GMD-1815-64.pdf#page=3","Abrir facsímil")</f>
        <v>Abrir facsímil</v>
      </c>
      <c r="K5387" s="3" t="s">
        <v>74</v>
      </c>
    </row>
    <row r="5388" spans="1:11" ht="42" customHeight="1">
      <c r="A5388" s="2" t="s">
        <v>13479</v>
      </c>
      <c r="B5388" s="2" t="s">
        <v>13480</v>
      </c>
      <c r="C5388" s="2" t="s">
        <v>195</v>
      </c>
      <c r="D5388" s="2" t="s">
        <v>50</v>
      </c>
      <c r="E5388" s="5">
        <v>-30940</v>
      </c>
      <c r="F5388" s="3" t="s">
        <v>610</v>
      </c>
      <c r="G5388" s="3" t="s">
        <v>71</v>
      </c>
      <c r="H5388" s="2" t="s">
        <v>21</v>
      </c>
      <c r="I5388" s="2" t="s">
        <v>13481</v>
      </c>
      <c r="J5388" s="3" t="str">
        <f>HYPERLINK("https://www.boe.es/gazeta/dias/1815/04/15/pdfs/GMD-1815-46.pdf#page=7","Abrir facsímil")</f>
        <v>Abrir facsímil</v>
      </c>
      <c r="K5388" s="3" t="s">
        <v>23</v>
      </c>
    </row>
    <row r="5389" spans="1:11" ht="42" customHeight="1">
      <c r="A5389" s="2" t="s">
        <v>13482</v>
      </c>
      <c r="B5389" s="2" t="s">
        <v>13483</v>
      </c>
      <c r="C5389" s="2" t="s">
        <v>195</v>
      </c>
      <c r="D5389" s="2" t="s">
        <v>50</v>
      </c>
      <c r="E5389" s="5">
        <v>-30909</v>
      </c>
      <c r="F5389" s="3" t="s">
        <v>581</v>
      </c>
      <c r="G5389" s="3" t="s">
        <v>38</v>
      </c>
      <c r="H5389" s="2" t="s">
        <v>72</v>
      </c>
      <c r="I5389" s="2" t="s">
        <v>13484</v>
      </c>
      <c r="J5389" s="3" t="str">
        <f>HYPERLINK("https://www.boe.es/gazeta/dias/1815/05/16/pdfs/GMD-1815-59.pdf#page=8","Abrir facsímil")</f>
        <v>Abrir facsímil</v>
      </c>
      <c r="K5389" s="3" t="s">
        <v>74</v>
      </c>
    </row>
    <row r="5390" spans="1:11" ht="42" customHeight="1">
      <c r="A5390" s="2" t="s">
        <v>13485</v>
      </c>
      <c r="B5390" s="2" t="s">
        <v>13486</v>
      </c>
      <c r="C5390" s="2" t="s">
        <v>17</v>
      </c>
      <c r="D5390" s="2" t="s">
        <v>18</v>
      </c>
      <c r="E5390" s="5">
        <v>-31035</v>
      </c>
      <c r="F5390" s="3" t="s">
        <v>42</v>
      </c>
      <c r="G5390" s="3" t="s">
        <v>20</v>
      </c>
      <c r="H5390" s="2" t="s">
        <v>72</v>
      </c>
      <c r="I5390" s="2" t="s">
        <v>13487</v>
      </c>
      <c r="J5390" s="3" t="str">
        <f>HYPERLINK("https://www.boe.es/gazeta/dias/1815/01/10/pdfs/GMD-1815-4.pdf#page=4","Abrir facsímil")</f>
        <v>Abrir facsímil</v>
      </c>
      <c r="K5390" s="3" t="s">
        <v>74</v>
      </c>
    </row>
    <row r="5391" spans="1:11" ht="42" customHeight="1">
      <c r="A5391" s="2" t="s">
        <v>13488</v>
      </c>
      <c r="B5391" s="2" t="s">
        <v>13489</v>
      </c>
      <c r="C5391" s="2" t="s">
        <v>17</v>
      </c>
      <c r="D5391" s="2" t="s">
        <v>18</v>
      </c>
      <c r="E5391" s="5">
        <v>-30767</v>
      </c>
      <c r="F5391" s="3" t="s">
        <v>228</v>
      </c>
      <c r="G5391" s="3" t="s">
        <v>224</v>
      </c>
      <c r="H5391" s="2" t="s">
        <v>72</v>
      </c>
      <c r="I5391" s="2" t="s">
        <v>13490</v>
      </c>
      <c r="J5391" s="3" t="str">
        <f>HYPERLINK("https://www.boe.es/gazeta/dias/1815/10/05/pdfs/GMD-1815-125.pdf#page=9","Abrir facsímil")</f>
        <v>Abrir facsímil</v>
      </c>
      <c r="K5391" s="3" t="s">
        <v>74</v>
      </c>
    </row>
    <row r="5392" spans="1:11" ht="42" customHeight="1">
      <c r="A5392" s="2" t="s">
        <v>13491</v>
      </c>
      <c r="B5392" s="2" t="s">
        <v>13492</v>
      </c>
      <c r="C5392" s="2" t="s">
        <v>31</v>
      </c>
      <c r="D5392" s="2" t="s">
        <v>32</v>
      </c>
      <c r="E5392" s="5">
        <v>-30916</v>
      </c>
      <c r="F5392" s="3" t="s">
        <v>147</v>
      </c>
      <c r="G5392" s="3" t="s">
        <v>148</v>
      </c>
      <c r="H5392" s="2" t="s">
        <v>72</v>
      </c>
      <c r="I5392" s="2" t="s">
        <v>13493</v>
      </c>
      <c r="J5392" s="3" t="str">
        <f>HYPERLINK("https://www.boe.es/gazeta/dias/1815/05/09/pdfs/GMD-1815-56.pdf#page=7","Abrir facsímil")</f>
        <v>Abrir facsímil</v>
      </c>
      <c r="K5392" s="3" t="s">
        <v>74</v>
      </c>
    </row>
    <row r="5393" spans="1:11" ht="42" customHeight="1">
      <c r="A5393" s="2" t="s">
        <v>13494</v>
      </c>
      <c r="B5393" s="2" t="s">
        <v>13495</v>
      </c>
      <c r="C5393" s="2" t="s">
        <v>195</v>
      </c>
      <c r="D5393" s="2" t="s">
        <v>50</v>
      </c>
      <c r="E5393" s="5">
        <v>-30872</v>
      </c>
      <c r="F5393" s="3" t="s">
        <v>167</v>
      </c>
      <c r="G5393" s="3" t="s">
        <v>224</v>
      </c>
      <c r="H5393" s="2" t="s">
        <v>72</v>
      </c>
      <c r="I5393" s="2" t="s">
        <v>13496</v>
      </c>
      <c r="J5393" s="3" t="str">
        <f>HYPERLINK("https://www.boe.es/gazeta/dias/1815/06/22/pdfs/GMD-1815-75.pdf#page=9","Abrir facsímil")</f>
        <v>Abrir facsímil</v>
      </c>
      <c r="K5393" s="3" t="s">
        <v>74</v>
      </c>
    </row>
    <row r="5394" spans="1:11" ht="42" customHeight="1">
      <c r="A5394" s="2" t="s">
        <v>13497</v>
      </c>
      <c r="B5394" s="2" t="s">
        <v>13498</v>
      </c>
      <c r="C5394" s="2" t="s">
        <v>195</v>
      </c>
      <c r="D5394" s="2" t="s">
        <v>50</v>
      </c>
      <c r="E5394" s="5">
        <v>-30900</v>
      </c>
      <c r="F5394" s="3" t="s">
        <v>921</v>
      </c>
      <c r="G5394" s="3" t="s">
        <v>88</v>
      </c>
      <c r="H5394" s="2" t="s">
        <v>72</v>
      </c>
      <c r="I5394" s="2" t="s">
        <v>13499</v>
      </c>
      <c r="J5394" s="3" t="str">
        <f>HYPERLINK("https://www.boe.es/gazeta/dias/1815/05/25/pdfs/GMD-1815-63.pdf#page=10","Abrir facsímil")</f>
        <v>Abrir facsímil</v>
      </c>
      <c r="K5394" s="3" t="s">
        <v>74</v>
      </c>
    </row>
    <row r="5395" spans="1:11" ht="42" customHeight="1">
      <c r="A5395" s="2" t="s">
        <v>13500</v>
      </c>
      <c r="B5395" s="2" t="s">
        <v>13501</v>
      </c>
      <c r="C5395" s="2" t="s">
        <v>17</v>
      </c>
      <c r="D5395" s="2" t="s">
        <v>18</v>
      </c>
      <c r="E5395" s="5">
        <v>-30900</v>
      </c>
      <c r="F5395" s="3" t="s">
        <v>921</v>
      </c>
      <c r="G5395" s="3" t="s">
        <v>38</v>
      </c>
      <c r="H5395" s="2" t="s">
        <v>72</v>
      </c>
      <c r="I5395" s="2" t="s">
        <v>13502</v>
      </c>
      <c r="J5395" s="3" t="str">
        <f>HYPERLINK("https://www.boe.es/gazeta/dias/1815/05/25/pdfs/GMD-1815-63.pdf#page=8","Abrir facsímil")</f>
        <v>Abrir facsímil</v>
      </c>
      <c r="K5395" s="3" t="s">
        <v>74</v>
      </c>
    </row>
    <row r="5396" spans="1:11" ht="42" customHeight="1">
      <c r="A5396" s="2" t="s">
        <v>13500</v>
      </c>
      <c r="B5396" s="2" t="s">
        <v>13501</v>
      </c>
      <c r="C5396" s="2" t="s">
        <v>195</v>
      </c>
      <c r="D5396" s="2" t="s">
        <v>50</v>
      </c>
      <c r="E5396" s="5">
        <v>-30879</v>
      </c>
      <c r="F5396" s="3" t="s">
        <v>754</v>
      </c>
      <c r="G5396" s="3" t="s">
        <v>88</v>
      </c>
      <c r="H5396" s="2" t="s">
        <v>72</v>
      </c>
      <c r="I5396" s="2" t="s">
        <v>13503</v>
      </c>
      <c r="J5396" s="3" t="str">
        <f>HYPERLINK("https://www.boe.es/gazeta/dias/1815/06/15/pdfs/GMD-1815-72.pdf#page=10","Abrir facsímil")</f>
        <v>Abrir facsímil</v>
      </c>
      <c r="K5396" s="3" t="s">
        <v>74</v>
      </c>
    </row>
    <row r="5397" spans="1:11" ht="42" customHeight="1">
      <c r="A5397" s="2" t="s">
        <v>13504</v>
      </c>
      <c r="B5397" s="2" t="s">
        <v>13504</v>
      </c>
      <c r="C5397" s="2" t="s">
        <v>31</v>
      </c>
      <c r="D5397" s="2" t="s">
        <v>32</v>
      </c>
      <c r="E5397" s="5">
        <v>-30716</v>
      </c>
      <c r="F5397" s="3" t="s">
        <v>589</v>
      </c>
      <c r="G5397" s="3" t="s">
        <v>27</v>
      </c>
      <c r="H5397" s="2" t="s">
        <v>72</v>
      </c>
      <c r="I5397" s="2" t="s">
        <v>13505</v>
      </c>
      <c r="J5397" s="3" t="str">
        <f>HYPERLINK("https://www.boe.es/gazeta/dias/1815/11/25/pdfs/GMD-1815-147.pdf#page=6","Abrir facsímil")</f>
        <v>Abrir facsímil</v>
      </c>
      <c r="K5397" s="3" t="s">
        <v>74</v>
      </c>
    </row>
    <row r="5398" spans="1:11" ht="42" customHeight="1">
      <c r="A5398" s="2" t="s">
        <v>13506</v>
      </c>
      <c r="B5398" s="2" t="s">
        <v>13507</v>
      </c>
      <c r="C5398" s="2" t="s">
        <v>17</v>
      </c>
      <c r="D5398" s="2" t="s">
        <v>18</v>
      </c>
      <c r="E5398" s="5">
        <v>-30933</v>
      </c>
      <c r="F5398" s="3" t="s">
        <v>725</v>
      </c>
      <c r="G5398" s="3" t="s">
        <v>27</v>
      </c>
      <c r="H5398" s="2" t="s">
        <v>72</v>
      </c>
      <c r="I5398" s="2" t="s">
        <v>13508</v>
      </c>
      <c r="J5398" s="3" t="str">
        <f>HYPERLINK("https://www.boe.es/gazeta/dias/1815/04/22/pdfs/GMD-1815-49.pdf#page=6","Abrir facsímil")</f>
        <v>Abrir facsímil</v>
      </c>
      <c r="K5398" s="3" t="s">
        <v>74</v>
      </c>
    </row>
    <row r="5399" spans="1:11" ht="42" customHeight="1">
      <c r="A5399" s="2" t="s">
        <v>13509</v>
      </c>
      <c r="B5399" s="2" t="s">
        <v>13510</v>
      </c>
      <c r="C5399" s="2" t="s">
        <v>31</v>
      </c>
      <c r="D5399" s="2" t="s">
        <v>32</v>
      </c>
      <c r="E5399" s="5">
        <v>-30811</v>
      </c>
      <c r="F5399" s="3" t="s">
        <v>293</v>
      </c>
      <c r="G5399" s="3" t="s">
        <v>27</v>
      </c>
      <c r="H5399" s="2" t="s">
        <v>72</v>
      </c>
      <c r="I5399" s="2" t="s">
        <v>13511</v>
      </c>
      <c r="J5399" s="3" t="str">
        <f>HYPERLINK("https://www.boe.es/gazeta/dias/1815/08/22/pdfs/GMD-1815-103.pdf#page=6","Abrir facsímil")</f>
        <v>Abrir facsímil</v>
      </c>
      <c r="K5399" s="3" t="s">
        <v>74</v>
      </c>
    </row>
    <row r="5400" spans="1:11" ht="42" customHeight="1">
      <c r="A5400" s="2" t="s">
        <v>13512</v>
      </c>
      <c r="B5400" s="2" t="s">
        <v>13513</v>
      </c>
      <c r="C5400" s="2" t="s">
        <v>31</v>
      </c>
      <c r="D5400" s="2" t="s">
        <v>32</v>
      </c>
      <c r="E5400" s="5">
        <v>-30958</v>
      </c>
      <c r="F5400" s="3" t="s">
        <v>297</v>
      </c>
      <c r="G5400" s="3" t="s">
        <v>71</v>
      </c>
      <c r="H5400" s="2" t="s">
        <v>21</v>
      </c>
      <c r="I5400" s="2" t="s">
        <v>13514</v>
      </c>
      <c r="J5400" s="3" t="str">
        <f>HYPERLINK("https://www.boe.es/gazeta/dias/1815/03/28/pdfs/GMD-1815-37.pdf#page=7","Abrir facsímil")</f>
        <v>Abrir facsímil</v>
      </c>
      <c r="K5400" s="3" t="s">
        <v>23</v>
      </c>
    </row>
    <row r="5401" spans="1:11" ht="42" customHeight="1">
      <c r="A5401" s="2" t="s">
        <v>13512</v>
      </c>
      <c r="B5401" s="2" t="s">
        <v>13513</v>
      </c>
      <c r="C5401" s="2" t="s">
        <v>31</v>
      </c>
      <c r="D5401" s="2" t="s">
        <v>32</v>
      </c>
      <c r="E5401" s="5">
        <v>-30907</v>
      </c>
      <c r="F5401" s="3" t="s">
        <v>301</v>
      </c>
      <c r="G5401" s="3" t="s">
        <v>71</v>
      </c>
      <c r="H5401" s="2" t="s">
        <v>21</v>
      </c>
      <c r="I5401" s="2" t="s">
        <v>13515</v>
      </c>
      <c r="J5401" s="3" t="str">
        <f>HYPERLINK("https://www.boe.es/gazeta/dias/1815/05/18/pdfs/GMD-1815-60.pdf#page=7","Abrir facsímil")</f>
        <v>Abrir facsímil</v>
      </c>
      <c r="K5401" s="3" t="s">
        <v>23</v>
      </c>
    </row>
    <row r="5402" spans="1:11" ht="42" customHeight="1">
      <c r="A5402" s="2" t="s">
        <v>13516</v>
      </c>
      <c r="B5402" s="2" t="s">
        <v>13517</v>
      </c>
      <c r="C5402" s="2" t="s">
        <v>131</v>
      </c>
      <c r="D5402" s="2" t="s">
        <v>50</v>
      </c>
      <c r="E5402" s="5">
        <v>-30982</v>
      </c>
      <c r="F5402" s="3" t="s">
        <v>220</v>
      </c>
      <c r="G5402" s="3" t="s">
        <v>20</v>
      </c>
      <c r="H5402" s="2" t="s">
        <v>72</v>
      </c>
      <c r="I5402" s="2" t="s">
        <v>13518</v>
      </c>
      <c r="J5402" s="3" t="str">
        <f>HYPERLINK("https://www.boe.es/gazeta/dias/1815/03/04/pdfs/GMD-1815-27.pdf#page=4","Abrir facsímil")</f>
        <v>Abrir facsímil</v>
      </c>
      <c r="K5402" s="3" t="s">
        <v>74</v>
      </c>
    </row>
    <row r="5403" spans="1:11" ht="42" customHeight="1">
      <c r="A5403" s="2" t="s">
        <v>13516</v>
      </c>
      <c r="B5403" s="2" t="s">
        <v>13517</v>
      </c>
      <c r="C5403" s="2" t="s">
        <v>31</v>
      </c>
      <c r="D5403" s="2" t="s">
        <v>32</v>
      </c>
      <c r="E5403" s="5">
        <v>-30818</v>
      </c>
      <c r="F5403" s="3" t="s">
        <v>334</v>
      </c>
      <c r="G5403" s="3" t="s">
        <v>38</v>
      </c>
      <c r="H5403" s="2" t="s">
        <v>72</v>
      </c>
      <c r="I5403" s="2" t="s">
        <v>13519</v>
      </c>
      <c r="J5403" s="3" t="str">
        <f>HYPERLINK("https://www.boe.es/gazeta/dias/1815/08/15/pdfs/GMD-1815-100.pdf#page=8","Abrir facsímil")</f>
        <v>Abrir facsímil</v>
      </c>
      <c r="K5403" s="3" t="s">
        <v>74</v>
      </c>
    </row>
    <row r="5404" spans="1:11" ht="42" customHeight="1">
      <c r="A5404" s="2" t="s">
        <v>13520</v>
      </c>
      <c r="B5404" s="2" t="s">
        <v>13521</v>
      </c>
      <c r="C5404" s="2" t="s">
        <v>131</v>
      </c>
      <c r="D5404" s="2" t="s">
        <v>50</v>
      </c>
      <c r="E5404" s="5">
        <v>-30963</v>
      </c>
      <c r="F5404" s="3" t="s">
        <v>879</v>
      </c>
      <c r="G5404" s="3" t="s">
        <v>71</v>
      </c>
      <c r="H5404" s="2" t="s">
        <v>72</v>
      </c>
      <c r="I5404" s="2" t="s">
        <v>13522</v>
      </c>
      <c r="J5404" s="3" t="str">
        <f>HYPERLINK("https://www.boe.es/gazeta/dias/1815/03/23/pdfs/GMD-1815-35.pdf#page=7","Abrir facsímil")</f>
        <v>Abrir facsímil</v>
      </c>
      <c r="K5404" s="3" t="s">
        <v>74</v>
      </c>
    </row>
    <row r="5405" spans="1:11" ht="42" customHeight="1">
      <c r="A5405" s="2" t="s">
        <v>13523</v>
      </c>
      <c r="B5405" s="2" t="s">
        <v>13524</v>
      </c>
      <c r="C5405" s="2" t="s">
        <v>49</v>
      </c>
      <c r="D5405" s="2" t="s">
        <v>50</v>
      </c>
      <c r="E5405" s="5">
        <v>-31038</v>
      </c>
      <c r="F5405" s="3" t="s">
        <v>395</v>
      </c>
      <c r="G5405" s="3" t="s">
        <v>396</v>
      </c>
      <c r="H5405" s="2" t="s">
        <v>72</v>
      </c>
      <c r="I5405" s="2" t="s">
        <v>13525</v>
      </c>
      <c r="J5405" s="3" t="str">
        <f>HYPERLINK("https://www.boe.es/gazeta/dias/1815/01/07/pdfs/GMD-1815-3.pdf#page=5","Abrir facsímil")</f>
        <v>Abrir facsímil</v>
      </c>
      <c r="K5405" s="3" t="s">
        <v>74</v>
      </c>
    </row>
    <row r="5406" spans="1:11" ht="42" customHeight="1">
      <c r="A5406" s="2" t="s">
        <v>13526</v>
      </c>
      <c r="B5406" s="2" t="s">
        <v>13527</v>
      </c>
      <c r="C5406" s="2" t="s">
        <v>31</v>
      </c>
      <c r="D5406" s="2" t="s">
        <v>32</v>
      </c>
      <c r="E5406" s="5">
        <v>-30825</v>
      </c>
      <c r="F5406" s="3" t="s">
        <v>669</v>
      </c>
      <c r="G5406" s="3" t="s">
        <v>224</v>
      </c>
      <c r="H5406" s="2" t="s">
        <v>72</v>
      </c>
      <c r="I5406" s="2" t="s">
        <v>13528</v>
      </c>
      <c r="J5406" s="3" t="str">
        <f>HYPERLINK("https://www.boe.es/gazeta/dias/1815/08/08/pdfs/GMD-1815-97.pdf#page=9","Abrir facsímil")</f>
        <v>Abrir facsímil</v>
      </c>
      <c r="K5406" s="3" t="s">
        <v>74</v>
      </c>
    </row>
    <row r="5407" spans="1:11" ht="42" customHeight="1">
      <c r="A5407" s="2" t="s">
        <v>13529</v>
      </c>
      <c r="B5407" s="2" t="s">
        <v>13529</v>
      </c>
      <c r="C5407" s="2" t="s">
        <v>31</v>
      </c>
      <c r="D5407" s="2" t="s">
        <v>32</v>
      </c>
      <c r="E5407" s="5">
        <v>-30723</v>
      </c>
      <c r="F5407" s="3" t="s">
        <v>77</v>
      </c>
      <c r="G5407" s="3" t="s">
        <v>13530</v>
      </c>
      <c r="H5407" s="2" t="s">
        <v>72</v>
      </c>
      <c r="I5407" s="2" t="s">
        <v>13531</v>
      </c>
      <c r="J5407" s="3" t="str">
        <f>HYPERLINK("https://www.boe.es/gazeta/dias/1815/11/18/pdfs/GMD-1815-144.pdf#page=4","Abrir facsímil")</f>
        <v>Abrir facsímil</v>
      </c>
      <c r="K5407" s="3" t="s">
        <v>74</v>
      </c>
    </row>
    <row r="5408" spans="1:11" ht="42" customHeight="1">
      <c r="A5408" s="2" t="s">
        <v>13532</v>
      </c>
      <c r="B5408" s="2" t="s">
        <v>13533</v>
      </c>
      <c r="C5408" s="2" t="s">
        <v>17</v>
      </c>
      <c r="D5408" s="2" t="s">
        <v>18</v>
      </c>
      <c r="E5408" s="5">
        <v>-31003</v>
      </c>
      <c r="F5408" s="3" t="s">
        <v>405</v>
      </c>
      <c r="G5408" s="3" t="s">
        <v>27</v>
      </c>
      <c r="H5408" s="2" t="s">
        <v>72</v>
      </c>
      <c r="I5408" s="2" t="s">
        <v>13534</v>
      </c>
      <c r="J5408" s="3" t="str">
        <f>HYPERLINK("https://www.boe.es/gazeta/dias/1815/02/11/pdfs/GMD-1815-18.pdf#page=6","Abrir facsímil")</f>
        <v>Abrir facsímil</v>
      </c>
      <c r="K5408" s="3" t="s">
        <v>74</v>
      </c>
    </row>
    <row r="5409" spans="1:11" ht="42" customHeight="1">
      <c r="A5409" s="2" t="s">
        <v>13535</v>
      </c>
      <c r="B5409" s="2" t="s">
        <v>13535</v>
      </c>
      <c r="C5409" s="2" t="s">
        <v>61</v>
      </c>
      <c r="D5409" s="2" t="s">
        <v>50</v>
      </c>
      <c r="E5409" s="5">
        <v>-30767</v>
      </c>
      <c r="F5409" s="3" t="s">
        <v>228</v>
      </c>
      <c r="G5409" s="3" t="s">
        <v>8022</v>
      </c>
      <c r="H5409" s="2" t="s">
        <v>72</v>
      </c>
      <c r="I5409" s="2" t="s">
        <v>13536</v>
      </c>
      <c r="J5409" s="3" t="str">
        <f>HYPERLINK("https://www.boe.es/gazeta/dias/1815/10/05/pdfs/GMD-1815-125.pdf#page=3","Abrir facsímil")</f>
        <v>Abrir facsímil</v>
      </c>
      <c r="K5409" s="3" t="s">
        <v>74</v>
      </c>
    </row>
    <row r="5410" spans="1:11" ht="42" customHeight="1">
      <c r="A5410" s="2" t="s">
        <v>13537</v>
      </c>
      <c r="B5410" s="2" t="s">
        <v>13538</v>
      </c>
      <c r="C5410" s="2" t="s">
        <v>31</v>
      </c>
      <c r="D5410" s="2" t="s">
        <v>32</v>
      </c>
      <c r="E5410" s="5">
        <v>-30767</v>
      </c>
      <c r="F5410" s="3" t="s">
        <v>228</v>
      </c>
      <c r="G5410" s="3" t="s">
        <v>224</v>
      </c>
      <c r="H5410" s="2" t="s">
        <v>72</v>
      </c>
      <c r="I5410" s="2" t="s">
        <v>13539</v>
      </c>
      <c r="J5410" s="3" t="str">
        <f>HYPERLINK("https://www.boe.es/gazeta/dias/1815/10/05/pdfs/GMD-1815-125.pdf#page=9","Abrir facsímil")</f>
        <v>Abrir facsímil</v>
      </c>
      <c r="K5410" s="3" t="s">
        <v>74</v>
      </c>
    </row>
    <row r="5411" spans="1:11" ht="42" customHeight="1">
      <c r="A5411" s="2" t="s">
        <v>13540</v>
      </c>
      <c r="B5411" s="2" t="s">
        <v>13541</v>
      </c>
      <c r="C5411" s="2" t="s">
        <v>31</v>
      </c>
      <c r="D5411" s="2" t="s">
        <v>32</v>
      </c>
      <c r="E5411" s="5">
        <v>-30907</v>
      </c>
      <c r="F5411" s="3" t="s">
        <v>301</v>
      </c>
      <c r="G5411" s="3" t="s">
        <v>71</v>
      </c>
      <c r="H5411" s="2" t="s">
        <v>21</v>
      </c>
      <c r="I5411" s="2" t="s">
        <v>13542</v>
      </c>
      <c r="J5411" s="3" t="str">
        <f>HYPERLINK("https://www.boe.es/gazeta/dias/1815/05/18/pdfs/GMD-1815-60.pdf#page=7","Abrir facsímil")</f>
        <v>Abrir facsímil</v>
      </c>
      <c r="K5411" s="3" t="s">
        <v>23</v>
      </c>
    </row>
    <row r="5412" spans="1:11" ht="42" customHeight="1">
      <c r="A5412" s="2" t="s">
        <v>13543</v>
      </c>
      <c r="B5412" s="2" t="s">
        <v>13544</v>
      </c>
      <c r="C5412" s="2" t="s">
        <v>195</v>
      </c>
      <c r="D5412" s="2" t="s">
        <v>50</v>
      </c>
      <c r="E5412" s="5">
        <v>-30919</v>
      </c>
      <c r="F5412" s="3" t="s">
        <v>792</v>
      </c>
      <c r="G5412" s="3" t="s">
        <v>1109</v>
      </c>
      <c r="H5412" s="2" t="s">
        <v>72</v>
      </c>
      <c r="I5412" s="2" t="s">
        <v>13545</v>
      </c>
      <c r="J5412" s="3" t="str">
        <f>HYPERLINK("https://www.boe.es/gazeta/dias/1815/05/06/pdfs/GMD-1815-55.pdf#page=8","Abrir facsímil")</f>
        <v>Abrir facsímil</v>
      </c>
      <c r="K5412" s="3" t="s">
        <v>74</v>
      </c>
    </row>
    <row r="5413" spans="1:11" ht="42" customHeight="1">
      <c r="A5413" s="2" t="s">
        <v>13546</v>
      </c>
      <c r="B5413" s="2" t="s">
        <v>13547</v>
      </c>
      <c r="C5413" s="2" t="s">
        <v>897</v>
      </c>
      <c r="D5413" s="2" t="s">
        <v>50</v>
      </c>
      <c r="E5413" s="5">
        <v>-30982</v>
      </c>
      <c r="F5413" s="3" t="s">
        <v>220</v>
      </c>
      <c r="G5413" s="3" t="s">
        <v>38</v>
      </c>
      <c r="H5413" s="2" t="s">
        <v>72</v>
      </c>
      <c r="I5413" s="2" t="s">
        <v>13548</v>
      </c>
      <c r="J5413" s="3" t="str">
        <f>HYPERLINK("https://www.boe.es/gazeta/dias/1815/03/04/pdfs/GMD-1815-27.pdf#page=8","Abrir facsímil")</f>
        <v>Abrir facsímil</v>
      </c>
      <c r="K5413" s="3" t="s">
        <v>74</v>
      </c>
    </row>
    <row r="5414" spans="1:11" ht="42" customHeight="1">
      <c r="A5414" s="2" t="s">
        <v>13549</v>
      </c>
      <c r="B5414" s="2" t="s">
        <v>13550</v>
      </c>
      <c r="C5414" s="2" t="s">
        <v>31</v>
      </c>
      <c r="D5414" s="2" t="s">
        <v>32</v>
      </c>
      <c r="E5414" s="5">
        <v>-31000</v>
      </c>
      <c r="F5414" s="3" t="s">
        <v>70</v>
      </c>
      <c r="G5414" s="3" t="s">
        <v>97</v>
      </c>
      <c r="H5414" s="2" t="s">
        <v>72</v>
      </c>
      <c r="I5414" s="2" t="s">
        <v>13551</v>
      </c>
      <c r="J5414" s="3" t="str">
        <f>HYPERLINK("https://www.boe.es/gazeta/dias/1815/02/14/pdfs/GMD-1815-19.pdf#page=3","Abrir facsímil")</f>
        <v>Abrir facsímil</v>
      </c>
      <c r="K5414" s="3" t="s">
        <v>74</v>
      </c>
    </row>
    <row r="5415" spans="1:11" ht="42" customHeight="1">
      <c r="A5415" s="2" t="s">
        <v>13552</v>
      </c>
      <c r="B5415" s="2" t="s">
        <v>13553</v>
      </c>
      <c r="C5415" s="2" t="s">
        <v>17</v>
      </c>
      <c r="D5415" s="2" t="s">
        <v>18</v>
      </c>
      <c r="E5415" s="5">
        <v>-30919</v>
      </c>
      <c r="F5415" s="3" t="s">
        <v>792</v>
      </c>
      <c r="G5415" s="3" t="s">
        <v>6476</v>
      </c>
      <c r="H5415" s="2" t="s">
        <v>21</v>
      </c>
      <c r="I5415" s="2" t="s">
        <v>13554</v>
      </c>
      <c r="J5415" s="3" t="str">
        <f>HYPERLINK("https://www.boe.es/gazeta/dias/1815/05/06/pdfs/GMD-1815-55.pdf#page=7","Abrir facsímil")</f>
        <v>Abrir facsímil</v>
      </c>
      <c r="K5415" s="3" t="s">
        <v>23</v>
      </c>
    </row>
    <row r="5416" spans="1:11" ht="42" customHeight="1">
      <c r="A5416" s="2" t="s">
        <v>13555</v>
      </c>
      <c r="B5416" s="2" t="s">
        <v>13555</v>
      </c>
      <c r="C5416" s="2" t="s">
        <v>31</v>
      </c>
      <c r="D5416" s="2" t="s">
        <v>32</v>
      </c>
      <c r="E5416" s="5">
        <v>-30746</v>
      </c>
      <c r="F5416" s="3" t="s">
        <v>3203</v>
      </c>
      <c r="G5416" s="3" t="s">
        <v>410</v>
      </c>
      <c r="H5416" s="2" t="s">
        <v>72</v>
      </c>
      <c r="I5416" s="2" t="s">
        <v>13556</v>
      </c>
      <c r="J5416" s="3" t="str">
        <f>HYPERLINK("https://www.boe.es/gazeta/dias/1815/10/26/pdfs/GMD-1815-134.pdf#page=1","Abrir facsímil")</f>
        <v>Abrir facsímil</v>
      </c>
      <c r="K5416" s="3" t="s">
        <v>74</v>
      </c>
    </row>
    <row r="5417" spans="1:11" ht="42" customHeight="1">
      <c r="A5417" s="2" t="s">
        <v>13557</v>
      </c>
      <c r="B5417" s="2" t="s">
        <v>13558</v>
      </c>
      <c r="C5417" s="2" t="s">
        <v>17</v>
      </c>
      <c r="D5417" s="2" t="s">
        <v>18</v>
      </c>
      <c r="E5417" s="5">
        <v>-30781</v>
      </c>
      <c r="F5417" s="3" t="s">
        <v>685</v>
      </c>
      <c r="G5417" s="3" t="s">
        <v>27</v>
      </c>
      <c r="H5417" s="2" t="s">
        <v>72</v>
      </c>
      <c r="I5417" s="2" t="s">
        <v>13559</v>
      </c>
      <c r="J5417" s="3" t="str">
        <f>HYPERLINK("https://www.boe.es/gazeta/dias/1815/09/21/pdfs/GMD-1815-117.pdf#page=6","Abrir facsímil")</f>
        <v>Abrir facsímil</v>
      </c>
      <c r="K5417" s="3" t="s">
        <v>74</v>
      </c>
    </row>
    <row r="5418" spans="1:11" ht="42" customHeight="1">
      <c r="A5418" s="2" t="s">
        <v>13560</v>
      </c>
      <c r="B5418" s="2" t="s">
        <v>13561</v>
      </c>
      <c r="C5418" s="2" t="s">
        <v>31</v>
      </c>
      <c r="D5418" s="2" t="s">
        <v>32</v>
      </c>
      <c r="E5418" s="5">
        <v>-30767</v>
      </c>
      <c r="F5418" s="3" t="s">
        <v>228</v>
      </c>
      <c r="G5418" s="3" t="s">
        <v>224</v>
      </c>
      <c r="H5418" s="2" t="s">
        <v>72</v>
      </c>
      <c r="I5418" s="2" t="s">
        <v>13562</v>
      </c>
      <c r="J5418" s="3" t="str">
        <f>HYPERLINK("https://www.boe.es/gazeta/dias/1815/10/05/pdfs/GMD-1815-125.pdf#page=9","Abrir facsímil")</f>
        <v>Abrir facsímil</v>
      </c>
      <c r="K5418" s="3" t="s">
        <v>74</v>
      </c>
    </row>
    <row r="5419" spans="1:11" ht="42" customHeight="1">
      <c r="A5419" s="2" t="s">
        <v>13563</v>
      </c>
      <c r="B5419" s="2" t="s">
        <v>13564</v>
      </c>
      <c r="C5419" s="2" t="s">
        <v>49</v>
      </c>
      <c r="D5419" s="2" t="s">
        <v>50</v>
      </c>
      <c r="E5419" s="5">
        <v>-31040</v>
      </c>
      <c r="F5419" s="3" t="s">
        <v>326</v>
      </c>
      <c r="G5419" s="3" t="s">
        <v>38</v>
      </c>
      <c r="H5419" s="2" t="s">
        <v>72</v>
      </c>
      <c r="I5419" s="2" t="s">
        <v>13565</v>
      </c>
      <c r="J5419" s="3" t="str">
        <f>HYPERLINK("https://www.boe.es/gazeta/dias/1815/01/05/pdfs/GMD-1815-2.pdf#page=8","Abrir facsímil")</f>
        <v>Abrir facsímil</v>
      </c>
      <c r="K5419" s="3" t="s">
        <v>74</v>
      </c>
    </row>
    <row r="5420" spans="1:11" ht="42" customHeight="1">
      <c r="A5420" s="2" t="s">
        <v>13566</v>
      </c>
      <c r="B5420" s="2" t="s">
        <v>13567</v>
      </c>
      <c r="C5420" s="2" t="s">
        <v>49</v>
      </c>
      <c r="D5420" s="2" t="s">
        <v>50</v>
      </c>
      <c r="E5420" s="5">
        <v>-30886</v>
      </c>
      <c r="F5420" s="3" t="s">
        <v>140</v>
      </c>
      <c r="G5420" s="3" t="s">
        <v>224</v>
      </c>
      <c r="H5420" s="2" t="s">
        <v>72</v>
      </c>
      <c r="I5420" s="2" t="s">
        <v>13568</v>
      </c>
      <c r="J5420" s="3" t="str">
        <f>HYPERLINK("https://www.boe.es/gazeta/dias/1815/06/08/pdfs/GMD-1815-69.pdf#page=9","Abrir facsímil")</f>
        <v>Abrir facsímil</v>
      </c>
      <c r="K5420" s="3" t="s">
        <v>74</v>
      </c>
    </row>
    <row r="5421" spans="1:11" ht="42" customHeight="1">
      <c r="A5421" s="2" t="s">
        <v>13569</v>
      </c>
      <c r="B5421" s="2" t="s">
        <v>13570</v>
      </c>
      <c r="C5421" s="2" t="s">
        <v>17</v>
      </c>
      <c r="D5421" s="2" t="s">
        <v>18</v>
      </c>
      <c r="E5421" s="5">
        <v>-30923</v>
      </c>
      <c r="F5421" s="3" t="s">
        <v>524</v>
      </c>
      <c r="G5421" s="3" t="s">
        <v>13571</v>
      </c>
      <c r="H5421" s="2" t="s">
        <v>21</v>
      </c>
      <c r="I5421" s="2" t="s">
        <v>13572</v>
      </c>
      <c r="J5421" s="3" t="str">
        <f>HYPERLINK("https://www.boe.es/gazeta/dias/1815/05/02/pdfs/GMD-1815-53.pdf#page=8","Abrir facsímil")</f>
        <v>Abrir facsímil</v>
      </c>
      <c r="K5421" s="3" t="s">
        <v>23</v>
      </c>
    </row>
    <row r="5422" spans="1:11" ht="42" customHeight="1">
      <c r="A5422" s="2" t="s">
        <v>13573</v>
      </c>
      <c r="B5422" s="2" t="s">
        <v>13574</v>
      </c>
      <c r="C5422" s="2" t="s">
        <v>17</v>
      </c>
      <c r="D5422" s="2" t="s">
        <v>18</v>
      </c>
      <c r="E5422" s="5">
        <v>-30942</v>
      </c>
      <c r="F5422" s="3" t="s">
        <v>730</v>
      </c>
      <c r="G5422" s="3" t="s">
        <v>20</v>
      </c>
      <c r="H5422" s="2" t="s">
        <v>72</v>
      </c>
      <c r="I5422" s="2" t="s">
        <v>13575</v>
      </c>
      <c r="J5422" s="3" t="str">
        <f>HYPERLINK("https://www.boe.es/gazeta/dias/1815/04/13/pdfs/GMD-1815-45.pdf#page=4","Abrir facsímil")</f>
        <v>Abrir facsímil</v>
      </c>
      <c r="K5422" s="3" t="s">
        <v>74</v>
      </c>
    </row>
    <row r="5423" spans="1:11" ht="42" customHeight="1">
      <c r="A5423" s="2" t="s">
        <v>13576</v>
      </c>
      <c r="B5423" s="2" t="s">
        <v>13577</v>
      </c>
      <c r="C5423" s="2" t="s">
        <v>49</v>
      </c>
      <c r="D5423" s="2" t="s">
        <v>50</v>
      </c>
      <c r="E5423" s="5">
        <v>-30865</v>
      </c>
      <c r="F5423" s="3" t="s">
        <v>163</v>
      </c>
      <c r="G5423" s="3" t="s">
        <v>38</v>
      </c>
      <c r="H5423" s="2" t="s">
        <v>72</v>
      </c>
      <c r="I5423" s="2" t="s">
        <v>13578</v>
      </c>
      <c r="J5423" s="3" t="str">
        <f>HYPERLINK("https://www.boe.es/gazeta/dias/1815/06/29/pdfs/GMD-1815-78.pdf#page=8","Abrir facsímil")</f>
        <v>Abrir facsímil</v>
      </c>
      <c r="K5423" s="3" t="s">
        <v>74</v>
      </c>
    </row>
    <row r="5424" spans="1:11" ht="42" customHeight="1">
      <c r="A5424" s="2" t="s">
        <v>13579</v>
      </c>
      <c r="B5424" s="2" t="s">
        <v>13580</v>
      </c>
      <c r="C5424" s="2" t="s">
        <v>49</v>
      </c>
      <c r="D5424" s="2" t="s">
        <v>50</v>
      </c>
      <c r="E5424" s="5">
        <v>-30832</v>
      </c>
      <c r="F5424" s="3" t="s">
        <v>266</v>
      </c>
      <c r="G5424" s="3" t="s">
        <v>224</v>
      </c>
      <c r="H5424" s="2" t="s">
        <v>72</v>
      </c>
      <c r="I5424" s="2" t="s">
        <v>13581</v>
      </c>
      <c r="J5424" s="3" t="str">
        <f>HYPERLINK("https://www.boe.es/gazeta/dias/1815/08/01/pdfs/GMD-1815-94.pdf#page=9","Abrir facsímil")</f>
        <v>Abrir facsímil</v>
      </c>
      <c r="K5424" s="3" t="s">
        <v>74</v>
      </c>
    </row>
    <row r="5425" spans="1:11" ht="42" customHeight="1">
      <c r="A5425" s="2" t="s">
        <v>13582</v>
      </c>
      <c r="B5425" s="2" t="s">
        <v>13583</v>
      </c>
      <c r="C5425" s="2" t="s">
        <v>49</v>
      </c>
      <c r="D5425" s="2" t="s">
        <v>50</v>
      </c>
      <c r="E5425" s="5">
        <v>-30835</v>
      </c>
      <c r="F5425" s="3" t="s">
        <v>544</v>
      </c>
      <c r="G5425" s="3" t="s">
        <v>88</v>
      </c>
      <c r="H5425" s="2" t="s">
        <v>72</v>
      </c>
      <c r="I5425" s="2" t="s">
        <v>13584</v>
      </c>
      <c r="J5425" s="3" t="str">
        <f>HYPERLINK("https://www.boe.es/gazeta/dias/1815/07/29/pdfs/GMD-1815-93.pdf#page=10","Abrir facsímil")</f>
        <v>Abrir facsímil</v>
      </c>
      <c r="K5425" s="3" t="s">
        <v>74</v>
      </c>
    </row>
    <row r="5426" spans="1:11" ht="42" customHeight="1">
      <c r="A5426" s="2" t="s">
        <v>13582</v>
      </c>
      <c r="B5426" s="2" t="s">
        <v>13583</v>
      </c>
      <c r="C5426" s="2" t="s">
        <v>49</v>
      </c>
      <c r="D5426" s="2" t="s">
        <v>50</v>
      </c>
      <c r="E5426" s="5">
        <v>-30830</v>
      </c>
      <c r="F5426" s="3" t="s">
        <v>33</v>
      </c>
      <c r="G5426" s="3" t="s">
        <v>52</v>
      </c>
      <c r="H5426" s="2" t="s">
        <v>72</v>
      </c>
      <c r="I5426" s="2" t="s">
        <v>13585</v>
      </c>
      <c r="J5426" s="3" t="str">
        <f>HYPERLINK("https://www.boe.es/gazeta/dias/1815/08/03/pdfs/GMD-1815-95.pdf#page=11","Abrir facsímil")</f>
        <v>Abrir facsímil</v>
      </c>
      <c r="K5426" s="3" t="s">
        <v>74</v>
      </c>
    </row>
    <row r="5427" spans="1:11" ht="42" customHeight="1">
      <c r="A5427" s="2" t="s">
        <v>13586</v>
      </c>
      <c r="B5427" s="2" t="s">
        <v>13587</v>
      </c>
      <c r="C5427" s="2" t="s">
        <v>195</v>
      </c>
      <c r="D5427" s="2" t="s">
        <v>50</v>
      </c>
      <c r="E5427" s="5">
        <v>-30739</v>
      </c>
      <c r="F5427" s="3" t="s">
        <v>254</v>
      </c>
      <c r="G5427" s="3" t="s">
        <v>52</v>
      </c>
      <c r="H5427" s="2" t="s">
        <v>72</v>
      </c>
      <c r="I5427" s="2" t="s">
        <v>13588</v>
      </c>
      <c r="J5427" s="3" t="str">
        <f>HYPERLINK("https://www.boe.es/gazeta/dias/1815/11/02/pdfs/GMD-1815-137.pdf#page=11","Abrir facsímil")</f>
        <v>Abrir facsímil</v>
      </c>
      <c r="K5427" s="3" t="s">
        <v>74</v>
      </c>
    </row>
    <row r="5428" spans="1:11" ht="42" customHeight="1">
      <c r="A5428" s="2" t="s">
        <v>13589</v>
      </c>
      <c r="B5428" s="2" t="s">
        <v>13590</v>
      </c>
      <c r="C5428" s="2" t="s">
        <v>195</v>
      </c>
      <c r="D5428" s="2" t="s">
        <v>50</v>
      </c>
      <c r="E5428" s="5">
        <v>-30739</v>
      </c>
      <c r="F5428" s="3" t="s">
        <v>254</v>
      </c>
      <c r="G5428" s="3" t="s">
        <v>52</v>
      </c>
      <c r="H5428" s="2" t="s">
        <v>72</v>
      </c>
      <c r="I5428" s="2" t="s">
        <v>13591</v>
      </c>
      <c r="J5428" s="3" t="str">
        <f>HYPERLINK("https://www.boe.es/gazeta/dias/1815/11/02/pdfs/GMD-1815-137.pdf#page=11","Abrir facsímil")</f>
        <v>Abrir facsímil</v>
      </c>
      <c r="K5428" s="3" t="s">
        <v>74</v>
      </c>
    </row>
    <row r="5429" spans="1:11" ht="42" customHeight="1">
      <c r="A5429" s="2" t="s">
        <v>13592</v>
      </c>
      <c r="B5429" s="2" t="s">
        <v>13592</v>
      </c>
      <c r="C5429" s="2" t="s">
        <v>31</v>
      </c>
      <c r="D5429" s="2" t="s">
        <v>32</v>
      </c>
      <c r="E5429" s="5">
        <v>-30937</v>
      </c>
      <c r="F5429" s="3" t="s">
        <v>322</v>
      </c>
      <c r="G5429" s="3" t="s">
        <v>57</v>
      </c>
      <c r="H5429" s="2" t="s">
        <v>72</v>
      </c>
      <c r="I5429" s="2" t="s">
        <v>13593</v>
      </c>
      <c r="J5429" s="3" t="str">
        <f>HYPERLINK("https://www.boe.es/gazeta/dias/1815/04/18/pdfs/GMD-1815-47.pdf#page=5","Abrir facsímil")</f>
        <v>Abrir facsímil</v>
      </c>
      <c r="K5429" s="3" t="s">
        <v>74</v>
      </c>
    </row>
    <row r="5430" spans="1:11" ht="42" customHeight="1">
      <c r="A5430" s="2" t="s">
        <v>13594</v>
      </c>
      <c r="B5430" s="2" t="s">
        <v>13595</v>
      </c>
      <c r="C5430" s="2" t="s">
        <v>49</v>
      </c>
      <c r="D5430" s="2" t="s">
        <v>50</v>
      </c>
      <c r="E5430" s="5">
        <v>-30788</v>
      </c>
      <c r="F5430" s="3" t="s">
        <v>96</v>
      </c>
      <c r="G5430" s="3" t="s">
        <v>97</v>
      </c>
      <c r="H5430" s="2" t="s">
        <v>72</v>
      </c>
      <c r="I5430" s="2" t="s">
        <v>13596</v>
      </c>
      <c r="J5430" s="3" t="str">
        <f>HYPERLINK("https://www.boe.es/gazeta/dias/1815/09/14/pdfs/GMD-1815-114.pdf#page=3","Abrir facsímil")</f>
        <v>Abrir facsímil</v>
      </c>
      <c r="K5430" s="3" t="s">
        <v>74</v>
      </c>
    </row>
    <row r="5431" spans="1:11" ht="42" customHeight="1">
      <c r="A5431" s="2" t="s">
        <v>13597</v>
      </c>
      <c r="B5431" s="2" t="s">
        <v>13598</v>
      </c>
      <c r="C5431" s="2" t="s">
        <v>17</v>
      </c>
      <c r="D5431" s="2" t="s">
        <v>18</v>
      </c>
      <c r="E5431" s="5">
        <v>-31033</v>
      </c>
      <c r="F5431" s="3" t="s">
        <v>493</v>
      </c>
      <c r="G5431" s="3" t="s">
        <v>71</v>
      </c>
      <c r="H5431" s="2" t="s">
        <v>72</v>
      </c>
      <c r="I5431" s="2" t="s">
        <v>13599</v>
      </c>
      <c r="J5431" s="3" t="str">
        <f>HYPERLINK("https://www.boe.es/gazeta/dias/1815/01/12/pdfs/GMD-1815-5.pdf#page=7","Abrir facsímil")</f>
        <v>Abrir facsímil</v>
      </c>
      <c r="K5431" s="3" t="s">
        <v>74</v>
      </c>
    </row>
    <row r="5432" spans="1:11" ht="42" customHeight="1">
      <c r="A5432" s="2" t="s">
        <v>13600</v>
      </c>
      <c r="B5432" s="2" t="s">
        <v>13601</v>
      </c>
      <c r="C5432" s="2" t="s">
        <v>31</v>
      </c>
      <c r="D5432" s="2" t="s">
        <v>32</v>
      </c>
      <c r="E5432" s="5">
        <v>-30905</v>
      </c>
      <c r="F5432" s="3" t="s">
        <v>901</v>
      </c>
      <c r="G5432" s="3" t="s">
        <v>902</v>
      </c>
      <c r="H5432" s="2" t="s">
        <v>72</v>
      </c>
      <c r="I5432" s="2" t="s">
        <v>13602</v>
      </c>
      <c r="J5432" s="3" t="str">
        <f>HYPERLINK("https://www.boe.es/gazeta/dias/1815/05/20/pdfs/GMD-1815-61.pdf#page=8","Abrir facsímil")</f>
        <v>Abrir facsímil</v>
      </c>
      <c r="K5432" s="3" t="s">
        <v>74</v>
      </c>
    </row>
    <row r="5433" spans="1:11" ht="42" customHeight="1">
      <c r="A5433" s="2" t="s">
        <v>13603</v>
      </c>
      <c r="B5433" s="2" t="s">
        <v>13604</v>
      </c>
      <c r="C5433" s="2" t="s">
        <v>49</v>
      </c>
      <c r="D5433" s="2" t="s">
        <v>50</v>
      </c>
      <c r="E5433" s="5">
        <v>-30767</v>
      </c>
      <c r="F5433" s="3" t="s">
        <v>228</v>
      </c>
      <c r="G5433" s="3" t="s">
        <v>224</v>
      </c>
      <c r="H5433" s="2" t="s">
        <v>72</v>
      </c>
      <c r="I5433" s="2" t="s">
        <v>13605</v>
      </c>
      <c r="J5433" s="3" t="str">
        <f>HYPERLINK("https://www.boe.es/gazeta/dias/1815/10/05/pdfs/GMD-1815-125.pdf#page=9","Abrir facsímil")</f>
        <v>Abrir facsímil</v>
      </c>
      <c r="K5433" s="3" t="s">
        <v>74</v>
      </c>
    </row>
    <row r="5434" spans="1:11" ht="42" customHeight="1">
      <c r="A5434" s="2" t="s">
        <v>13606</v>
      </c>
      <c r="B5434" s="2" t="s">
        <v>13607</v>
      </c>
      <c r="C5434" s="2" t="s">
        <v>81</v>
      </c>
      <c r="D5434" s="2" t="s">
        <v>50</v>
      </c>
      <c r="E5434" s="5">
        <v>-30716</v>
      </c>
      <c r="F5434" s="3" t="s">
        <v>589</v>
      </c>
      <c r="G5434" s="3" t="s">
        <v>590</v>
      </c>
      <c r="H5434" s="2" t="s">
        <v>72</v>
      </c>
      <c r="I5434" s="2" t="s">
        <v>13608</v>
      </c>
      <c r="J5434" s="3" t="str">
        <f>HYPERLINK("https://www.boe.es/gazeta/dias/1815/11/25/pdfs/GMD-1815-147.pdf#page=8","Abrir facsímil")</f>
        <v>Abrir facsímil</v>
      </c>
      <c r="K5434" s="3" t="s">
        <v>74</v>
      </c>
    </row>
    <row r="5435" spans="1:11" ht="42" customHeight="1">
      <c r="A5435" s="2" t="s">
        <v>13609</v>
      </c>
      <c r="B5435" s="2" t="s">
        <v>13610</v>
      </c>
      <c r="C5435" s="2" t="s">
        <v>131</v>
      </c>
      <c r="D5435" s="2" t="s">
        <v>50</v>
      </c>
      <c r="E5435" s="5">
        <v>-30823</v>
      </c>
      <c r="F5435" s="3" t="s">
        <v>305</v>
      </c>
      <c r="G5435" s="3" t="s">
        <v>88</v>
      </c>
      <c r="H5435" s="2" t="s">
        <v>72</v>
      </c>
      <c r="I5435" s="2" t="s">
        <v>13611</v>
      </c>
      <c r="J5435" s="3" t="str">
        <f>HYPERLINK("https://www.boe.es/gazeta/dias/1815/08/10/pdfs/GMD-1815-98.pdf#page=10","Abrir facsímil")</f>
        <v>Abrir facsímil</v>
      </c>
      <c r="K5435" s="3" t="s">
        <v>74</v>
      </c>
    </row>
    <row r="5436" spans="1:11" ht="42" customHeight="1">
      <c r="A5436" s="2" t="s">
        <v>13609</v>
      </c>
      <c r="B5436" s="2" t="s">
        <v>13610</v>
      </c>
      <c r="C5436" s="2" t="s">
        <v>897</v>
      </c>
      <c r="D5436" s="2" t="s">
        <v>50</v>
      </c>
      <c r="E5436" s="5">
        <v>-30823</v>
      </c>
      <c r="F5436" s="3" t="s">
        <v>305</v>
      </c>
      <c r="G5436" s="3" t="s">
        <v>52</v>
      </c>
      <c r="H5436" s="2" t="s">
        <v>72</v>
      </c>
      <c r="I5436" s="2" t="s">
        <v>13612</v>
      </c>
      <c r="J5436" s="3" t="str">
        <f>HYPERLINK("https://www.boe.es/gazeta/dias/1815/08/10/pdfs/GMD-1815-98.pdf#page=11","Abrir facsímil")</f>
        <v>Abrir facsímil</v>
      </c>
      <c r="K5436" s="3" t="s">
        <v>74</v>
      </c>
    </row>
    <row r="5437" spans="1:11" ht="42" customHeight="1">
      <c r="A5437" s="2" t="s">
        <v>13613</v>
      </c>
      <c r="B5437" s="2" t="s">
        <v>13614</v>
      </c>
      <c r="C5437" s="2" t="s">
        <v>31</v>
      </c>
      <c r="D5437" s="2" t="s">
        <v>32</v>
      </c>
      <c r="E5437" s="5">
        <v>-30982</v>
      </c>
      <c r="F5437" s="3" t="s">
        <v>220</v>
      </c>
      <c r="G5437" s="3" t="s">
        <v>57</v>
      </c>
      <c r="H5437" s="2" t="s">
        <v>72</v>
      </c>
      <c r="I5437" s="2" t="s">
        <v>13615</v>
      </c>
      <c r="J5437" s="3" t="str">
        <f>HYPERLINK("https://www.boe.es/gazeta/dias/1815/03/04/pdfs/GMD-1815-27.pdf#page=5","Abrir facsímil")</f>
        <v>Abrir facsímil</v>
      </c>
      <c r="K5437" s="3" t="s">
        <v>74</v>
      </c>
    </row>
    <row r="5438" spans="1:11" ht="42" customHeight="1">
      <c r="A5438" s="2" t="s">
        <v>13616</v>
      </c>
      <c r="B5438" s="2" t="s">
        <v>13617</v>
      </c>
      <c r="C5438" s="2" t="s">
        <v>61</v>
      </c>
      <c r="D5438" s="2" t="s">
        <v>50</v>
      </c>
      <c r="E5438" s="5">
        <v>-30993</v>
      </c>
      <c r="F5438" s="3" t="s">
        <v>66</v>
      </c>
      <c r="G5438" s="3" t="s">
        <v>38</v>
      </c>
      <c r="H5438" s="2" t="s">
        <v>72</v>
      </c>
      <c r="I5438" s="2" t="s">
        <v>13618</v>
      </c>
      <c r="J5438" s="3" t="str">
        <f>HYPERLINK("https://www.boe.es/gazeta/dias/1815/02/21/pdfs/GMD-1815-22.pdf#page=8","Abrir facsímil")</f>
        <v>Abrir facsímil</v>
      </c>
      <c r="K5438" s="3" t="s">
        <v>74</v>
      </c>
    </row>
    <row r="5439" spans="1:11" ht="42" customHeight="1">
      <c r="A5439" s="2" t="s">
        <v>13619</v>
      </c>
      <c r="B5439" s="2" t="s">
        <v>13620</v>
      </c>
      <c r="C5439" s="2" t="s">
        <v>195</v>
      </c>
      <c r="D5439" s="2" t="s">
        <v>50</v>
      </c>
      <c r="E5439" s="5">
        <v>-31000</v>
      </c>
      <c r="F5439" s="3" t="s">
        <v>70</v>
      </c>
      <c r="G5439" s="3" t="s">
        <v>847</v>
      </c>
      <c r="H5439" s="2" t="s">
        <v>72</v>
      </c>
      <c r="I5439" s="2" t="s">
        <v>13621</v>
      </c>
      <c r="J5439" s="3" t="str">
        <f>HYPERLINK("https://www.boe.es/gazeta/dias/1815/02/14/pdfs/GMD-1815-19.pdf#page=6","Abrir facsímil")</f>
        <v>Abrir facsímil</v>
      </c>
      <c r="K5439" s="3" t="s">
        <v>74</v>
      </c>
    </row>
    <row r="5440" spans="1:11" ht="42" customHeight="1">
      <c r="A5440" s="2" t="s">
        <v>13622</v>
      </c>
      <c r="B5440" s="2" t="s">
        <v>13623</v>
      </c>
      <c r="C5440" s="2" t="s">
        <v>195</v>
      </c>
      <c r="D5440" s="2" t="s">
        <v>50</v>
      </c>
      <c r="E5440" s="5">
        <v>-31003</v>
      </c>
      <c r="F5440" s="3" t="s">
        <v>405</v>
      </c>
      <c r="G5440" s="3" t="s">
        <v>1136</v>
      </c>
      <c r="H5440" s="2" t="s">
        <v>21</v>
      </c>
      <c r="I5440" s="2" t="s">
        <v>13624</v>
      </c>
      <c r="J5440" s="3" t="str">
        <f>HYPERLINK("https://www.boe.es/gazeta/dias/1815/02/11/pdfs/GMD-1815-18.pdf#page=7","Abrir facsímil")</f>
        <v>Abrir facsímil</v>
      </c>
      <c r="K5440" s="3" t="s">
        <v>23</v>
      </c>
    </row>
    <row r="5441" spans="1:11" ht="42" customHeight="1">
      <c r="A5441" s="2" t="s">
        <v>13625</v>
      </c>
      <c r="B5441" s="2" t="s">
        <v>13626</v>
      </c>
      <c r="C5441" s="2" t="s">
        <v>31</v>
      </c>
      <c r="D5441" s="2" t="s">
        <v>32</v>
      </c>
      <c r="E5441" s="5">
        <v>-30863</v>
      </c>
      <c r="F5441" s="3" t="s">
        <v>110</v>
      </c>
      <c r="G5441" s="3" t="s">
        <v>88</v>
      </c>
      <c r="H5441" s="2" t="s">
        <v>72</v>
      </c>
      <c r="I5441" s="2" t="s">
        <v>13627</v>
      </c>
      <c r="J5441" s="3" t="str">
        <f>HYPERLINK("https://www.boe.es/gazeta/dias/1815/07/01/pdfs/GMD-1815-79.pdf#page=10","Abrir facsímil")</f>
        <v>Abrir facsímil</v>
      </c>
      <c r="K5441" s="3" t="s">
        <v>74</v>
      </c>
    </row>
    <row r="5442" spans="1:11" ht="42" customHeight="1">
      <c r="A5442" s="2" t="s">
        <v>13628</v>
      </c>
      <c r="B5442" s="2" t="s">
        <v>13629</v>
      </c>
      <c r="C5442" s="2" t="s">
        <v>31</v>
      </c>
      <c r="D5442" s="2" t="s">
        <v>32</v>
      </c>
      <c r="E5442" s="5">
        <v>-30860</v>
      </c>
      <c r="F5442" s="3" t="s">
        <v>184</v>
      </c>
      <c r="G5442" s="3" t="s">
        <v>20</v>
      </c>
      <c r="H5442" s="2" t="s">
        <v>72</v>
      </c>
      <c r="I5442" s="2" t="s">
        <v>13630</v>
      </c>
      <c r="J5442" s="3" t="str">
        <f>HYPERLINK("https://www.boe.es/gazeta/dias/1815/07/04/pdfs/GMD-1815-81.pdf#page=4","Abrir facsímil")</f>
        <v>Abrir facsímil</v>
      </c>
      <c r="K5442" s="3" t="s">
        <v>74</v>
      </c>
    </row>
    <row r="5443" spans="1:11" ht="42" customHeight="1">
      <c r="A5443" s="2" t="s">
        <v>13631</v>
      </c>
      <c r="B5443" s="2" t="s">
        <v>13632</v>
      </c>
      <c r="C5443" s="2" t="s">
        <v>61</v>
      </c>
      <c r="D5443" s="2" t="s">
        <v>50</v>
      </c>
      <c r="E5443" s="5">
        <v>-31028</v>
      </c>
      <c r="F5443" s="3" t="s">
        <v>517</v>
      </c>
      <c r="G5443" s="3" t="s">
        <v>276</v>
      </c>
      <c r="H5443" s="2" t="s">
        <v>72</v>
      </c>
      <c r="I5443" s="2" t="s">
        <v>13633</v>
      </c>
      <c r="J5443" s="3" t="str">
        <f>HYPERLINK("https://www.boe.es/gazeta/dias/1815/01/17/pdfs/GMD-1815-7.pdf#page=12","Abrir facsímil")</f>
        <v>Abrir facsímil</v>
      </c>
      <c r="K5443" s="3" t="s">
        <v>74</v>
      </c>
    </row>
    <row r="5444" spans="1:11" ht="42" customHeight="1">
      <c r="A5444" s="2" t="s">
        <v>13634</v>
      </c>
      <c r="B5444" s="2" t="s">
        <v>13635</v>
      </c>
      <c r="C5444" s="2" t="s">
        <v>17</v>
      </c>
      <c r="D5444" s="2" t="s">
        <v>18</v>
      </c>
      <c r="E5444" s="5">
        <v>-30942</v>
      </c>
      <c r="F5444" s="3" t="s">
        <v>730</v>
      </c>
      <c r="G5444" s="3" t="s">
        <v>71</v>
      </c>
      <c r="H5444" s="2" t="s">
        <v>72</v>
      </c>
      <c r="I5444" s="2" t="s">
        <v>13636</v>
      </c>
      <c r="J5444" s="3" t="str">
        <f>HYPERLINK("https://www.boe.es/gazeta/dias/1815/04/13/pdfs/GMD-1815-45.pdf#page=7","Abrir facsímil")</f>
        <v>Abrir facsímil</v>
      </c>
      <c r="K5444" s="3" t="s">
        <v>74</v>
      </c>
    </row>
    <row r="5445" spans="1:11" ht="42" customHeight="1">
      <c r="A5445" s="2" t="s">
        <v>13637</v>
      </c>
      <c r="B5445" s="2" t="s">
        <v>13638</v>
      </c>
      <c r="C5445" s="2" t="s">
        <v>195</v>
      </c>
      <c r="D5445" s="2" t="s">
        <v>50</v>
      </c>
      <c r="E5445" s="5">
        <v>-30781</v>
      </c>
      <c r="F5445" s="3" t="s">
        <v>685</v>
      </c>
      <c r="G5445" s="3" t="s">
        <v>27</v>
      </c>
      <c r="H5445" s="2" t="s">
        <v>72</v>
      </c>
      <c r="I5445" s="2" t="s">
        <v>13639</v>
      </c>
      <c r="J5445" s="3" t="str">
        <f>HYPERLINK("https://www.boe.es/gazeta/dias/1815/09/21/pdfs/GMD-1815-117.pdf#page=6","Abrir facsímil")</f>
        <v>Abrir facsímil</v>
      </c>
      <c r="K5445" s="3" t="s">
        <v>74</v>
      </c>
    </row>
    <row r="5446" spans="1:11" ht="42" customHeight="1">
      <c r="A5446" s="2" t="s">
        <v>13640</v>
      </c>
      <c r="B5446" s="2" t="s">
        <v>13641</v>
      </c>
      <c r="C5446" s="2" t="s">
        <v>49</v>
      </c>
      <c r="D5446" s="2" t="s">
        <v>50</v>
      </c>
      <c r="E5446" s="5">
        <v>-30977</v>
      </c>
      <c r="F5446" s="3" t="s">
        <v>37</v>
      </c>
      <c r="G5446" s="3" t="s">
        <v>71</v>
      </c>
      <c r="H5446" s="2" t="s">
        <v>72</v>
      </c>
      <c r="I5446" s="2" t="s">
        <v>13642</v>
      </c>
      <c r="J5446" s="3" t="str">
        <f>HYPERLINK("https://www.boe.es/gazeta/dias/1815/03/09/pdfs/GMD-1815-29.pdf#page=7","Abrir facsímil")</f>
        <v>Abrir facsímil</v>
      </c>
      <c r="K5446" s="3" t="s">
        <v>74</v>
      </c>
    </row>
    <row r="5447" spans="1:11" ht="42" customHeight="1">
      <c r="A5447" s="2" t="s">
        <v>13643</v>
      </c>
      <c r="B5447" s="2" t="s">
        <v>13644</v>
      </c>
      <c r="C5447" s="2" t="s">
        <v>195</v>
      </c>
      <c r="D5447" s="2" t="s">
        <v>50</v>
      </c>
      <c r="E5447" s="5">
        <v>-30874</v>
      </c>
      <c r="F5447" s="3" t="s">
        <v>208</v>
      </c>
      <c r="G5447" s="3" t="s">
        <v>71</v>
      </c>
      <c r="H5447" s="2" t="s">
        <v>72</v>
      </c>
      <c r="I5447" s="2" t="s">
        <v>13645</v>
      </c>
      <c r="J5447" s="3" t="str">
        <f>HYPERLINK("https://www.boe.es/gazeta/dias/1815/06/20/pdfs/GMD-1815-74.pdf#page=7","Abrir facsímil")</f>
        <v>Abrir facsímil</v>
      </c>
      <c r="K5447" s="3" t="s">
        <v>74</v>
      </c>
    </row>
    <row r="5448" spans="1:11" ht="42" customHeight="1">
      <c r="A5448" s="2" t="s">
        <v>13646</v>
      </c>
      <c r="B5448" s="2" t="s">
        <v>13647</v>
      </c>
      <c r="C5448" s="2" t="s">
        <v>49</v>
      </c>
      <c r="D5448" s="2" t="s">
        <v>50</v>
      </c>
      <c r="E5448" s="5">
        <v>-30865</v>
      </c>
      <c r="F5448" s="3" t="s">
        <v>163</v>
      </c>
      <c r="G5448" s="3" t="s">
        <v>71</v>
      </c>
      <c r="H5448" s="2" t="s">
        <v>72</v>
      </c>
      <c r="I5448" s="2" t="s">
        <v>13648</v>
      </c>
      <c r="J5448" s="3" t="str">
        <f>HYPERLINK("https://www.boe.es/gazeta/dias/1815/06/29/pdfs/GMD-1815-78.pdf#page=7","Abrir facsímil")</f>
        <v>Abrir facsímil</v>
      </c>
      <c r="K5448" s="3" t="s">
        <v>74</v>
      </c>
    </row>
    <row r="5449" spans="1:11" ht="42" customHeight="1">
      <c r="A5449" s="2" t="s">
        <v>13649</v>
      </c>
      <c r="B5449" s="2" t="s">
        <v>13650</v>
      </c>
      <c r="C5449" s="2" t="s">
        <v>61</v>
      </c>
      <c r="D5449" s="2" t="s">
        <v>50</v>
      </c>
      <c r="E5449" s="5">
        <v>-31024</v>
      </c>
      <c r="F5449" s="3" t="s">
        <v>101</v>
      </c>
      <c r="G5449" s="3" t="s">
        <v>20</v>
      </c>
      <c r="H5449" s="2" t="s">
        <v>72</v>
      </c>
      <c r="I5449" s="2" t="s">
        <v>13651</v>
      </c>
      <c r="J5449" s="3" t="str">
        <f>HYPERLINK("https://www.boe.es/gazeta/dias/1815/01/21/pdfs/GMD-1815-9.pdf#page=4","Abrir facsímil")</f>
        <v>Abrir facsímil</v>
      </c>
      <c r="K5449" s="3" t="s">
        <v>74</v>
      </c>
    </row>
    <row r="5450" spans="1:11" ht="42" customHeight="1">
      <c r="A5450" s="2" t="s">
        <v>13652</v>
      </c>
      <c r="B5450" s="2" t="s">
        <v>13653</v>
      </c>
      <c r="C5450" s="2" t="s">
        <v>31</v>
      </c>
      <c r="D5450" s="2" t="s">
        <v>32</v>
      </c>
      <c r="E5450" s="5">
        <v>-30874</v>
      </c>
      <c r="F5450" s="3" t="s">
        <v>208</v>
      </c>
      <c r="G5450" s="3" t="s">
        <v>71</v>
      </c>
      <c r="H5450" s="2" t="s">
        <v>72</v>
      </c>
      <c r="I5450" s="2" t="s">
        <v>13654</v>
      </c>
      <c r="J5450" s="3" t="str">
        <f>HYPERLINK("https://www.boe.es/gazeta/dias/1815/06/20/pdfs/GMD-1815-74.pdf#page=7","Abrir facsímil")</f>
        <v>Abrir facsímil</v>
      </c>
      <c r="K5450" s="3" t="s">
        <v>74</v>
      </c>
    </row>
    <row r="5451" spans="1:11" ht="42" customHeight="1">
      <c r="A5451" s="2" t="s">
        <v>13655</v>
      </c>
      <c r="B5451" s="2" t="s">
        <v>13655</v>
      </c>
      <c r="C5451" s="2" t="s">
        <v>49</v>
      </c>
      <c r="D5451" s="2" t="s">
        <v>50</v>
      </c>
      <c r="E5451" s="5">
        <v>-30863</v>
      </c>
      <c r="F5451" s="3" t="s">
        <v>110</v>
      </c>
      <c r="G5451" s="3" t="s">
        <v>224</v>
      </c>
      <c r="H5451" s="2" t="s">
        <v>72</v>
      </c>
      <c r="I5451" s="2" t="s">
        <v>13656</v>
      </c>
      <c r="J5451" s="3" t="str">
        <f>HYPERLINK("https://www.boe.es/gazeta/dias/1815/07/01/pdfs/GMD-1815-79.pdf#page=9","Abrir facsímil")</f>
        <v>Abrir facsímil</v>
      </c>
      <c r="K5451" s="3" t="s">
        <v>74</v>
      </c>
    </row>
    <row r="5452" spans="1:11" ht="42" customHeight="1">
      <c r="A5452" s="2" t="s">
        <v>13657</v>
      </c>
      <c r="B5452" s="2" t="s">
        <v>13658</v>
      </c>
      <c r="C5452" s="2" t="s">
        <v>31</v>
      </c>
      <c r="D5452" s="2" t="s">
        <v>32</v>
      </c>
      <c r="E5452" s="5">
        <v>-30814</v>
      </c>
      <c r="F5452" s="3" t="s">
        <v>644</v>
      </c>
      <c r="G5452" s="3" t="s">
        <v>57</v>
      </c>
      <c r="H5452" s="2" t="s">
        <v>72</v>
      </c>
      <c r="I5452" s="2" t="s">
        <v>13659</v>
      </c>
      <c r="J5452" s="3" t="str">
        <f>HYPERLINK("https://www.boe.es/gazeta/dias/1815/08/19/pdfs/GMD-1815-102.pdf#page=5","Abrir facsímil")</f>
        <v>Abrir facsímil</v>
      </c>
      <c r="K5452" s="3" t="s">
        <v>74</v>
      </c>
    </row>
    <row r="5453" spans="1:11" ht="42" customHeight="1">
      <c r="A5453" s="2" t="s">
        <v>13660</v>
      </c>
      <c r="B5453" s="2" t="s">
        <v>13661</v>
      </c>
      <c r="C5453" s="2" t="s">
        <v>31</v>
      </c>
      <c r="D5453" s="2" t="s">
        <v>32</v>
      </c>
      <c r="E5453" s="5">
        <v>-30975</v>
      </c>
      <c r="F5453" s="3" t="s">
        <v>1194</v>
      </c>
      <c r="G5453" s="3" t="s">
        <v>38</v>
      </c>
      <c r="H5453" s="2" t="s">
        <v>72</v>
      </c>
      <c r="I5453" s="2" t="s">
        <v>13662</v>
      </c>
      <c r="J5453" s="3" t="str">
        <f>HYPERLINK("https://www.boe.es/gazeta/dias/1815/03/11/pdfs/GMD-1815-30.pdf#page=8","Abrir facsímil")</f>
        <v>Abrir facsímil</v>
      </c>
      <c r="K5453" s="3" t="s">
        <v>74</v>
      </c>
    </row>
    <row r="5454" spans="1:11" ht="42" customHeight="1">
      <c r="A5454" s="2" t="s">
        <v>13660</v>
      </c>
      <c r="B5454" s="2" t="s">
        <v>13661</v>
      </c>
      <c r="C5454" s="2" t="s">
        <v>31</v>
      </c>
      <c r="D5454" s="2" t="s">
        <v>32</v>
      </c>
      <c r="E5454" s="5">
        <v>-30951</v>
      </c>
      <c r="F5454" s="3" t="s">
        <v>87</v>
      </c>
      <c r="G5454" s="3" t="s">
        <v>88</v>
      </c>
      <c r="H5454" s="2" t="s">
        <v>72</v>
      </c>
      <c r="I5454" s="2" t="s">
        <v>13663</v>
      </c>
      <c r="J5454" s="3" t="str">
        <f>HYPERLINK("https://www.boe.es/gazeta/dias/1815/04/04/pdfs/GMD-1815-41.pdf#page=10","Abrir facsímil")</f>
        <v>Abrir facsímil</v>
      </c>
      <c r="K5454" s="3" t="s">
        <v>74</v>
      </c>
    </row>
    <row r="5455" spans="1:11" ht="42" customHeight="1">
      <c r="A5455" s="2" t="s">
        <v>13664</v>
      </c>
      <c r="B5455" s="2" t="s">
        <v>13665</v>
      </c>
      <c r="C5455" s="2" t="s">
        <v>31</v>
      </c>
      <c r="D5455" s="2" t="s">
        <v>32</v>
      </c>
      <c r="E5455" s="5">
        <v>-30739</v>
      </c>
      <c r="F5455" s="3" t="s">
        <v>254</v>
      </c>
      <c r="G5455" s="3" t="s">
        <v>71</v>
      </c>
      <c r="H5455" s="2" t="s">
        <v>72</v>
      </c>
      <c r="I5455" s="2" t="s">
        <v>13666</v>
      </c>
      <c r="J5455" s="3" t="str">
        <f>HYPERLINK("https://www.boe.es/gazeta/dias/1815/11/02/pdfs/GMD-1815-137.pdf#page=7","Abrir facsímil")</f>
        <v>Abrir facsímil</v>
      </c>
      <c r="K5455" s="3" t="s">
        <v>74</v>
      </c>
    </row>
    <row r="5456" spans="1:11" ht="42" customHeight="1">
      <c r="A5456" s="2" t="s">
        <v>13667</v>
      </c>
      <c r="B5456" s="2" t="s">
        <v>13668</v>
      </c>
      <c r="C5456" s="2" t="s">
        <v>31</v>
      </c>
      <c r="D5456" s="2" t="s">
        <v>32</v>
      </c>
      <c r="E5456" s="5">
        <v>-30739</v>
      </c>
      <c r="F5456" s="3" t="s">
        <v>254</v>
      </c>
      <c r="G5456" s="3" t="s">
        <v>88</v>
      </c>
      <c r="H5456" s="2" t="s">
        <v>72</v>
      </c>
      <c r="I5456" s="2" t="s">
        <v>13669</v>
      </c>
      <c r="J5456" s="3" t="str">
        <f>HYPERLINK("https://www.boe.es/gazeta/dias/1815/11/02/pdfs/GMD-1815-137.pdf#page=10","Abrir facsímil")</f>
        <v>Abrir facsímil</v>
      </c>
      <c r="K5456" s="3" t="s">
        <v>74</v>
      </c>
    </row>
    <row r="5457" spans="1:11" ht="42" customHeight="1">
      <c r="A5457" s="2" t="s">
        <v>13670</v>
      </c>
      <c r="B5457" s="2" t="s">
        <v>13671</v>
      </c>
      <c r="C5457" s="2" t="s">
        <v>195</v>
      </c>
      <c r="D5457" s="2" t="s">
        <v>50</v>
      </c>
      <c r="E5457" s="5">
        <v>-30879</v>
      </c>
      <c r="F5457" s="3" t="s">
        <v>754</v>
      </c>
      <c r="G5457" s="3" t="s">
        <v>88</v>
      </c>
      <c r="H5457" s="2" t="s">
        <v>72</v>
      </c>
      <c r="I5457" s="2" t="s">
        <v>13672</v>
      </c>
      <c r="J5457" s="3" t="str">
        <f>HYPERLINK("https://www.boe.es/gazeta/dias/1815/06/15/pdfs/GMD-1815-72.pdf#page=10","Abrir facsímil")</f>
        <v>Abrir facsímil</v>
      </c>
      <c r="K5457" s="3" t="s">
        <v>74</v>
      </c>
    </row>
    <row r="5458" spans="1:11" ht="42" customHeight="1">
      <c r="A5458" s="2" t="s">
        <v>13673</v>
      </c>
      <c r="B5458" s="2" t="s">
        <v>13674</v>
      </c>
      <c r="C5458" s="2" t="s">
        <v>17</v>
      </c>
      <c r="D5458" s="2" t="s">
        <v>18</v>
      </c>
      <c r="E5458" s="5">
        <v>-30900</v>
      </c>
      <c r="F5458" s="3" t="s">
        <v>921</v>
      </c>
      <c r="G5458" s="3" t="s">
        <v>52</v>
      </c>
      <c r="H5458" s="2" t="s">
        <v>72</v>
      </c>
      <c r="I5458" s="2" t="s">
        <v>13675</v>
      </c>
      <c r="J5458" s="3" t="str">
        <f>HYPERLINK("https://www.boe.es/gazeta/dias/1815/05/25/pdfs/GMD-1815-63.pdf#page=11","Abrir facsímil")</f>
        <v>Abrir facsímil</v>
      </c>
      <c r="K5458" s="3" t="s">
        <v>74</v>
      </c>
    </row>
    <row r="5459" spans="1:11" ht="42" customHeight="1">
      <c r="A5459" s="2" t="s">
        <v>13673</v>
      </c>
      <c r="B5459" s="2" t="s">
        <v>13674</v>
      </c>
      <c r="C5459" s="2" t="s">
        <v>17</v>
      </c>
      <c r="D5459" s="2" t="s">
        <v>18</v>
      </c>
      <c r="E5459" s="5">
        <v>-30762</v>
      </c>
      <c r="F5459" s="3" t="s">
        <v>19</v>
      </c>
      <c r="G5459" s="3" t="s">
        <v>20</v>
      </c>
      <c r="H5459" s="2" t="s">
        <v>72</v>
      </c>
      <c r="I5459" s="2" t="s">
        <v>13676</v>
      </c>
      <c r="J5459" s="3" t="str">
        <f>HYPERLINK("https://www.boe.es/gazeta/dias/1815/10/10/pdfs/GMD-1815-127.pdf#page=4","Abrir facsímil")</f>
        <v>Abrir facsímil</v>
      </c>
      <c r="K5459" s="3" t="s">
        <v>74</v>
      </c>
    </row>
    <row r="5460" spans="1:11" ht="42" customHeight="1">
      <c r="A5460" s="2" t="s">
        <v>13677</v>
      </c>
      <c r="B5460" s="2" t="s">
        <v>13678</v>
      </c>
      <c r="C5460" s="2" t="s">
        <v>31</v>
      </c>
      <c r="D5460" s="2" t="s">
        <v>32</v>
      </c>
      <c r="E5460" s="5">
        <v>-30907</v>
      </c>
      <c r="F5460" s="3" t="s">
        <v>301</v>
      </c>
      <c r="G5460" s="3" t="s">
        <v>71</v>
      </c>
      <c r="H5460" s="2" t="s">
        <v>72</v>
      </c>
      <c r="I5460" s="2" t="s">
        <v>13679</v>
      </c>
      <c r="J5460" s="3" t="str">
        <f>HYPERLINK("https://www.boe.es/gazeta/dias/1815/05/18/pdfs/GMD-1815-60.pdf#page=7","Abrir facsímil")</f>
        <v>Abrir facsímil</v>
      </c>
      <c r="K5460" s="3" t="s">
        <v>74</v>
      </c>
    </row>
    <row r="5461" spans="1:11" ht="42" customHeight="1">
      <c r="A5461" s="2" t="s">
        <v>13680</v>
      </c>
      <c r="B5461" s="2" t="s">
        <v>13680</v>
      </c>
      <c r="C5461" s="2" t="s">
        <v>195</v>
      </c>
      <c r="D5461" s="2" t="s">
        <v>50</v>
      </c>
      <c r="E5461" s="5">
        <v>-30874</v>
      </c>
      <c r="F5461" s="3" t="s">
        <v>208</v>
      </c>
      <c r="G5461" s="3" t="s">
        <v>71</v>
      </c>
      <c r="H5461" s="2" t="s">
        <v>72</v>
      </c>
      <c r="I5461" s="2" t="s">
        <v>13681</v>
      </c>
      <c r="J5461" s="3" t="str">
        <f>HYPERLINK("https://www.boe.es/gazeta/dias/1815/06/20/pdfs/GMD-1815-74.pdf#page=7","Abrir facsímil")</f>
        <v>Abrir facsímil</v>
      </c>
      <c r="K5461" s="3" t="s">
        <v>74</v>
      </c>
    </row>
    <row r="5462" spans="1:11" ht="42" customHeight="1">
      <c r="A5462" s="2" t="s">
        <v>13682</v>
      </c>
      <c r="B5462" s="2" t="s">
        <v>13683</v>
      </c>
      <c r="C5462" s="2" t="s">
        <v>31</v>
      </c>
      <c r="D5462" s="2" t="s">
        <v>32</v>
      </c>
      <c r="E5462" s="5">
        <v>-30874</v>
      </c>
      <c r="F5462" s="3" t="s">
        <v>208</v>
      </c>
      <c r="G5462" s="3" t="s">
        <v>224</v>
      </c>
      <c r="H5462" s="2" t="s">
        <v>72</v>
      </c>
      <c r="I5462" s="2" t="s">
        <v>13684</v>
      </c>
      <c r="J5462" s="3" t="str">
        <f>HYPERLINK("https://www.boe.es/gazeta/dias/1815/06/20/pdfs/GMD-1815-74.pdf#page=9","Abrir facsímil")</f>
        <v>Abrir facsímil</v>
      </c>
      <c r="K5462" s="3" t="s">
        <v>74</v>
      </c>
    </row>
    <row r="5463" spans="1:11" ht="42" customHeight="1">
      <c r="A5463" s="2" t="s">
        <v>13685</v>
      </c>
      <c r="B5463" s="2" t="s">
        <v>13686</v>
      </c>
      <c r="C5463" s="2" t="s">
        <v>195</v>
      </c>
      <c r="D5463" s="2" t="s">
        <v>50</v>
      </c>
      <c r="E5463" s="5">
        <v>-31007</v>
      </c>
      <c r="F5463" s="3" t="s">
        <v>200</v>
      </c>
      <c r="G5463" s="3" t="s">
        <v>52</v>
      </c>
      <c r="H5463" s="2" t="s">
        <v>72</v>
      </c>
      <c r="I5463" s="2" t="s">
        <v>13687</v>
      </c>
      <c r="J5463" s="3" t="str">
        <f>HYPERLINK("https://www.boe.es/gazeta/dias/1815/02/07/pdfs/GMD-1815-16.pdf#page=11","Abrir facsímil")</f>
        <v>Abrir facsímil</v>
      </c>
      <c r="K5463" s="3" t="s">
        <v>74</v>
      </c>
    </row>
    <row r="5464" spans="1:11" ht="42" customHeight="1">
      <c r="A5464" s="2" t="s">
        <v>13688</v>
      </c>
      <c r="B5464" s="2" t="s">
        <v>13689</v>
      </c>
      <c r="C5464" s="2" t="s">
        <v>31</v>
      </c>
      <c r="D5464" s="2" t="s">
        <v>32</v>
      </c>
      <c r="E5464" s="5">
        <v>-31026</v>
      </c>
      <c r="F5464" s="3" t="s">
        <v>874</v>
      </c>
      <c r="G5464" s="3" t="s">
        <v>71</v>
      </c>
      <c r="H5464" s="2" t="s">
        <v>72</v>
      </c>
      <c r="I5464" s="2" t="s">
        <v>13690</v>
      </c>
      <c r="J5464" s="3" t="str">
        <f>HYPERLINK("https://www.boe.es/gazeta/dias/1815/01/19/pdfs/GMD-1815-8.pdf#page=7","Abrir facsímil")</f>
        <v>Abrir facsímil</v>
      </c>
      <c r="K5464" s="3" t="s">
        <v>74</v>
      </c>
    </row>
    <row r="5465" spans="1:11" ht="42" customHeight="1">
      <c r="A5465" s="2" t="s">
        <v>13691</v>
      </c>
      <c r="B5465" s="2" t="s">
        <v>13692</v>
      </c>
      <c r="C5465" s="2" t="s">
        <v>31</v>
      </c>
      <c r="D5465" s="2" t="s">
        <v>32</v>
      </c>
      <c r="E5465" s="5">
        <v>-30916</v>
      </c>
      <c r="F5465" s="3" t="s">
        <v>147</v>
      </c>
      <c r="G5465" s="3" t="s">
        <v>148</v>
      </c>
      <c r="H5465" s="2" t="s">
        <v>72</v>
      </c>
      <c r="I5465" s="2" t="s">
        <v>13693</v>
      </c>
      <c r="J5465" s="3" t="str">
        <f>HYPERLINK("https://www.boe.es/gazeta/dias/1815/05/09/pdfs/GMD-1815-56.pdf#page=7","Abrir facsímil")</f>
        <v>Abrir facsímil</v>
      </c>
      <c r="K5465" s="3" t="s">
        <v>74</v>
      </c>
    </row>
    <row r="5466" spans="1:11" ht="42" customHeight="1">
      <c r="A5466" s="2" t="s">
        <v>13694</v>
      </c>
      <c r="B5466" s="2" t="s">
        <v>13695</v>
      </c>
      <c r="C5466" s="2" t="s">
        <v>195</v>
      </c>
      <c r="D5466" s="2" t="s">
        <v>50</v>
      </c>
      <c r="E5466" s="5">
        <v>-30709</v>
      </c>
      <c r="F5466" s="3" t="s">
        <v>314</v>
      </c>
      <c r="G5466" s="3" t="s">
        <v>38</v>
      </c>
      <c r="H5466" s="2" t="s">
        <v>72</v>
      </c>
      <c r="I5466" s="2" t="s">
        <v>13696</v>
      </c>
      <c r="J5466" s="3" t="str">
        <f>HYPERLINK("https://www.boe.es/gazeta/dias/1815/12/02/pdfs/GMD-1815-150.pdf#page=8","Abrir facsímil")</f>
        <v>Abrir facsímil</v>
      </c>
      <c r="K5466" s="3" t="s">
        <v>74</v>
      </c>
    </row>
    <row r="5467" spans="1:11" ht="42" customHeight="1">
      <c r="A5467" s="2" t="s">
        <v>13697</v>
      </c>
      <c r="B5467" s="2" t="s">
        <v>13698</v>
      </c>
      <c r="C5467" s="2" t="s">
        <v>31</v>
      </c>
      <c r="D5467" s="2" t="s">
        <v>32</v>
      </c>
      <c r="E5467" s="5">
        <v>-30758</v>
      </c>
      <c r="F5467" s="3" t="s">
        <v>1964</v>
      </c>
      <c r="G5467" s="3" t="s">
        <v>57</v>
      </c>
      <c r="H5467" s="2" t="s">
        <v>21</v>
      </c>
      <c r="I5467" s="2" t="s">
        <v>13699</v>
      </c>
      <c r="J5467" s="3" t="str">
        <f>HYPERLINK("https://www.boe.es/gazeta/dias/1815/10/14/pdfs/GMD-1815-129.pdf#page=5","Abrir facsímil")</f>
        <v>Abrir facsímil</v>
      </c>
      <c r="K5467" s="3" t="s">
        <v>23</v>
      </c>
    </row>
    <row r="5468" spans="1:11" ht="42" customHeight="1">
      <c r="A5468" s="2" t="s">
        <v>13700</v>
      </c>
      <c r="B5468" s="2" t="s">
        <v>13700</v>
      </c>
      <c r="C5468" s="2" t="s">
        <v>31</v>
      </c>
      <c r="D5468" s="2" t="s">
        <v>32</v>
      </c>
      <c r="E5468" s="5">
        <v>-30725</v>
      </c>
      <c r="F5468" s="3" t="s">
        <v>1535</v>
      </c>
      <c r="G5468" s="3" t="s">
        <v>97</v>
      </c>
      <c r="H5468" s="2" t="s">
        <v>72</v>
      </c>
      <c r="I5468" s="2" t="s">
        <v>13701</v>
      </c>
      <c r="J5468" s="3" t="str">
        <f>HYPERLINK("https://www.boe.es/gazeta/dias/1815/11/16/pdfs/GMD-1815-143.pdf#page=3","Abrir facsímil")</f>
        <v>Abrir facsímil</v>
      </c>
      <c r="K5468" s="3" t="s">
        <v>74</v>
      </c>
    </row>
    <row r="5469" spans="1:11" ht="42" customHeight="1">
      <c r="A5469" s="2" t="s">
        <v>13702</v>
      </c>
      <c r="B5469" s="2" t="s">
        <v>13703</v>
      </c>
      <c r="C5469" s="2" t="s">
        <v>81</v>
      </c>
      <c r="D5469" s="2" t="s">
        <v>50</v>
      </c>
      <c r="E5469" s="5">
        <v>-30818</v>
      </c>
      <c r="F5469" s="3" t="s">
        <v>334</v>
      </c>
      <c r="G5469" s="3" t="s">
        <v>52</v>
      </c>
      <c r="H5469" s="2" t="s">
        <v>72</v>
      </c>
      <c r="I5469" s="2" t="s">
        <v>13704</v>
      </c>
      <c r="J5469" s="3" t="str">
        <f>HYPERLINK("https://www.boe.es/gazeta/dias/1815/08/15/pdfs/GMD-1815-100.pdf#page=11","Abrir facsímil")</f>
        <v>Abrir facsímil</v>
      </c>
      <c r="K5469" s="3" t="s">
        <v>74</v>
      </c>
    </row>
    <row r="5470" spans="1:11" ht="42" customHeight="1">
      <c r="A5470" s="2" t="s">
        <v>13705</v>
      </c>
      <c r="B5470" s="2" t="s">
        <v>13706</v>
      </c>
      <c r="C5470" s="2" t="s">
        <v>195</v>
      </c>
      <c r="D5470" s="2" t="s">
        <v>50</v>
      </c>
      <c r="E5470" s="5">
        <v>-30772</v>
      </c>
      <c r="F5470" s="3" t="s">
        <v>216</v>
      </c>
      <c r="G5470" s="3" t="s">
        <v>990</v>
      </c>
      <c r="H5470" s="2" t="s">
        <v>72</v>
      </c>
      <c r="I5470" s="2" t="s">
        <v>13707</v>
      </c>
      <c r="J5470" s="3" t="str">
        <f>HYPERLINK("https://www.boe.es/gazeta/dias/1815/09/30/pdfs/GMD-1815-123.pdf#page=8","Abrir facsímil")</f>
        <v>Abrir facsímil</v>
      </c>
      <c r="K5470" s="3" t="s">
        <v>74</v>
      </c>
    </row>
    <row r="5471" spans="1:11" ht="42" customHeight="1">
      <c r="A5471" s="2" t="s">
        <v>13708</v>
      </c>
      <c r="B5471" s="2" t="s">
        <v>13708</v>
      </c>
      <c r="C5471" s="2" t="s">
        <v>49</v>
      </c>
      <c r="D5471" s="2" t="s">
        <v>50</v>
      </c>
      <c r="E5471" s="5">
        <v>-31012</v>
      </c>
      <c r="F5471" s="3" t="s">
        <v>529</v>
      </c>
      <c r="G5471" s="3" t="s">
        <v>97</v>
      </c>
      <c r="H5471" s="2" t="s">
        <v>72</v>
      </c>
      <c r="I5471" s="2" t="s">
        <v>13709</v>
      </c>
      <c r="J5471" s="3" t="str">
        <f>HYPERLINK("https://www.boe.es/gazeta/dias/1815/02/02/pdfs/GMD-1815-14.pdf#page=3","Abrir facsímil")</f>
        <v>Abrir facsímil</v>
      </c>
      <c r="K5471" s="3" t="s">
        <v>74</v>
      </c>
    </row>
    <row r="5472" spans="1:11" ht="42" customHeight="1">
      <c r="A5472" s="2" t="s">
        <v>13710</v>
      </c>
      <c r="B5472" s="2" t="s">
        <v>13711</v>
      </c>
      <c r="C5472" s="2" t="s">
        <v>31</v>
      </c>
      <c r="D5472" s="2" t="s">
        <v>32</v>
      </c>
      <c r="E5472" s="5">
        <v>-30772</v>
      </c>
      <c r="F5472" s="3" t="s">
        <v>216</v>
      </c>
      <c r="G5472" s="3" t="s">
        <v>71</v>
      </c>
      <c r="H5472" s="2" t="s">
        <v>72</v>
      </c>
      <c r="I5472" s="2" t="s">
        <v>13712</v>
      </c>
      <c r="J5472" s="3" t="str">
        <f>HYPERLINK("https://www.boe.es/gazeta/dias/1815/09/30/pdfs/GMD-1815-123.pdf#page=7","Abrir facsímil")</f>
        <v>Abrir facsímil</v>
      </c>
      <c r="K5472" s="3" t="s">
        <v>74</v>
      </c>
    </row>
    <row r="5473" spans="1:11" ht="42" customHeight="1">
      <c r="A5473" s="2" t="s">
        <v>13713</v>
      </c>
      <c r="B5473" s="2" t="s">
        <v>13713</v>
      </c>
      <c r="C5473" s="2" t="s">
        <v>49</v>
      </c>
      <c r="D5473" s="2" t="s">
        <v>50</v>
      </c>
      <c r="E5473" s="5">
        <v>-30886</v>
      </c>
      <c r="F5473" s="3" t="s">
        <v>140</v>
      </c>
      <c r="G5473" s="3" t="s">
        <v>224</v>
      </c>
      <c r="H5473" s="2" t="s">
        <v>72</v>
      </c>
      <c r="I5473" s="2" t="s">
        <v>13714</v>
      </c>
      <c r="J5473" s="3" t="str">
        <f>HYPERLINK("https://www.boe.es/gazeta/dias/1815/06/08/pdfs/GMD-1815-69.pdf#page=9","Abrir facsímil")</f>
        <v>Abrir facsímil</v>
      </c>
      <c r="K5473" s="3" t="s">
        <v>74</v>
      </c>
    </row>
    <row r="5474" spans="1:11" ht="42" customHeight="1">
      <c r="A5474" s="2" t="s">
        <v>13715</v>
      </c>
      <c r="B5474" s="2" t="s">
        <v>13716</v>
      </c>
      <c r="C5474" s="2" t="s">
        <v>49</v>
      </c>
      <c r="D5474" s="2" t="s">
        <v>50</v>
      </c>
      <c r="E5474" s="5">
        <v>-30886</v>
      </c>
      <c r="F5474" s="3" t="s">
        <v>140</v>
      </c>
      <c r="G5474" s="3" t="s">
        <v>224</v>
      </c>
      <c r="H5474" s="2" t="s">
        <v>72</v>
      </c>
      <c r="I5474" s="2" t="s">
        <v>13717</v>
      </c>
      <c r="J5474" s="3" t="str">
        <f>HYPERLINK("https://www.boe.es/gazeta/dias/1815/06/08/pdfs/GMD-1815-69.pdf#page=9","Abrir facsímil")</f>
        <v>Abrir facsímil</v>
      </c>
      <c r="K5474" s="3" t="s">
        <v>74</v>
      </c>
    </row>
    <row r="5475" spans="1:11" ht="42" customHeight="1">
      <c r="A5475" s="2" t="s">
        <v>13715</v>
      </c>
      <c r="B5475" s="2" t="s">
        <v>13716</v>
      </c>
      <c r="C5475" s="2" t="s">
        <v>49</v>
      </c>
      <c r="D5475" s="2" t="s">
        <v>50</v>
      </c>
      <c r="E5475" s="5">
        <v>-30690</v>
      </c>
      <c r="F5475" s="3" t="s">
        <v>1449</v>
      </c>
      <c r="G5475" s="3" t="s">
        <v>71</v>
      </c>
      <c r="H5475" s="2" t="s">
        <v>72</v>
      </c>
      <c r="I5475" s="2" t="s">
        <v>13718</v>
      </c>
      <c r="J5475" s="3" t="str">
        <f>HYPERLINK("https://www.boe.es/gazeta/dias/1815/12/21/pdfs/GMD-1815-158.pdf#page=7","Abrir facsímil")</f>
        <v>Abrir facsímil</v>
      </c>
      <c r="K5475" s="3" t="s">
        <v>74</v>
      </c>
    </row>
    <row r="5476" spans="1:11" ht="42" customHeight="1">
      <c r="A5476" s="2" t="s">
        <v>13719</v>
      </c>
      <c r="B5476" s="2" t="s">
        <v>13720</v>
      </c>
      <c r="C5476" s="2" t="s">
        <v>31</v>
      </c>
      <c r="D5476" s="2" t="s">
        <v>32</v>
      </c>
      <c r="E5476" s="5">
        <v>-30900</v>
      </c>
      <c r="F5476" s="3" t="s">
        <v>921</v>
      </c>
      <c r="G5476" s="3" t="s">
        <v>88</v>
      </c>
      <c r="H5476" s="2" t="s">
        <v>72</v>
      </c>
      <c r="I5476" s="2" t="s">
        <v>13721</v>
      </c>
      <c r="J5476" s="3" t="str">
        <f>HYPERLINK("https://www.boe.es/gazeta/dias/1815/05/25/pdfs/GMD-1815-63.pdf#page=10","Abrir facsímil")</f>
        <v>Abrir facsímil</v>
      </c>
      <c r="K5476" s="3" t="s">
        <v>74</v>
      </c>
    </row>
    <row r="5477" spans="1:11" ht="42" customHeight="1">
      <c r="A5477" s="2" t="s">
        <v>13722</v>
      </c>
      <c r="B5477" s="2" t="s">
        <v>13722</v>
      </c>
      <c r="C5477" s="2" t="s">
        <v>31</v>
      </c>
      <c r="D5477" s="2" t="s">
        <v>32</v>
      </c>
      <c r="E5477" s="5">
        <v>-30907</v>
      </c>
      <c r="F5477" s="3" t="s">
        <v>301</v>
      </c>
      <c r="G5477" s="3" t="s">
        <v>71</v>
      </c>
      <c r="H5477" s="2" t="s">
        <v>72</v>
      </c>
      <c r="I5477" s="2" t="s">
        <v>13723</v>
      </c>
      <c r="J5477" s="3" t="str">
        <f>HYPERLINK("https://www.boe.es/gazeta/dias/1815/05/18/pdfs/GMD-1815-60.pdf#page=7","Abrir facsímil")</f>
        <v>Abrir facsímil</v>
      </c>
      <c r="K5477" s="3" t="s">
        <v>74</v>
      </c>
    </row>
    <row r="5478" spans="1:11" ht="42" customHeight="1">
      <c r="A5478" s="2" t="s">
        <v>13724</v>
      </c>
      <c r="B5478" s="2" t="s">
        <v>13725</v>
      </c>
      <c r="C5478" s="2" t="s">
        <v>49</v>
      </c>
      <c r="D5478" s="2" t="s">
        <v>50</v>
      </c>
      <c r="E5478" s="5">
        <v>-30958</v>
      </c>
      <c r="F5478" s="3" t="s">
        <v>297</v>
      </c>
      <c r="G5478" s="3" t="s">
        <v>27</v>
      </c>
      <c r="H5478" s="2" t="s">
        <v>21</v>
      </c>
      <c r="I5478" s="2" t="s">
        <v>13726</v>
      </c>
      <c r="J5478" s="3" t="str">
        <f>HYPERLINK("https://www.boe.es/gazeta/dias/1815/03/28/pdfs/GMD-1815-37.pdf#page=6","Abrir facsímil")</f>
        <v>Abrir facsímil</v>
      </c>
      <c r="K5478" s="3" t="s">
        <v>23</v>
      </c>
    </row>
    <row r="5479" spans="1:11" ht="42" customHeight="1">
      <c r="A5479" s="2" t="s">
        <v>13727</v>
      </c>
      <c r="B5479" s="2" t="s">
        <v>13727</v>
      </c>
      <c r="C5479" s="2" t="s">
        <v>31</v>
      </c>
      <c r="D5479" s="2" t="s">
        <v>32</v>
      </c>
      <c r="E5479" s="5">
        <v>-30968</v>
      </c>
      <c r="F5479" s="3" t="s">
        <v>2695</v>
      </c>
      <c r="G5479" s="3" t="s">
        <v>52</v>
      </c>
      <c r="H5479" s="2" t="s">
        <v>72</v>
      </c>
      <c r="I5479" s="2" t="s">
        <v>13728</v>
      </c>
      <c r="J5479" s="3" t="str">
        <f>HYPERLINK("https://www.boe.es/gazeta/dias/1815/03/18/pdfs/GMD-1815-33.pdf#page=11","Abrir facsímil")</f>
        <v>Abrir facsímil</v>
      </c>
      <c r="K5479" s="3" t="s">
        <v>74</v>
      </c>
    </row>
    <row r="5480" spans="1:11" ht="42" customHeight="1">
      <c r="A5480" s="2" t="s">
        <v>13727</v>
      </c>
      <c r="B5480" s="2" t="s">
        <v>13727</v>
      </c>
      <c r="C5480" s="2" t="s">
        <v>195</v>
      </c>
      <c r="D5480" s="2" t="s">
        <v>50</v>
      </c>
      <c r="E5480" s="5">
        <v>-30963</v>
      </c>
      <c r="F5480" s="3" t="s">
        <v>879</v>
      </c>
      <c r="G5480" s="3" t="s">
        <v>71</v>
      </c>
      <c r="H5480" s="2" t="s">
        <v>72</v>
      </c>
      <c r="I5480" s="2" t="s">
        <v>13729</v>
      </c>
      <c r="J5480" s="3" t="str">
        <f>HYPERLINK("https://www.boe.es/gazeta/dias/1815/03/23/pdfs/GMD-1815-35.pdf#page=7","Abrir facsímil")</f>
        <v>Abrir facsímil</v>
      </c>
      <c r="K5480" s="3" t="s">
        <v>74</v>
      </c>
    </row>
    <row r="5481" spans="1:11" ht="42" customHeight="1">
      <c r="A5481" s="2" t="s">
        <v>13727</v>
      </c>
      <c r="B5481" s="2" t="s">
        <v>13727</v>
      </c>
      <c r="C5481" s="2" t="s">
        <v>17</v>
      </c>
      <c r="D5481" s="2" t="s">
        <v>18</v>
      </c>
      <c r="E5481" s="5">
        <v>-30874</v>
      </c>
      <c r="F5481" s="3" t="s">
        <v>208</v>
      </c>
      <c r="G5481" s="3" t="s">
        <v>52</v>
      </c>
      <c r="H5481" s="2" t="s">
        <v>72</v>
      </c>
      <c r="I5481" s="2" t="s">
        <v>13730</v>
      </c>
      <c r="J5481" s="3" t="str">
        <f>HYPERLINK("https://www.boe.es/gazeta/dias/1815/06/20/pdfs/GMD-1815-74.pdf#page=11","Abrir facsímil")</f>
        <v>Abrir facsímil</v>
      </c>
      <c r="K5481" s="3" t="s">
        <v>74</v>
      </c>
    </row>
    <row r="5482" spans="1:11" ht="42" customHeight="1">
      <c r="A5482" s="2" t="s">
        <v>13727</v>
      </c>
      <c r="B5482" s="2" t="s">
        <v>13727</v>
      </c>
      <c r="C5482" s="2" t="s">
        <v>49</v>
      </c>
      <c r="D5482" s="2" t="s">
        <v>50</v>
      </c>
      <c r="E5482" s="5">
        <v>-30865</v>
      </c>
      <c r="F5482" s="3" t="s">
        <v>163</v>
      </c>
      <c r="G5482" s="3" t="s">
        <v>71</v>
      </c>
      <c r="H5482" s="2" t="s">
        <v>72</v>
      </c>
      <c r="I5482" s="2" t="s">
        <v>13731</v>
      </c>
      <c r="J5482" s="3" t="str">
        <f>HYPERLINK("https://www.boe.es/gazeta/dias/1815/06/29/pdfs/GMD-1815-78.pdf#page=7","Abrir facsímil")</f>
        <v>Abrir facsímil</v>
      </c>
      <c r="K5482" s="3" t="s">
        <v>74</v>
      </c>
    </row>
    <row r="5483" spans="1:11" ht="42" customHeight="1">
      <c r="A5483" s="2" t="s">
        <v>13727</v>
      </c>
      <c r="B5483" s="2" t="s">
        <v>13727</v>
      </c>
      <c r="C5483" s="2" t="s">
        <v>17</v>
      </c>
      <c r="D5483" s="2" t="s">
        <v>18</v>
      </c>
      <c r="E5483" s="5">
        <v>-30842</v>
      </c>
      <c r="F5483" s="3" t="s">
        <v>126</v>
      </c>
      <c r="G5483" s="3" t="s">
        <v>88</v>
      </c>
      <c r="H5483" s="2" t="s">
        <v>72</v>
      </c>
      <c r="I5483" s="2" t="s">
        <v>13732</v>
      </c>
      <c r="J5483" s="3" t="str">
        <f>HYPERLINK("https://www.boe.es/gazeta/dias/1815/07/22/pdfs/GMD-1815-90.pdf#page=10","Abrir facsímil")</f>
        <v>Abrir facsímil</v>
      </c>
      <c r="K5483" s="3" t="s">
        <v>74</v>
      </c>
    </row>
    <row r="5484" spans="1:11" ht="42" customHeight="1">
      <c r="A5484" s="2" t="s">
        <v>13733</v>
      </c>
      <c r="B5484" s="2" t="s">
        <v>13734</v>
      </c>
      <c r="C5484" s="2" t="s">
        <v>31</v>
      </c>
      <c r="D5484" s="2" t="s">
        <v>32</v>
      </c>
      <c r="E5484" s="5">
        <v>-31038</v>
      </c>
      <c r="F5484" s="3" t="s">
        <v>395</v>
      </c>
      <c r="G5484" s="3" t="s">
        <v>396</v>
      </c>
      <c r="H5484" s="2" t="s">
        <v>72</v>
      </c>
      <c r="I5484" s="2" t="s">
        <v>13735</v>
      </c>
      <c r="J5484" s="3" t="str">
        <f>HYPERLINK("https://www.boe.es/gazeta/dias/1815/01/07/pdfs/GMD-1815-3.pdf#page=5","Abrir facsímil")</f>
        <v>Abrir facsímil</v>
      </c>
      <c r="K5484" s="3" t="s">
        <v>74</v>
      </c>
    </row>
    <row r="5485" spans="1:11" ht="42" customHeight="1">
      <c r="A5485" s="2" t="s">
        <v>13736</v>
      </c>
      <c r="B5485" s="2" t="s">
        <v>13737</v>
      </c>
      <c r="C5485" s="2" t="s">
        <v>31</v>
      </c>
      <c r="D5485" s="2" t="s">
        <v>32</v>
      </c>
      <c r="E5485" s="5">
        <v>-30916</v>
      </c>
      <c r="F5485" s="3" t="s">
        <v>147</v>
      </c>
      <c r="G5485" s="3" t="s">
        <v>224</v>
      </c>
      <c r="H5485" s="2" t="s">
        <v>72</v>
      </c>
      <c r="I5485" s="2" t="s">
        <v>13738</v>
      </c>
      <c r="J5485" s="3" t="str">
        <f>HYPERLINK("https://www.boe.es/gazeta/dias/1815/05/09/pdfs/GMD-1815-56.pdf#page=9","Abrir facsímil")</f>
        <v>Abrir facsímil</v>
      </c>
      <c r="K5485" s="3" t="s">
        <v>74</v>
      </c>
    </row>
    <row r="5486" spans="1:11" ht="42" customHeight="1">
      <c r="A5486" s="2" t="s">
        <v>13739</v>
      </c>
      <c r="B5486" s="2" t="s">
        <v>13740</v>
      </c>
      <c r="C5486" s="2" t="s">
        <v>195</v>
      </c>
      <c r="D5486" s="2" t="s">
        <v>50</v>
      </c>
      <c r="E5486" s="5">
        <v>-31031</v>
      </c>
      <c r="F5486" s="3" t="s">
        <v>105</v>
      </c>
      <c r="G5486" s="3" t="s">
        <v>27</v>
      </c>
      <c r="H5486" s="2" t="s">
        <v>72</v>
      </c>
      <c r="I5486" s="2" t="s">
        <v>13741</v>
      </c>
      <c r="J5486" s="3" t="str">
        <f>HYPERLINK("https://www.boe.es/gazeta/dias/1815/01/14/pdfs/GMD-1815-6.pdf#page=6","Abrir facsímil")</f>
        <v>Abrir facsímil</v>
      </c>
      <c r="K5486" s="3" t="s">
        <v>74</v>
      </c>
    </row>
    <row r="5487" spans="1:11" ht="42" customHeight="1">
      <c r="A5487" s="2" t="s">
        <v>13742</v>
      </c>
      <c r="B5487" s="2" t="s">
        <v>13742</v>
      </c>
      <c r="C5487" s="2" t="s">
        <v>31</v>
      </c>
      <c r="D5487" s="2" t="s">
        <v>32</v>
      </c>
      <c r="E5487" s="5">
        <v>-30725</v>
      </c>
      <c r="F5487" s="3" t="s">
        <v>1535</v>
      </c>
      <c r="G5487" s="3" t="s">
        <v>7182</v>
      </c>
      <c r="H5487" s="2" t="s">
        <v>72</v>
      </c>
      <c r="I5487" s="2" t="s">
        <v>13743</v>
      </c>
      <c r="J5487" s="3" t="str">
        <f>HYPERLINK("https://www.boe.es/gazeta/dias/1815/11/16/pdfs/GMD-1815-143.pdf#page=6","Abrir facsímil")</f>
        <v>Abrir facsímil</v>
      </c>
      <c r="K5487" s="3" t="s">
        <v>74</v>
      </c>
    </row>
    <row r="5488" spans="1:11" ht="42" customHeight="1">
      <c r="A5488" s="2" t="s">
        <v>13744</v>
      </c>
      <c r="B5488" s="2" t="s">
        <v>13745</v>
      </c>
      <c r="C5488" s="2" t="s">
        <v>31</v>
      </c>
      <c r="D5488" s="2" t="s">
        <v>32</v>
      </c>
      <c r="E5488" s="5">
        <v>-30888</v>
      </c>
      <c r="F5488" s="3" t="s">
        <v>368</v>
      </c>
      <c r="G5488" s="3" t="s">
        <v>38</v>
      </c>
      <c r="H5488" s="2" t="s">
        <v>72</v>
      </c>
      <c r="I5488" s="2" t="s">
        <v>13746</v>
      </c>
      <c r="J5488" s="3" t="str">
        <f>HYPERLINK("https://www.boe.es/gazeta/dias/1815/06/06/pdfs/GMD-1815-68.pdf#page=8","Abrir facsímil")</f>
        <v>Abrir facsímil</v>
      </c>
      <c r="K5488" s="3" t="s">
        <v>74</v>
      </c>
    </row>
    <row r="5489" spans="1:11" ht="42" customHeight="1">
      <c r="A5489" s="2" t="s">
        <v>13747</v>
      </c>
      <c r="B5489" s="2" t="s">
        <v>13748</v>
      </c>
      <c r="C5489" s="2" t="s">
        <v>49</v>
      </c>
      <c r="D5489" s="2" t="s">
        <v>50</v>
      </c>
      <c r="E5489" s="5">
        <v>-30865</v>
      </c>
      <c r="F5489" s="3" t="s">
        <v>163</v>
      </c>
      <c r="G5489" s="3" t="s">
        <v>71</v>
      </c>
      <c r="H5489" s="2" t="s">
        <v>72</v>
      </c>
      <c r="I5489" s="2" t="s">
        <v>13749</v>
      </c>
      <c r="J5489" s="3" t="str">
        <f>HYPERLINK("https://www.boe.es/gazeta/dias/1815/06/29/pdfs/GMD-1815-78.pdf#page=7","Abrir facsímil")</f>
        <v>Abrir facsímil</v>
      </c>
      <c r="K5489" s="3" t="s">
        <v>74</v>
      </c>
    </row>
    <row r="5490" spans="1:11" ht="42" customHeight="1">
      <c r="A5490" s="2" t="s">
        <v>13750</v>
      </c>
      <c r="B5490" s="2" t="s">
        <v>13751</v>
      </c>
      <c r="C5490" s="2" t="s">
        <v>17</v>
      </c>
      <c r="D5490" s="2" t="s">
        <v>18</v>
      </c>
      <c r="E5490" s="5">
        <v>-30944</v>
      </c>
      <c r="F5490" s="3" t="s">
        <v>412</v>
      </c>
      <c r="G5490" s="3" t="s">
        <v>38</v>
      </c>
      <c r="H5490" s="2" t="s">
        <v>72</v>
      </c>
      <c r="I5490" s="2" t="s">
        <v>13752</v>
      </c>
      <c r="J5490" s="3" t="str">
        <f>HYPERLINK("https://www.boe.es/gazeta/dias/1815/04/11/pdfs/GMD-1815-44.pdf#page=8","Abrir facsímil")</f>
        <v>Abrir facsímil</v>
      </c>
      <c r="K5490" s="3" t="s">
        <v>74</v>
      </c>
    </row>
    <row r="5491" spans="1:11" ht="42" customHeight="1">
      <c r="A5491" s="2" t="s">
        <v>13750</v>
      </c>
      <c r="B5491" s="2" t="s">
        <v>13751</v>
      </c>
      <c r="C5491" s="2" t="s">
        <v>195</v>
      </c>
      <c r="D5491" s="2" t="s">
        <v>50</v>
      </c>
      <c r="E5491" s="5">
        <v>-30870</v>
      </c>
      <c r="F5491" s="3" t="s">
        <v>122</v>
      </c>
      <c r="G5491" s="3" t="s">
        <v>276</v>
      </c>
      <c r="H5491" s="2" t="s">
        <v>72</v>
      </c>
      <c r="I5491" s="2" t="s">
        <v>13753</v>
      </c>
      <c r="J5491" s="3" t="str">
        <f>HYPERLINK("https://www.boe.es/gazeta/dias/1815/06/24/pdfs/GMD-1815-76.pdf#page=12","Abrir facsímil")</f>
        <v>Abrir facsímil</v>
      </c>
      <c r="K5491" s="3" t="s">
        <v>74</v>
      </c>
    </row>
    <row r="5492" spans="1:11" ht="42" customHeight="1">
      <c r="A5492" s="2" t="s">
        <v>13754</v>
      </c>
      <c r="B5492" s="2" t="s">
        <v>13755</v>
      </c>
      <c r="C5492" s="2" t="s">
        <v>49</v>
      </c>
      <c r="D5492" s="2" t="s">
        <v>50</v>
      </c>
      <c r="E5492" s="5">
        <v>-30734</v>
      </c>
      <c r="F5492" s="3" t="s">
        <v>376</v>
      </c>
      <c r="G5492" s="3" t="s">
        <v>57</v>
      </c>
      <c r="H5492" s="2" t="s">
        <v>72</v>
      </c>
      <c r="I5492" s="2" t="s">
        <v>13756</v>
      </c>
      <c r="J5492" s="3" t="str">
        <f>HYPERLINK("https://www.boe.es/gazeta/dias/1815/11/07/pdfs/GMD-1815-139.pdf#page=5","Abrir facsímil")</f>
        <v>Abrir facsímil</v>
      </c>
      <c r="K5492" s="3" t="s">
        <v>74</v>
      </c>
    </row>
    <row r="5493" spans="1:11" ht="42" customHeight="1">
      <c r="A5493" s="2" t="s">
        <v>13757</v>
      </c>
      <c r="B5493" s="2" t="s">
        <v>13758</v>
      </c>
      <c r="C5493" s="2" t="s">
        <v>31</v>
      </c>
      <c r="D5493" s="2" t="s">
        <v>32</v>
      </c>
      <c r="E5493" s="5">
        <v>-30767</v>
      </c>
      <c r="F5493" s="3" t="s">
        <v>228</v>
      </c>
      <c r="G5493" s="3" t="s">
        <v>224</v>
      </c>
      <c r="H5493" s="2" t="s">
        <v>72</v>
      </c>
      <c r="I5493" s="2" t="s">
        <v>13759</v>
      </c>
      <c r="J5493" s="3" t="str">
        <f>HYPERLINK("https://www.boe.es/gazeta/dias/1815/10/05/pdfs/GMD-1815-125.pdf#page=9","Abrir facsímil")</f>
        <v>Abrir facsímil</v>
      </c>
      <c r="K5493" s="3" t="s">
        <v>74</v>
      </c>
    </row>
    <row r="5494" spans="1:11" ht="42" customHeight="1">
      <c r="A5494" s="2" t="s">
        <v>13760</v>
      </c>
      <c r="B5494" s="2" t="s">
        <v>13761</v>
      </c>
      <c r="C5494" s="2" t="s">
        <v>49</v>
      </c>
      <c r="D5494" s="2" t="s">
        <v>50</v>
      </c>
      <c r="E5494" s="5">
        <v>-30865</v>
      </c>
      <c r="F5494" s="3" t="s">
        <v>163</v>
      </c>
      <c r="G5494" s="3" t="s">
        <v>71</v>
      </c>
      <c r="H5494" s="2" t="s">
        <v>72</v>
      </c>
      <c r="I5494" s="2" t="s">
        <v>13762</v>
      </c>
      <c r="J5494" s="3" t="str">
        <f>HYPERLINK("https://www.boe.es/gazeta/dias/1815/06/29/pdfs/GMD-1815-78.pdf#page=7","Abrir facsímil")</f>
        <v>Abrir facsímil</v>
      </c>
      <c r="K5494" s="3" t="s">
        <v>74</v>
      </c>
    </row>
    <row r="5495" spans="1:11" ht="42" customHeight="1">
      <c r="A5495" s="2" t="s">
        <v>13763</v>
      </c>
      <c r="B5495" s="2" t="s">
        <v>13764</v>
      </c>
      <c r="C5495" s="2" t="s">
        <v>31</v>
      </c>
      <c r="D5495" s="2" t="s">
        <v>32</v>
      </c>
      <c r="E5495" s="5">
        <v>-31040</v>
      </c>
      <c r="F5495" s="3" t="s">
        <v>326</v>
      </c>
      <c r="G5495" s="3" t="s">
        <v>71</v>
      </c>
      <c r="H5495" s="2" t="s">
        <v>21</v>
      </c>
      <c r="I5495" s="2" t="s">
        <v>13765</v>
      </c>
      <c r="J5495" s="3" t="str">
        <f>HYPERLINK("https://www.boe.es/gazeta/dias/1815/01/05/pdfs/GMD-1815-2.pdf#page=7","Abrir facsímil")</f>
        <v>Abrir facsímil</v>
      </c>
      <c r="K5495" s="3" t="s">
        <v>23</v>
      </c>
    </row>
    <row r="5496" spans="1:11" ht="42" customHeight="1">
      <c r="A5496" s="2" t="s">
        <v>13766</v>
      </c>
      <c r="B5496" s="2" t="s">
        <v>13767</v>
      </c>
      <c r="C5496" s="2" t="s">
        <v>49</v>
      </c>
      <c r="D5496" s="2" t="s">
        <v>50</v>
      </c>
      <c r="E5496" s="5">
        <v>-30863</v>
      </c>
      <c r="F5496" s="3" t="s">
        <v>110</v>
      </c>
      <c r="G5496" s="3" t="s">
        <v>224</v>
      </c>
      <c r="H5496" s="2" t="s">
        <v>72</v>
      </c>
      <c r="I5496" s="2" t="s">
        <v>13768</v>
      </c>
      <c r="J5496" s="3" t="str">
        <f>HYPERLINK("https://www.boe.es/gazeta/dias/1815/07/01/pdfs/GMD-1815-79.pdf#page=9","Abrir facsímil")</f>
        <v>Abrir facsímil</v>
      </c>
      <c r="K5496" s="3" t="s">
        <v>74</v>
      </c>
    </row>
    <row r="5497" spans="1:11" ht="42" customHeight="1">
      <c r="A5497" s="2" t="s">
        <v>13769</v>
      </c>
      <c r="B5497" s="2" t="s">
        <v>13770</v>
      </c>
      <c r="C5497" s="2" t="s">
        <v>61</v>
      </c>
      <c r="D5497" s="2" t="s">
        <v>50</v>
      </c>
      <c r="E5497" s="5">
        <v>-30949</v>
      </c>
      <c r="F5497" s="3" t="s">
        <v>420</v>
      </c>
      <c r="G5497" s="3" t="s">
        <v>27</v>
      </c>
      <c r="H5497" s="2" t="s">
        <v>72</v>
      </c>
      <c r="I5497" s="2" t="s">
        <v>13771</v>
      </c>
      <c r="J5497" s="3" t="str">
        <f>HYPERLINK("https://www.boe.es/gazeta/dias/1815/04/06/pdfs/GMD-1815-42.pdf#page=6","Abrir facsímil")</f>
        <v>Abrir facsímil</v>
      </c>
      <c r="K5497" s="3" t="s">
        <v>74</v>
      </c>
    </row>
    <row r="5498" spans="1:11" ht="42" customHeight="1">
      <c r="A5498" s="2" t="s">
        <v>13769</v>
      </c>
      <c r="B5498" s="2" t="s">
        <v>13770</v>
      </c>
      <c r="C5498" s="2" t="s">
        <v>195</v>
      </c>
      <c r="D5498" s="2" t="s">
        <v>50</v>
      </c>
      <c r="E5498" s="5">
        <v>-30888</v>
      </c>
      <c r="F5498" s="3" t="s">
        <v>368</v>
      </c>
      <c r="G5498" s="3" t="s">
        <v>38</v>
      </c>
      <c r="H5498" s="2" t="s">
        <v>72</v>
      </c>
      <c r="I5498" s="2" t="s">
        <v>13772</v>
      </c>
      <c r="J5498" s="3" t="str">
        <f>HYPERLINK("https://www.boe.es/gazeta/dias/1815/06/06/pdfs/GMD-1815-68.pdf#page=8","Abrir facsímil")</f>
        <v>Abrir facsímil</v>
      </c>
      <c r="K5498" s="3" t="s">
        <v>74</v>
      </c>
    </row>
    <row r="5499" spans="1:11" ht="42" customHeight="1">
      <c r="A5499" s="2" t="s">
        <v>13773</v>
      </c>
      <c r="B5499" s="2" t="s">
        <v>13774</v>
      </c>
      <c r="C5499" s="2" t="s">
        <v>31</v>
      </c>
      <c r="D5499" s="2" t="s">
        <v>32</v>
      </c>
      <c r="E5499" s="5">
        <v>-30818</v>
      </c>
      <c r="F5499" s="3" t="s">
        <v>334</v>
      </c>
      <c r="G5499" s="3" t="s">
        <v>38</v>
      </c>
      <c r="H5499" s="2" t="s">
        <v>72</v>
      </c>
      <c r="I5499" s="2" t="s">
        <v>13775</v>
      </c>
      <c r="J5499" s="3" t="str">
        <f>HYPERLINK("https://www.boe.es/gazeta/dias/1815/08/15/pdfs/GMD-1815-100.pdf#page=8","Abrir facsímil")</f>
        <v>Abrir facsímil</v>
      </c>
      <c r="K5499" s="3" t="s">
        <v>74</v>
      </c>
    </row>
    <row r="5500" spans="1:11" ht="42" customHeight="1">
      <c r="A5500" s="2" t="s">
        <v>13776</v>
      </c>
      <c r="B5500" s="2" t="s">
        <v>13777</v>
      </c>
      <c r="C5500" s="2" t="s">
        <v>49</v>
      </c>
      <c r="D5500" s="2" t="s">
        <v>50</v>
      </c>
      <c r="E5500" s="5">
        <v>-30886</v>
      </c>
      <c r="F5500" s="3" t="s">
        <v>140</v>
      </c>
      <c r="G5500" s="3" t="s">
        <v>224</v>
      </c>
      <c r="H5500" s="2" t="s">
        <v>72</v>
      </c>
      <c r="I5500" s="2" t="s">
        <v>13778</v>
      </c>
      <c r="J5500" s="3" t="str">
        <f>HYPERLINK("https://www.boe.es/gazeta/dias/1815/06/08/pdfs/GMD-1815-69.pdf#page=9","Abrir facsímil")</f>
        <v>Abrir facsímil</v>
      </c>
      <c r="K5500" s="3" t="s">
        <v>74</v>
      </c>
    </row>
    <row r="5501" spans="1:11" ht="42" customHeight="1">
      <c r="A5501" s="2" t="s">
        <v>13779</v>
      </c>
      <c r="B5501" s="2" t="s">
        <v>13780</v>
      </c>
      <c r="C5501" s="2" t="s">
        <v>31</v>
      </c>
      <c r="D5501" s="2" t="s">
        <v>32</v>
      </c>
      <c r="E5501" s="5">
        <v>-30951</v>
      </c>
      <c r="F5501" s="3" t="s">
        <v>87</v>
      </c>
      <c r="G5501" s="3" t="s">
        <v>88</v>
      </c>
      <c r="H5501" s="2" t="s">
        <v>72</v>
      </c>
      <c r="I5501" s="2" t="s">
        <v>13781</v>
      </c>
      <c r="J5501" s="3" t="str">
        <f>HYPERLINK("https://www.boe.es/gazeta/dias/1815/04/04/pdfs/GMD-1815-41.pdf#page=10","Abrir facsímil")</f>
        <v>Abrir facsímil</v>
      </c>
      <c r="K5501" s="3" t="s">
        <v>74</v>
      </c>
    </row>
    <row r="5502" spans="1:11" ht="42" customHeight="1">
      <c r="A5502" s="2" t="s">
        <v>13782</v>
      </c>
      <c r="B5502" s="2" t="s">
        <v>13783</v>
      </c>
      <c r="C5502" s="2" t="s">
        <v>49</v>
      </c>
      <c r="D5502" s="2" t="s">
        <v>50</v>
      </c>
      <c r="E5502" s="5">
        <v>-30886</v>
      </c>
      <c r="F5502" s="3" t="s">
        <v>140</v>
      </c>
      <c r="G5502" s="3" t="s">
        <v>224</v>
      </c>
      <c r="H5502" s="2" t="s">
        <v>72</v>
      </c>
      <c r="I5502" s="2" t="s">
        <v>13784</v>
      </c>
      <c r="J5502" s="3" t="str">
        <f>HYPERLINK("https://www.boe.es/gazeta/dias/1815/06/08/pdfs/GMD-1815-69.pdf#page=9","Abrir facsímil")</f>
        <v>Abrir facsímil</v>
      </c>
      <c r="K5502" s="3" t="s">
        <v>74</v>
      </c>
    </row>
    <row r="5503" spans="1:11" ht="42" customHeight="1">
      <c r="A5503" s="2" t="s">
        <v>13785</v>
      </c>
      <c r="B5503" s="2" t="s">
        <v>13786</v>
      </c>
      <c r="C5503" s="2" t="s">
        <v>31</v>
      </c>
      <c r="D5503" s="2" t="s">
        <v>32</v>
      </c>
      <c r="E5503" s="5">
        <v>-30723</v>
      </c>
      <c r="F5503" s="3" t="s">
        <v>77</v>
      </c>
      <c r="G5503" s="3" t="s">
        <v>13530</v>
      </c>
      <c r="H5503" s="2" t="s">
        <v>72</v>
      </c>
      <c r="I5503" s="2" t="s">
        <v>13787</v>
      </c>
      <c r="J5503" s="3" t="str">
        <f>HYPERLINK("https://www.boe.es/gazeta/dias/1815/11/18/pdfs/GMD-1815-144.pdf#page=4","Abrir facsímil")</f>
        <v>Abrir facsímil</v>
      </c>
      <c r="K5503" s="3" t="s">
        <v>74</v>
      </c>
    </row>
    <row r="5504" spans="1:11" ht="42" customHeight="1">
      <c r="A5504" s="2" t="s">
        <v>13788</v>
      </c>
      <c r="B5504" s="2" t="s">
        <v>13789</v>
      </c>
      <c r="C5504" s="2" t="s">
        <v>31</v>
      </c>
      <c r="D5504" s="2" t="s">
        <v>32</v>
      </c>
      <c r="E5504" s="5">
        <v>-31038</v>
      </c>
      <c r="F5504" s="3" t="s">
        <v>395</v>
      </c>
      <c r="G5504" s="3" t="s">
        <v>396</v>
      </c>
      <c r="H5504" s="2" t="s">
        <v>72</v>
      </c>
      <c r="I5504" s="2" t="s">
        <v>13790</v>
      </c>
      <c r="J5504" s="3" t="str">
        <f>HYPERLINK("https://www.boe.es/gazeta/dias/1815/01/07/pdfs/GMD-1815-3.pdf#page=5","Abrir facsímil")</f>
        <v>Abrir facsímil</v>
      </c>
      <c r="K5504" s="3" t="s">
        <v>74</v>
      </c>
    </row>
    <row r="5505" spans="1:11" ht="42" customHeight="1">
      <c r="A5505" s="2" t="s">
        <v>13791</v>
      </c>
      <c r="B5505" s="2" t="s">
        <v>13792</v>
      </c>
      <c r="C5505" s="2" t="s">
        <v>17</v>
      </c>
      <c r="D5505" s="2" t="s">
        <v>18</v>
      </c>
      <c r="E5505" s="5">
        <v>-30884</v>
      </c>
      <c r="F5505" s="3" t="s">
        <v>136</v>
      </c>
      <c r="G5505" s="3" t="s">
        <v>38</v>
      </c>
      <c r="H5505" s="2" t="s">
        <v>72</v>
      </c>
      <c r="I5505" s="2" t="s">
        <v>13793</v>
      </c>
      <c r="J5505" s="3" t="str">
        <f>HYPERLINK("https://www.boe.es/gazeta/dias/1815/06/10/pdfs/GMD-1815-70.pdf#page=8","Abrir facsímil")</f>
        <v>Abrir facsímil</v>
      </c>
      <c r="K5505" s="3" t="s">
        <v>74</v>
      </c>
    </row>
    <row r="5506" spans="1:11" ht="42" customHeight="1">
      <c r="A5506" s="2" t="s">
        <v>13794</v>
      </c>
      <c r="B5506" s="2" t="s">
        <v>13795</v>
      </c>
      <c r="C5506" s="2" t="s">
        <v>49</v>
      </c>
      <c r="D5506" s="2" t="s">
        <v>50</v>
      </c>
      <c r="E5506" s="5">
        <v>-31031</v>
      </c>
      <c r="F5506" s="3" t="s">
        <v>105</v>
      </c>
      <c r="G5506" s="3" t="s">
        <v>106</v>
      </c>
      <c r="H5506" s="2" t="s">
        <v>72</v>
      </c>
      <c r="I5506" s="2" t="s">
        <v>13796</v>
      </c>
      <c r="J5506" s="3" t="str">
        <f>HYPERLINK("https://www.boe.es/gazeta/dias/1815/01/14/pdfs/GMD-1815-6.pdf#page=7","Abrir facsímil")</f>
        <v>Abrir facsímil</v>
      </c>
      <c r="K5506" s="3" t="s">
        <v>74</v>
      </c>
    </row>
    <row r="5507" spans="1:11" ht="42" customHeight="1">
      <c r="A5507" s="2" t="s">
        <v>13797</v>
      </c>
      <c r="B5507" s="2" t="s">
        <v>13798</v>
      </c>
      <c r="C5507" s="2" t="s">
        <v>17</v>
      </c>
      <c r="D5507" s="2" t="s">
        <v>18</v>
      </c>
      <c r="E5507" s="5">
        <v>-31017</v>
      </c>
      <c r="F5507" s="3" t="s">
        <v>456</v>
      </c>
      <c r="G5507" s="3" t="s">
        <v>57</v>
      </c>
      <c r="H5507" s="2" t="s">
        <v>72</v>
      </c>
      <c r="I5507" s="2" t="s">
        <v>13799</v>
      </c>
      <c r="J5507" s="3" t="str">
        <f>HYPERLINK("https://www.boe.es/gazeta/dias/1815/01/28/pdfs/GMD-1815-12.pdf#page=5","Abrir facsímil")</f>
        <v>Abrir facsímil</v>
      </c>
      <c r="K5507" s="3" t="s">
        <v>74</v>
      </c>
    </row>
    <row r="5508" spans="1:11" ht="42" customHeight="1">
      <c r="A5508" s="2" t="s">
        <v>13800</v>
      </c>
      <c r="B5508" s="2" t="s">
        <v>13800</v>
      </c>
      <c r="C5508" s="2" t="s">
        <v>31</v>
      </c>
      <c r="D5508" s="2" t="s">
        <v>32</v>
      </c>
      <c r="E5508" s="5">
        <v>-30718</v>
      </c>
      <c r="F5508" s="3" t="s">
        <v>3115</v>
      </c>
      <c r="G5508" s="3" t="s">
        <v>6058</v>
      </c>
      <c r="H5508" s="2" t="s">
        <v>72</v>
      </c>
      <c r="I5508" s="2" t="s">
        <v>13801</v>
      </c>
      <c r="J5508" s="3" t="str">
        <f>HYPERLINK("https://www.boe.es/gazeta/dias/1815/11/23/pdfs/GMD-1815-146.pdf#page=4","Abrir facsímil")</f>
        <v>Abrir facsímil</v>
      </c>
      <c r="K5508" s="3" t="s">
        <v>74</v>
      </c>
    </row>
    <row r="5509" spans="1:11" ht="42" customHeight="1">
      <c r="A5509" s="2" t="s">
        <v>13802</v>
      </c>
      <c r="B5509" s="2" t="s">
        <v>13803</v>
      </c>
      <c r="C5509" s="2" t="s">
        <v>81</v>
      </c>
      <c r="D5509" s="2" t="s">
        <v>50</v>
      </c>
      <c r="E5509" s="5">
        <v>-30720</v>
      </c>
      <c r="F5509" s="3" t="s">
        <v>373</v>
      </c>
      <c r="G5509" s="3" t="s">
        <v>276</v>
      </c>
      <c r="H5509" s="2" t="s">
        <v>72</v>
      </c>
      <c r="I5509" s="2" t="s">
        <v>13804</v>
      </c>
      <c r="J5509" s="3" t="str">
        <f>HYPERLINK("https://www.boe.es/gazeta/dias/1815/11/21/pdfs/GMD-1815-145.pdf#page=12","Abrir facsímil")</f>
        <v>Abrir facsímil</v>
      </c>
      <c r="K5509" s="3" t="s">
        <v>74</v>
      </c>
    </row>
    <row r="5510" spans="1:11" ht="42" customHeight="1">
      <c r="A5510" s="2" t="s">
        <v>13805</v>
      </c>
      <c r="B5510" s="2" t="s">
        <v>13806</v>
      </c>
      <c r="C5510" s="2" t="s">
        <v>17</v>
      </c>
      <c r="D5510" s="2" t="s">
        <v>18</v>
      </c>
      <c r="E5510" s="5">
        <v>-30767</v>
      </c>
      <c r="F5510" s="3" t="s">
        <v>228</v>
      </c>
      <c r="G5510" s="3" t="s">
        <v>224</v>
      </c>
      <c r="H5510" s="2" t="s">
        <v>72</v>
      </c>
      <c r="I5510" s="2" t="s">
        <v>13807</v>
      </c>
      <c r="J5510" s="3" t="str">
        <f>HYPERLINK("https://www.boe.es/gazeta/dias/1815/10/05/pdfs/GMD-1815-125.pdf#page=9","Abrir facsímil")</f>
        <v>Abrir facsímil</v>
      </c>
      <c r="K5510" s="3" t="s">
        <v>74</v>
      </c>
    </row>
    <row r="5511" spans="1:11" ht="42" customHeight="1">
      <c r="A5511" s="2" t="s">
        <v>13808</v>
      </c>
      <c r="B5511" s="2" t="s">
        <v>13809</v>
      </c>
      <c r="C5511" s="2" t="s">
        <v>31</v>
      </c>
      <c r="D5511" s="2" t="s">
        <v>32</v>
      </c>
      <c r="E5511" s="5">
        <v>-30986</v>
      </c>
      <c r="F5511" s="3" t="s">
        <v>46</v>
      </c>
      <c r="G5511" s="3" t="s">
        <v>38</v>
      </c>
      <c r="H5511" s="2" t="s">
        <v>72</v>
      </c>
      <c r="I5511" s="2" t="s">
        <v>13810</v>
      </c>
      <c r="J5511" s="3" t="str">
        <f>HYPERLINK("https://www.boe.es/gazeta/dias/1815/02/28/pdfs/GMD-1815-25.pdf#page=8","Abrir facsímil")</f>
        <v>Abrir facsímil</v>
      </c>
      <c r="K5511" s="3" t="s">
        <v>74</v>
      </c>
    </row>
    <row r="5512" spans="1:11" ht="42" customHeight="1">
      <c r="A5512" s="2" t="s">
        <v>13808</v>
      </c>
      <c r="B5512" s="2" t="s">
        <v>13809</v>
      </c>
      <c r="C5512" s="2" t="s">
        <v>17</v>
      </c>
      <c r="D5512" s="2" t="s">
        <v>18</v>
      </c>
      <c r="E5512" s="5">
        <v>-30888</v>
      </c>
      <c r="F5512" s="3" t="s">
        <v>368</v>
      </c>
      <c r="G5512" s="3" t="s">
        <v>57</v>
      </c>
      <c r="H5512" s="2" t="s">
        <v>72</v>
      </c>
      <c r="I5512" s="2" t="s">
        <v>13811</v>
      </c>
      <c r="J5512" s="3" t="str">
        <f>HYPERLINK("https://www.boe.es/gazeta/dias/1815/06/06/pdfs/GMD-1815-68.pdf#page=5","Abrir facsímil")</f>
        <v>Abrir facsímil</v>
      </c>
      <c r="K5512" s="3" t="s">
        <v>74</v>
      </c>
    </row>
    <row r="5513" spans="1:11" ht="42" customHeight="1">
      <c r="A5513" s="2" t="s">
        <v>13812</v>
      </c>
      <c r="B5513" s="2" t="s">
        <v>13813</v>
      </c>
      <c r="C5513" s="2" t="s">
        <v>17</v>
      </c>
      <c r="D5513" s="2" t="s">
        <v>18</v>
      </c>
      <c r="E5513" s="5">
        <v>-31017</v>
      </c>
      <c r="F5513" s="3" t="s">
        <v>456</v>
      </c>
      <c r="G5513" s="3" t="s">
        <v>2373</v>
      </c>
      <c r="H5513" s="2" t="s">
        <v>21</v>
      </c>
      <c r="I5513" s="2" t="s">
        <v>13814</v>
      </c>
      <c r="J5513" s="3" t="str">
        <f>HYPERLINK("https://www.boe.es/gazeta/dias/1815/01/28/pdfs/GMD-1815-12.pdf#page=7","Abrir facsímil")</f>
        <v>Abrir facsímil</v>
      </c>
      <c r="K5513" s="3" t="s">
        <v>23</v>
      </c>
    </row>
    <row r="5514" spans="1:11" ht="42" customHeight="1">
      <c r="A5514" s="2" t="s">
        <v>13815</v>
      </c>
      <c r="B5514" s="2" t="s">
        <v>13816</v>
      </c>
      <c r="C5514" s="2" t="s">
        <v>131</v>
      </c>
      <c r="D5514" s="2" t="s">
        <v>50</v>
      </c>
      <c r="E5514" s="5">
        <v>-30942</v>
      </c>
      <c r="F5514" s="3" t="s">
        <v>730</v>
      </c>
      <c r="G5514" s="3" t="s">
        <v>71</v>
      </c>
      <c r="H5514" s="2" t="s">
        <v>72</v>
      </c>
      <c r="I5514" s="2" t="s">
        <v>13817</v>
      </c>
      <c r="J5514" s="3" t="str">
        <f>HYPERLINK("https://www.boe.es/gazeta/dias/1815/04/13/pdfs/GMD-1815-45.pdf#page=7","Abrir facsímil")</f>
        <v>Abrir facsímil</v>
      </c>
      <c r="K5514" s="3" t="s">
        <v>74</v>
      </c>
    </row>
    <row r="5515" spans="1:11" ht="42" customHeight="1">
      <c r="A5515" s="2" t="s">
        <v>13818</v>
      </c>
      <c r="B5515" s="2" t="s">
        <v>13819</v>
      </c>
      <c r="C5515" s="2" t="s">
        <v>31</v>
      </c>
      <c r="D5515" s="2" t="s">
        <v>32</v>
      </c>
      <c r="E5515" s="5">
        <v>-30977</v>
      </c>
      <c r="F5515" s="3" t="s">
        <v>37</v>
      </c>
      <c r="G5515" s="3" t="s">
        <v>38</v>
      </c>
      <c r="H5515" s="2" t="s">
        <v>72</v>
      </c>
      <c r="I5515" s="2" t="s">
        <v>13820</v>
      </c>
      <c r="J5515" s="3" t="str">
        <f>HYPERLINK("https://www.boe.es/gazeta/dias/1815/03/09/pdfs/GMD-1815-29.pdf#page=8","Abrir facsímil")</f>
        <v>Abrir facsímil</v>
      </c>
      <c r="K5515" s="3" t="s">
        <v>74</v>
      </c>
    </row>
    <row r="5516" spans="1:11" ht="42" customHeight="1">
      <c r="A5516" s="2" t="s">
        <v>13821</v>
      </c>
      <c r="B5516" s="2" t="s">
        <v>13822</v>
      </c>
      <c r="C5516" s="2" t="s">
        <v>49</v>
      </c>
      <c r="D5516" s="2" t="s">
        <v>50</v>
      </c>
      <c r="E5516" s="5">
        <v>-30865</v>
      </c>
      <c r="F5516" s="3" t="s">
        <v>163</v>
      </c>
      <c r="G5516" s="3" t="s">
        <v>38</v>
      </c>
      <c r="H5516" s="2" t="s">
        <v>72</v>
      </c>
      <c r="I5516" s="2" t="s">
        <v>13823</v>
      </c>
      <c r="J5516" s="3" t="str">
        <f>HYPERLINK("https://www.boe.es/gazeta/dias/1815/06/29/pdfs/GMD-1815-78.pdf#page=8","Abrir facsímil")</f>
        <v>Abrir facsímil</v>
      </c>
      <c r="K5516" s="3" t="s">
        <v>74</v>
      </c>
    </row>
    <row r="5517" spans="1:11" ht="42" customHeight="1">
      <c r="A5517" s="2" t="s">
        <v>13824</v>
      </c>
      <c r="B5517" s="2" t="s">
        <v>13825</v>
      </c>
      <c r="C5517" s="2" t="s">
        <v>17</v>
      </c>
      <c r="D5517" s="2" t="s">
        <v>18</v>
      </c>
      <c r="E5517" s="5">
        <v>-30905</v>
      </c>
      <c r="F5517" s="3" t="s">
        <v>901</v>
      </c>
      <c r="G5517" s="3" t="s">
        <v>71</v>
      </c>
      <c r="H5517" s="2" t="s">
        <v>72</v>
      </c>
      <c r="I5517" s="2" t="s">
        <v>13826</v>
      </c>
      <c r="J5517" s="3" t="str">
        <f>HYPERLINK("https://www.boe.es/gazeta/dias/1815/05/20/pdfs/GMD-1815-61.pdf#page=7","Abrir facsímil")</f>
        <v>Abrir facsímil</v>
      </c>
      <c r="K5517" s="3" t="s">
        <v>74</v>
      </c>
    </row>
    <row r="5518" spans="1:11" ht="42" customHeight="1">
      <c r="A5518" s="2" t="s">
        <v>13827</v>
      </c>
      <c r="B5518" s="2" t="s">
        <v>13828</v>
      </c>
      <c r="C5518" s="2" t="s">
        <v>49</v>
      </c>
      <c r="D5518" s="2" t="s">
        <v>50</v>
      </c>
      <c r="E5518" s="5">
        <v>-30870</v>
      </c>
      <c r="F5518" s="3" t="s">
        <v>122</v>
      </c>
      <c r="G5518" s="3" t="s">
        <v>88</v>
      </c>
      <c r="H5518" s="2" t="s">
        <v>72</v>
      </c>
      <c r="I5518" s="2" t="s">
        <v>13829</v>
      </c>
      <c r="J5518" s="3" t="str">
        <f>HYPERLINK("https://www.boe.es/gazeta/dias/1815/06/24/pdfs/GMD-1815-76.pdf#page=10","Abrir facsímil")</f>
        <v>Abrir facsímil</v>
      </c>
      <c r="K5518" s="3" t="s">
        <v>74</v>
      </c>
    </row>
    <row r="5519" spans="1:11" ht="42" customHeight="1">
      <c r="A5519" s="2" t="s">
        <v>13830</v>
      </c>
      <c r="B5519" s="2" t="s">
        <v>13831</v>
      </c>
      <c r="C5519" s="2" t="s">
        <v>17</v>
      </c>
      <c r="D5519" s="2" t="s">
        <v>18</v>
      </c>
      <c r="E5519" s="5">
        <v>-30844</v>
      </c>
      <c r="F5519" s="3" t="s">
        <v>114</v>
      </c>
      <c r="G5519" s="3" t="s">
        <v>71</v>
      </c>
      <c r="H5519" s="2" t="s">
        <v>72</v>
      </c>
      <c r="I5519" s="2" t="s">
        <v>13832</v>
      </c>
      <c r="J5519" s="3" t="str">
        <f>HYPERLINK("https://www.boe.es/gazeta/dias/1815/07/20/pdfs/GMD-1815-89.pdf#page=7","Abrir facsímil")</f>
        <v>Abrir facsímil</v>
      </c>
      <c r="K5519" s="3" t="s">
        <v>74</v>
      </c>
    </row>
    <row r="5520" spans="1:11" ht="42" customHeight="1">
      <c r="A5520" s="2" t="s">
        <v>13833</v>
      </c>
      <c r="B5520" s="2" t="s">
        <v>13834</v>
      </c>
      <c r="C5520" s="2" t="s">
        <v>31</v>
      </c>
      <c r="D5520" s="2" t="s">
        <v>32</v>
      </c>
      <c r="E5520" s="5">
        <v>-30891</v>
      </c>
      <c r="F5520" s="3" t="s">
        <v>498</v>
      </c>
      <c r="G5520" s="3" t="s">
        <v>27</v>
      </c>
      <c r="H5520" s="2" t="s">
        <v>72</v>
      </c>
      <c r="I5520" s="2" t="s">
        <v>13835</v>
      </c>
      <c r="J5520" s="3" t="str">
        <f>HYPERLINK("https://www.boe.es/gazeta/dias/1815/06/03/pdfs/GMD-1815-67.pdf#page=6","Abrir facsímil")</f>
        <v>Abrir facsímil</v>
      </c>
      <c r="K5520" s="3" t="s">
        <v>74</v>
      </c>
    </row>
    <row r="5521" spans="1:11" ht="42" customHeight="1">
      <c r="A5521" s="2" t="s">
        <v>13836</v>
      </c>
      <c r="B5521" s="2" t="s">
        <v>13837</v>
      </c>
      <c r="C5521" s="2" t="s">
        <v>195</v>
      </c>
      <c r="D5521" s="2" t="s">
        <v>50</v>
      </c>
      <c r="E5521" s="5">
        <v>-30991</v>
      </c>
      <c r="F5521" s="3" t="s">
        <v>318</v>
      </c>
      <c r="G5521" s="3" t="s">
        <v>319</v>
      </c>
      <c r="H5521" s="2" t="s">
        <v>72</v>
      </c>
      <c r="I5521" s="2" t="s">
        <v>13838</v>
      </c>
      <c r="J5521" s="3" t="str">
        <f>HYPERLINK("https://www.boe.es/gazeta/dias/1815/02/23/pdfs/GMD-1815-23.pdf#page=6","Abrir facsímil")</f>
        <v>Abrir facsímil</v>
      </c>
      <c r="K5521" s="3" t="s">
        <v>74</v>
      </c>
    </row>
    <row r="5522" spans="1:11" ht="42" customHeight="1">
      <c r="A5522" s="2" t="s">
        <v>13839</v>
      </c>
      <c r="B5522" s="2" t="s">
        <v>13840</v>
      </c>
      <c r="C5522" s="2" t="s">
        <v>49</v>
      </c>
      <c r="D5522" s="2" t="s">
        <v>50</v>
      </c>
      <c r="E5522" s="5">
        <v>-30865</v>
      </c>
      <c r="F5522" s="3" t="s">
        <v>163</v>
      </c>
      <c r="G5522" s="3" t="s">
        <v>27</v>
      </c>
      <c r="H5522" s="2" t="s">
        <v>72</v>
      </c>
      <c r="I5522" s="2" t="s">
        <v>13841</v>
      </c>
      <c r="J5522" s="3" t="str">
        <f>HYPERLINK("https://www.boe.es/gazeta/dias/1815/06/29/pdfs/GMD-1815-78.pdf#page=6","Abrir facsímil")</f>
        <v>Abrir facsímil</v>
      </c>
      <c r="K5522" s="3" t="s">
        <v>74</v>
      </c>
    </row>
    <row r="5523" spans="1:11" ht="42" customHeight="1">
      <c r="A5523" s="2" t="s">
        <v>13842</v>
      </c>
      <c r="B5523" s="2" t="s">
        <v>13843</v>
      </c>
      <c r="C5523" s="2" t="s">
        <v>49</v>
      </c>
      <c r="D5523" s="2" t="s">
        <v>50</v>
      </c>
      <c r="E5523" s="5">
        <v>-31028</v>
      </c>
      <c r="F5523" s="3" t="s">
        <v>517</v>
      </c>
      <c r="G5523" s="3" t="s">
        <v>52</v>
      </c>
      <c r="H5523" s="2" t="s">
        <v>72</v>
      </c>
      <c r="I5523" s="2" t="s">
        <v>13844</v>
      </c>
      <c r="J5523" s="3" t="str">
        <f>HYPERLINK("https://www.boe.es/gazeta/dias/1815/01/17/pdfs/GMD-1815-7.pdf#page=11","Abrir facsímil")</f>
        <v>Abrir facsímil</v>
      </c>
      <c r="K5523" s="3" t="s">
        <v>74</v>
      </c>
    </row>
    <row r="5524" spans="1:11" ht="42" customHeight="1">
      <c r="A5524" s="2" t="s">
        <v>13845</v>
      </c>
      <c r="B5524" s="2" t="s">
        <v>13846</v>
      </c>
      <c r="C5524" s="2" t="s">
        <v>31</v>
      </c>
      <c r="D5524" s="2" t="s">
        <v>32</v>
      </c>
      <c r="E5524" s="5">
        <v>-31040</v>
      </c>
      <c r="F5524" s="3" t="s">
        <v>326</v>
      </c>
      <c r="G5524" s="3" t="s">
        <v>27</v>
      </c>
      <c r="H5524" s="2" t="s">
        <v>72</v>
      </c>
      <c r="I5524" s="2" t="s">
        <v>13847</v>
      </c>
      <c r="J5524" s="3" t="str">
        <f>HYPERLINK("https://www.boe.es/gazeta/dias/1815/01/05/pdfs/GMD-1815-2.pdf#page=6","Abrir facsímil")</f>
        <v>Abrir facsímil</v>
      </c>
      <c r="K5524" s="3" t="s">
        <v>74</v>
      </c>
    </row>
    <row r="5525" spans="1:11" ht="42" customHeight="1">
      <c r="A5525" s="2" t="s">
        <v>13848</v>
      </c>
      <c r="B5525" s="2" t="s">
        <v>13849</v>
      </c>
      <c r="C5525" s="2" t="s">
        <v>17</v>
      </c>
      <c r="D5525" s="2" t="s">
        <v>18</v>
      </c>
      <c r="E5525" s="5">
        <v>-31012</v>
      </c>
      <c r="F5525" s="3" t="s">
        <v>529</v>
      </c>
      <c r="G5525" s="3" t="s">
        <v>20</v>
      </c>
      <c r="H5525" s="2" t="s">
        <v>72</v>
      </c>
      <c r="I5525" s="2" t="s">
        <v>13850</v>
      </c>
      <c r="J5525" s="3" t="str">
        <f>HYPERLINK("https://www.boe.es/gazeta/dias/1815/02/02/pdfs/GMD-1815-14.pdf#page=4","Abrir facsímil")</f>
        <v>Abrir facsímil</v>
      </c>
      <c r="K5525" s="3" t="s">
        <v>74</v>
      </c>
    </row>
    <row r="5526" spans="1:11" ht="42" customHeight="1">
      <c r="A5526" s="2" t="s">
        <v>13851</v>
      </c>
      <c r="B5526" s="2" t="s">
        <v>13852</v>
      </c>
      <c r="C5526" s="2" t="s">
        <v>49</v>
      </c>
      <c r="D5526" s="2" t="s">
        <v>50</v>
      </c>
      <c r="E5526" s="5">
        <v>-31021</v>
      </c>
      <c r="F5526" s="3" t="s">
        <v>481</v>
      </c>
      <c r="G5526" s="3" t="s">
        <v>57</v>
      </c>
      <c r="H5526" s="2" t="s">
        <v>72</v>
      </c>
      <c r="I5526" s="2" t="s">
        <v>13853</v>
      </c>
      <c r="J5526" s="3" t="str">
        <f>HYPERLINK("https://www.boe.es/gazeta/dias/1815/01/24/pdfs/GMD-1815-10.pdf#page=5","Abrir facsímil")</f>
        <v>Abrir facsímil</v>
      </c>
      <c r="K5526" s="3" t="s">
        <v>74</v>
      </c>
    </row>
    <row r="5527" spans="1:11" ht="42" customHeight="1">
      <c r="A5527" s="2" t="s">
        <v>13854</v>
      </c>
      <c r="B5527" s="2" t="s">
        <v>13855</v>
      </c>
      <c r="C5527" s="2" t="s">
        <v>31</v>
      </c>
      <c r="D5527" s="2" t="s">
        <v>32</v>
      </c>
      <c r="E5527" s="5">
        <v>-30905</v>
      </c>
      <c r="F5527" s="3" t="s">
        <v>901</v>
      </c>
      <c r="G5527" s="3" t="s">
        <v>71</v>
      </c>
      <c r="H5527" s="2" t="s">
        <v>72</v>
      </c>
      <c r="I5527" s="2" t="s">
        <v>13856</v>
      </c>
      <c r="J5527" s="3" t="str">
        <f>HYPERLINK("https://www.boe.es/gazeta/dias/1815/05/20/pdfs/GMD-1815-61.pdf#page=7","Abrir facsímil")</f>
        <v>Abrir facsímil</v>
      </c>
      <c r="K5527" s="3" t="s">
        <v>74</v>
      </c>
    </row>
    <row r="5528" spans="1:11" ht="42" customHeight="1">
      <c r="A5528" s="2" t="s">
        <v>13857</v>
      </c>
      <c r="B5528" s="2" t="s">
        <v>13858</v>
      </c>
      <c r="C5528" s="2" t="s">
        <v>31</v>
      </c>
      <c r="D5528" s="2" t="s">
        <v>32</v>
      </c>
      <c r="E5528" s="5">
        <v>-31040</v>
      </c>
      <c r="F5528" s="3" t="s">
        <v>326</v>
      </c>
      <c r="G5528" s="3" t="s">
        <v>71</v>
      </c>
      <c r="H5528" s="2" t="s">
        <v>72</v>
      </c>
      <c r="I5528" s="2" t="s">
        <v>13859</v>
      </c>
      <c r="J5528" s="3" t="str">
        <f>HYPERLINK("https://www.boe.es/gazeta/dias/1815/01/05/pdfs/GMD-1815-2.pdf#page=7","Abrir facsímil")</f>
        <v>Abrir facsímil</v>
      </c>
      <c r="K5528" s="3" t="s">
        <v>74</v>
      </c>
    </row>
    <row r="5529" spans="1:11" ht="42" customHeight="1">
      <c r="A5529" s="2" t="s">
        <v>13860</v>
      </c>
      <c r="B5529" s="2" t="s">
        <v>13861</v>
      </c>
      <c r="C5529" s="2" t="s">
        <v>17</v>
      </c>
      <c r="D5529" s="2" t="s">
        <v>18</v>
      </c>
      <c r="E5529" s="5">
        <v>-30795</v>
      </c>
      <c r="F5529" s="3" t="s">
        <v>172</v>
      </c>
      <c r="G5529" s="3" t="s">
        <v>52</v>
      </c>
      <c r="H5529" s="2" t="s">
        <v>72</v>
      </c>
      <c r="I5529" s="2" t="s">
        <v>13862</v>
      </c>
      <c r="J5529" s="3" t="str">
        <f>HYPERLINK("https://www.boe.es/gazeta/dias/1815/09/07/pdfs/GMD-1815-111.pdf#page=11","Abrir facsímil")</f>
        <v>Abrir facsímil</v>
      </c>
      <c r="K5529" s="3" t="s">
        <v>74</v>
      </c>
    </row>
    <row r="5530" spans="1:11" ht="42" customHeight="1">
      <c r="A5530" s="2" t="s">
        <v>13863</v>
      </c>
      <c r="B5530" s="2" t="s">
        <v>13864</v>
      </c>
      <c r="C5530" s="2" t="s">
        <v>31</v>
      </c>
      <c r="D5530" s="2" t="s">
        <v>32</v>
      </c>
      <c r="E5530" s="5">
        <v>-30916</v>
      </c>
      <c r="F5530" s="3" t="s">
        <v>147</v>
      </c>
      <c r="G5530" s="3" t="s">
        <v>38</v>
      </c>
      <c r="H5530" s="2" t="s">
        <v>72</v>
      </c>
      <c r="I5530" s="2" t="s">
        <v>13865</v>
      </c>
      <c r="J5530" s="3" t="str">
        <f>HYPERLINK("https://www.boe.es/gazeta/dias/1815/05/09/pdfs/GMD-1815-56.pdf#page=8","Abrir facsímil")</f>
        <v>Abrir facsímil</v>
      </c>
      <c r="K5530" s="3" t="s">
        <v>74</v>
      </c>
    </row>
    <row r="5531" spans="1:11" ht="42" customHeight="1">
      <c r="A5531" s="2" t="s">
        <v>13866</v>
      </c>
      <c r="B5531" s="2" t="s">
        <v>13867</v>
      </c>
      <c r="C5531" s="2" t="s">
        <v>49</v>
      </c>
      <c r="D5531" s="2" t="s">
        <v>50</v>
      </c>
      <c r="E5531" s="5">
        <v>-30767</v>
      </c>
      <c r="F5531" s="3" t="s">
        <v>228</v>
      </c>
      <c r="G5531" s="3" t="s">
        <v>224</v>
      </c>
      <c r="H5531" s="2" t="s">
        <v>72</v>
      </c>
      <c r="I5531" s="2" t="s">
        <v>13868</v>
      </c>
      <c r="J5531" s="3" t="str">
        <f>HYPERLINK("https://www.boe.es/gazeta/dias/1815/10/05/pdfs/GMD-1815-125.pdf#page=9","Abrir facsímil")</f>
        <v>Abrir facsímil</v>
      </c>
      <c r="K5531" s="3" t="s">
        <v>74</v>
      </c>
    </row>
    <row r="5532" spans="1:11" ht="42" customHeight="1">
      <c r="A5532" s="2" t="s">
        <v>13869</v>
      </c>
      <c r="B5532" s="2" t="s">
        <v>13870</v>
      </c>
      <c r="C5532" s="2" t="s">
        <v>17</v>
      </c>
      <c r="D5532" s="2" t="s">
        <v>18</v>
      </c>
      <c r="E5532" s="5">
        <v>-30979</v>
      </c>
      <c r="F5532" s="3" t="s">
        <v>56</v>
      </c>
      <c r="G5532" s="3" t="s">
        <v>57</v>
      </c>
      <c r="H5532" s="2" t="s">
        <v>72</v>
      </c>
      <c r="I5532" s="2" t="s">
        <v>13871</v>
      </c>
      <c r="J5532" s="3" t="str">
        <f>HYPERLINK("https://www.boe.es/gazeta/dias/1815/03/07/pdfs/GMD-1815-28.pdf#page=5","Abrir facsímil")</f>
        <v>Abrir facsímil</v>
      </c>
      <c r="K5532" s="3" t="s">
        <v>74</v>
      </c>
    </row>
    <row r="5533" spans="1:11" ht="42" customHeight="1">
      <c r="A5533" s="2" t="s">
        <v>13872</v>
      </c>
      <c r="B5533" s="2" t="s">
        <v>13873</v>
      </c>
      <c r="C5533" s="2" t="s">
        <v>17</v>
      </c>
      <c r="D5533" s="2" t="s">
        <v>18</v>
      </c>
      <c r="E5533" s="5">
        <v>-30900</v>
      </c>
      <c r="F5533" s="3" t="s">
        <v>921</v>
      </c>
      <c r="G5533" s="3" t="s">
        <v>88</v>
      </c>
      <c r="H5533" s="2" t="s">
        <v>72</v>
      </c>
      <c r="I5533" s="2" t="s">
        <v>13874</v>
      </c>
      <c r="J5533" s="3" t="str">
        <f>HYPERLINK("https://www.boe.es/gazeta/dias/1815/05/25/pdfs/GMD-1815-63.pdf#page=10","Abrir facsímil")</f>
        <v>Abrir facsímil</v>
      </c>
      <c r="K5533" s="3" t="s">
        <v>74</v>
      </c>
    </row>
    <row r="5534" spans="1:11" ht="42" customHeight="1">
      <c r="A5534" s="2" t="s">
        <v>13875</v>
      </c>
      <c r="B5534" s="2" t="s">
        <v>13876</v>
      </c>
      <c r="C5534" s="2" t="s">
        <v>49</v>
      </c>
      <c r="D5534" s="2" t="s">
        <v>50</v>
      </c>
      <c r="E5534" s="5">
        <v>-30720</v>
      </c>
      <c r="F5534" s="3" t="s">
        <v>373</v>
      </c>
      <c r="G5534" s="3" t="s">
        <v>276</v>
      </c>
      <c r="H5534" s="2" t="s">
        <v>72</v>
      </c>
      <c r="I5534" s="2" t="s">
        <v>13877</v>
      </c>
      <c r="J5534" s="3" t="str">
        <f>HYPERLINK("https://www.boe.es/gazeta/dias/1815/11/21/pdfs/GMD-1815-145.pdf#page=12","Abrir facsímil")</f>
        <v>Abrir facsímil</v>
      </c>
      <c r="K5534" s="3" t="s">
        <v>74</v>
      </c>
    </row>
    <row r="5535" spans="1:11" ht="42" customHeight="1">
      <c r="A5535" s="2" t="s">
        <v>13878</v>
      </c>
      <c r="B5535" s="2" t="s">
        <v>13879</v>
      </c>
      <c r="C5535" s="2" t="s">
        <v>31</v>
      </c>
      <c r="D5535" s="2" t="s">
        <v>32</v>
      </c>
      <c r="E5535" s="5">
        <v>-30720</v>
      </c>
      <c r="F5535" s="3" t="s">
        <v>373</v>
      </c>
      <c r="G5535" s="3" t="s">
        <v>276</v>
      </c>
      <c r="H5535" s="2" t="s">
        <v>72</v>
      </c>
      <c r="I5535" s="2" t="s">
        <v>13880</v>
      </c>
      <c r="J5535" s="3" t="str">
        <f>HYPERLINK("https://www.boe.es/gazeta/dias/1815/11/21/pdfs/GMD-1815-145.pdf#page=12","Abrir facsímil")</f>
        <v>Abrir facsímil</v>
      </c>
      <c r="K5535" s="3" t="s">
        <v>74</v>
      </c>
    </row>
    <row r="5536" spans="1:11" ht="42" customHeight="1">
      <c r="A5536" s="2" t="s">
        <v>13881</v>
      </c>
      <c r="B5536" s="2" t="s">
        <v>13882</v>
      </c>
      <c r="C5536" s="2" t="s">
        <v>195</v>
      </c>
      <c r="D5536" s="2" t="s">
        <v>50</v>
      </c>
      <c r="E5536" s="5">
        <v>-30879</v>
      </c>
      <c r="F5536" s="3" t="s">
        <v>754</v>
      </c>
      <c r="G5536" s="3" t="s">
        <v>88</v>
      </c>
      <c r="H5536" s="2" t="s">
        <v>72</v>
      </c>
      <c r="I5536" s="2" t="s">
        <v>13883</v>
      </c>
      <c r="J5536" s="3" t="str">
        <f>HYPERLINK("https://www.boe.es/gazeta/dias/1815/06/15/pdfs/GMD-1815-72.pdf#page=10","Abrir facsímil")</f>
        <v>Abrir facsímil</v>
      </c>
      <c r="K5536" s="3" t="s">
        <v>74</v>
      </c>
    </row>
    <row r="5537" spans="1:11" ht="42" customHeight="1">
      <c r="A5537" s="2" t="s">
        <v>13884</v>
      </c>
      <c r="B5537" s="2" t="s">
        <v>13885</v>
      </c>
      <c r="C5537" s="2" t="s">
        <v>49</v>
      </c>
      <c r="D5537" s="2" t="s">
        <v>50</v>
      </c>
      <c r="E5537" s="5">
        <v>-30767</v>
      </c>
      <c r="F5537" s="3" t="s">
        <v>228</v>
      </c>
      <c r="G5537" s="3" t="s">
        <v>224</v>
      </c>
      <c r="H5537" s="2" t="s">
        <v>72</v>
      </c>
      <c r="I5537" s="2" t="s">
        <v>13886</v>
      </c>
      <c r="J5537" s="3" t="str">
        <f>HYPERLINK("https://www.boe.es/gazeta/dias/1815/10/05/pdfs/GMD-1815-125.pdf#page=9","Abrir facsímil")</f>
        <v>Abrir facsímil</v>
      </c>
      <c r="K5537" s="3" t="s">
        <v>74</v>
      </c>
    </row>
    <row r="5538" spans="1:11" ht="42" customHeight="1">
      <c r="A5538" s="2" t="s">
        <v>13887</v>
      </c>
      <c r="B5538" s="2" t="s">
        <v>13888</v>
      </c>
      <c r="C5538" s="2" t="s">
        <v>49</v>
      </c>
      <c r="D5538" s="2" t="s">
        <v>50</v>
      </c>
      <c r="E5538" s="5">
        <v>-31040</v>
      </c>
      <c r="F5538" s="3" t="s">
        <v>326</v>
      </c>
      <c r="G5538" s="3" t="s">
        <v>27</v>
      </c>
      <c r="H5538" s="2" t="s">
        <v>72</v>
      </c>
      <c r="I5538" s="2" t="s">
        <v>13889</v>
      </c>
      <c r="J5538" s="3" t="str">
        <f>HYPERLINK("https://www.boe.es/gazeta/dias/1815/01/05/pdfs/GMD-1815-2.pdf#page=6","Abrir facsímil")</f>
        <v>Abrir facsímil</v>
      </c>
      <c r="K5538" s="3" t="s">
        <v>74</v>
      </c>
    </row>
    <row r="5539" spans="1:11" ht="42" customHeight="1">
      <c r="A5539" s="2" t="s">
        <v>13887</v>
      </c>
      <c r="B5539" s="2" t="s">
        <v>13888</v>
      </c>
      <c r="C5539" s="2" t="s">
        <v>49</v>
      </c>
      <c r="D5539" s="2" t="s">
        <v>50</v>
      </c>
      <c r="E5539" s="5">
        <v>-30713</v>
      </c>
      <c r="F5539" s="3" t="s">
        <v>895</v>
      </c>
      <c r="G5539" s="3" t="s">
        <v>71</v>
      </c>
      <c r="H5539" s="2" t="s">
        <v>72</v>
      </c>
      <c r="I5539" s="2" t="s">
        <v>13890</v>
      </c>
      <c r="J5539" s="3" t="str">
        <f>HYPERLINK("https://www.boe.es/gazeta/dias/1815/11/28/pdfs/GMD-1815-148.pdf#page=7","Abrir facsímil")</f>
        <v>Abrir facsímil</v>
      </c>
      <c r="K5539" s="3" t="s">
        <v>74</v>
      </c>
    </row>
    <row r="5540" spans="1:11" ht="42" customHeight="1">
      <c r="A5540" s="2" t="s">
        <v>13891</v>
      </c>
      <c r="B5540" s="2" t="s">
        <v>13892</v>
      </c>
      <c r="C5540" s="2" t="s">
        <v>17</v>
      </c>
      <c r="D5540" s="2" t="s">
        <v>18</v>
      </c>
      <c r="E5540" s="5">
        <v>-31038</v>
      </c>
      <c r="F5540" s="3" t="s">
        <v>395</v>
      </c>
      <c r="G5540" s="3" t="s">
        <v>27</v>
      </c>
      <c r="H5540" s="2" t="s">
        <v>72</v>
      </c>
      <c r="I5540" s="2" t="s">
        <v>13893</v>
      </c>
      <c r="J5540" s="3" t="str">
        <f>HYPERLINK("https://www.boe.es/gazeta/dias/1815/01/07/pdfs/GMD-1815-3.pdf#page=6","Abrir facsímil")</f>
        <v>Abrir facsímil</v>
      </c>
      <c r="K5540" s="3" t="s">
        <v>74</v>
      </c>
    </row>
    <row r="5541" spans="1:11" ht="42" customHeight="1">
      <c r="A5541" s="2" t="s">
        <v>13894</v>
      </c>
      <c r="B5541" s="2" t="s">
        <v>13895</v>
      </c>
      <c r="C5541" s="2" t="s">
        <v>31</v>
      </c>
      <c r="D5541" s="2" t="s">
        <v>32</v>
      </c>
      <c r="E5541" s="5">
        <v>-30699</v>
      </c>
      <c r="F5541" s="3" t="s">
        <v>810</v>
      </c>
      <c r="G5541" s="3" t="s">
        <v>57</v>
      </c>
      <c r="H5541" s="2" t="s">
        <v>72</v>
      </c>
      <c r="I5541" s="2" t="s">
        <v>13896</v>
      </c>
      <c r="J5541" s="3" t="str">
        <f>HYPERLINK("https://www.boe.es/gazeta/dias/1815/12/12/pdfs/GMD-1815-154.pdf#page=5","Abrir facsímil")</f>
        <v>Abrir facsímil</v>
      </c>
      <c r="K5541" s="3" t="s">
        <v>74</v>
      </c>
    </row>
    <row r="5542" spans="1:11" ht="42" customHeight="1">
      <c r="A5542" s="2" t="s">
        <v>13897</v>
      </c>
      <c r="B5542" s="2" t="s">
        <v>13898</v>
      </c>
      <c r="C5542" s="2" t="s">
        <v>49</v>
      </c>
      <c r="D5542" s="2" t="s">
        <v>50</v>
      </c>
      <c r="E5542" s="5">
        <v>-30690</v>
      </c>
      <c r="F5542" s="3" t="s">
        <v>1449</v>
      </c>
      <c r="G5542" s="3" t="s">
        <v>71</v>
      </c>
      <c r="H5542" s="2" t="s">
        <v>72</v>
      </c>
      <c r="I5542" s="2" t="s">
        <v>13899</v>
      </c>
      <c r="J5542" s="3" t="str">
        <f>HYPERLINK("https://www.boe.es/gazeta/dias/1815/12/21/pdfs/GMD-1815-158.pdf#page=7","Abrir facsímil")</f>
        <v>Abrir facsímil</v>
      </c>
      <c r="K5542" s="3" t="s">
        <v>74</v>
      </c>
    </row>
    <row r="5543" spans="1:11" ht="42" customHeight="1">
      <c r="A5543" s="2" t="s">
        <v>13900</v>
      </c>
      <c r="B5543" s="2" t="s">
        <v>13901</v>
      </c>
      <c r="C5543" s="2" t="s">
        <v>49</v>
      </c>
      <c r="D5543" s="2" t="s">
        <v>50</v>
      </c>
      <c r="E5543" s="5">
        <v>-30886</v>
      </c>
      <c r="F5543" s="3" t="s">
        <v>140</v>
      </c>
      <c r="G5543" s="3" t="s">
        <v>224</v>
      </c>
      <c r="H5543" s="2" t="s">
        <v>72</v>
      </c>
      <c r="I5543" s="2" t="s">
        <v>13902</v>
      </c>
      <c r="J5543" s="3" t="str">
        <f>HYPERLINK("https://www.boe.es/gazeta/dias/1815/06/08/pdfs/GMD-1815-69.pdf#page=9","Abrir facsímil")</f>
        <v>Abrir facsímil</v>
      </c>
      <c r="K5543" s="3" t="s">
        <v>74</v>
      </c>
    </row>
    <row r="5544" spans="1:11" ht="42" customHeight="1">
      <c r="A5544" s="2" t="s">
        <v>13903</v>
      </c>
      <c r="B5544" s="2" t="s">
        <v>13904</v>
      </c>
      <c r="C5544" s="2" t="s">
        <v>31</v>
      </c>
      <c r="D5544" s="2" t="s">
        <v>32</v>
      </c>
      <c r="E5544" s="5">
        <v>-30951</v>
      </c>
      <c r="F5544" s="3" t="s">
        <v>87</v>
      </c>
      <c r="G5544" s="3" t="s">
        <v>88</v>
      </c>
      <c r="H5544" s="2" t="s">
        <v>72</v>
      </c>
      <c r="I5544" s="2" t="s">
        <v>13905</v>
      </c>
      <c r="J5544" s="3" t="str">
        <f>HYPERLINK("https://www.boe.es/gazeta/dias/1815/04/04/pdfs/GMD-1815-41.pdf#page=10","Abrir facsímil")</f>
        <v>Abrir facsímil</v>
      </c>
      <c r="K5544" s="3" t="s">
        <v>74</v>
      </c>
    </row>
    <row r="5545" spans="1:11" ht="42" customHeight="1">
      <c r="A5545" s="2" t="s">
        <v>13906</v>
      </c>
      <c r="B5545" s="2" t="s">
        <v>13907</v>
      </c>
      <c r="C5545" s="2" t="s">
        <v>31</v>
      </c>
      <c r="D5545" s="2" t="s">
        <v>32</v>
      </c>
      <c r="E5545" s="5">
        <v>-30709</v>
      </c>
      <c r="F5545" s="3" t="s">
        <v>314</v>
      </c>
      <c r="G5545" s="3" t="s">
        <v>13908</v>
      </c>
      <c r="H5545" s="2" t="s">
        <v>72</v>
      </c>
      <c r="I5545" s="2" t="s">
        <v>13909</v>
      </c>
      <c r="J5545" s="3" t="str">
        <f>HYPERLINK("https://www.boe.es/gazeta/dias/1815/12/02/pdfs/GMD-1815-150.pdf#page=4","Abrir facsímil")</f>
        <v>Abrir facsímil</v>
      </c>
      <c r="K5545" s="3" t="s">
        <v>74</v>
      </c>
    </row>
    <row r="5546" spans="1:11" ht="42" customHeight="1">
      <c r="A5546" s="2" t="s">
        <v>13910</v>
      </c>
      <c r="B5546" s="2" t="s">
        <v>13911</v>
      </c>
      <c r="C5546" s="2" t="s">
        <v>31</v>
      </c>
      <c r="D5546" s="2" t="s">
        <v>32</v>
      </c>
      <c r="E5546" s="5">
        <v>-30958</v>
      </c>
      <c r="F5546" s="3" t="s">
        <v>297</v>
      </c>
      <c r="G5546" s="3" t="s">
        <v>71</v>
      </c>
      <c r="H5546" s="2" t="s">
        <v>21</v>
      </c>
      <c r="I5546" s="2" t="s">
        <v>13912</v>
      </c>
      <c r="J5546" s="3" t="str">
        <f>HYPERLINK("https://www.boe.es/gazeta/dias/1815/03/28/pdfs/GMD-1815-37.pdf#page=7","Abrir facsímil")</f>
        <v>Abrir facsímil</v>
      </c>
      <c r="K5546" s="3" t="s">
        <v>23</v>
      </c>
    </row>
    <row r="5547" spans="1:11" ht="42" customHeight="1">
      <c r="A5547" s="2" t="s">
        <v>13913</v>
      </c>
      <c r="B5547" s="2" t="s">
        <v>13914</v>
      </c>
      <c r="C5547" s="2" t="s">
        <v>31</v>
      </c>
      <c r="D5547" s="2" t="s">
        <v>32</v>
      </c>
      <c r="E5547" s="5">
        <v>-30958</v>
      </c>
      <c r="F5547" s="3" t="s">
        <v>297</v>
      </c>
      <c r="G5547" s="3" t="s">
        <v>71</v>
      </c>
      <c r="H5547" s="2" t="s">
        <v>72</v>
      </c>
      <c r="I5547" s="2" t="s">
        <v>13915</v>
      </c>
      <c r="J5547" s="3" t="str">
        <f>HYPERLINK("https://www.boe.es/gazeta/dias/1815/03/28/pdfs/GMD-1815-37.pdf#page=7","Abrir facsímil")</f>
        <v>Abrir facsímil</v>
      </c>
      <c r="K5547" s="3" t="s">
        <v>74</v>
      </c>
    </row>
    <row r="5548" spans="1:11" ht="42" customHeight="1">
      <c r="A5548" s="2" t="s">
        <v>13916</v>
      </c>
      <c r="B5548" s="2" t="s">
        <v>13917</v>
      </c>
      <c r="C5548" s="2" t="s">
        <v>31</v>
      </c>
      <c r="D5548" s="2" t="s">
        <v>32</v>
      </c>
      <c r="E5548" s="5">
        <v>-31028</v>
      </c>
      <c r="F5548" s="3" t="s">
        <v>517</v>
      </c>
      <c r="G5548" s="3" t="s">
        <v>88</v>
      </c>
      <c r="H5548" s="2" t="s">
        <v>72</v>
      </c>
      <c r="I5548" s="2" t="s">
        <v>13918</v>
      </c>
      <c r="J5548" s="3" t="str">
        <f>HYPERLINK("https://www.boe.es/gazeta/dias/1815/01/17/pdfs/GMD-1815-7.pdf#page=10","Abrir facsímil")</f>
        <v>Abrir facsímil</v>
      </c>
      <c r="K5548" s="3" t="s">
        <v>74</v>
      </c>
    </row>
    <row r="5549" spans="1:11" ht="42" customHeight="1">
      <c r="A5549" s="2" t="s">
        <v>13919</v>
      </c>
      <c r="B5549" s="2" t="s">
        <v>13920</v>
      </c>
      <c r="C5549" s="2" t="s">
        <v>17</v>
      </c>
      <c r="D5549" s="2" t="s">
        <v>18</v>
      </c>
      <c r="E5549" s="5">
        <v>-30898</v>
      </c>
      <c r="F5549" s="3" t="s">
        <v>212</v>
      </c>
      <c r="G5549" s="3" t="s">
        <v>27</v>
      </c>
      <c r="H5549" s="2" t="s">
        <v>72</v>
      </c>
      <c r="I5549" s="2" t="s">
        <v>13921</v>
      </c>
      <c r="J5549" s="3" t="str">
        <f>HYPERLINK("https://www.boe.es/gazeta/dias/1815/05/27/pdfs/GMD-1815-64.pdf#page=6","Abrir facsímil")</f>
        <v>Abrir facsímil</v>
      </c>
      <c r="K5549" s="3" t="s">
        <v>74</v>
      </c>
    </row>
    <row r="5550" spans="1:11" ht="42" customHeight="1">
      <c r="A5550" s="2" t="s">
        <v>13922</v>
      </c>
      <c r="B5550" s="2" t="s">
        <v>13923</v>
      </c>
      <c r="C5550" s="2" t="s">
        <v>195</v>
      </c>
      <c r="D5550" s="2" t="s">
        <v>50</v>
      </c>
      <c r="E5550" s="5">
        <v>-30888</v>
      </c>
      <c r="F5550" s="3" t="s">
        <v>368</v>
      </c>
      <c r="G5550" s="3" t="s">
        <v>38</v>
      </c>
      <c r="H5550" s="2" t="s">
        <v>72</v>
      </c>
      <c r="I5550" s="2" t="s">
        <v>13924</v>
      </c>
      <c r="J5550" s="3" t="str">
        <f>HYPERLINK("https://www.boe.es/gazeta/dias/1815/06/06/pdfs/GMD-1815-68.pdf#page=8","Abrir facsímil")</f>
        <v>Abrir facsímil</v>
      </c>
      <c r="K5550" s="3" t="s">
        <v>74</v>
      </c>
    </row>
    <row r="5551" spans="1:11" ht="42" customHeight="1">
      <c r="A5551" s="2" t="s">
        <v>13925</v>
      </c>
      <c r="B5551" s="2" t="s">
        <v>13926</v>
      </c>
      <c r="C5551" s="2" t="s">
        <v>17</v>
      </c>
      <c r="D5551" s="2" t="s">
        <v>18</v>
      </c>
      <c r="E5551" s="5">
        <v>-30888</v>
      </c>
      <c r="F5551" s="3" t="s">
        <v>368</v>
      </c>
      <c r="G5551" s="3" t="s">
        <v>52</v>
      </c>
      <c r="H5551" s="2" t="s">
        <v>72</v>
      </c>
      <c r="I5551" s="2" t="s">
        <v>13927</v>
      </c>
      <c r="J5551" s="3" t="str">
        <f>HYPERLINK("https://www.boe.es/gazeta/dias/1815/06/06/pdfs/GMD-1815-68.pdf#page=11","Abrir facsímil")</f>
        <v>Abrir facsímil</v>
      </c>
      <c r="K5551" s="3" t="s">
        <v>74</v>
      </c>
    </row>
    <row r="5552" spans="1:11" ht="42" customHeight="1">
      <c r="A5552" s="2" t="s">
        <v>13928</v>
      </c>
      <c r="B5552" s="2" t="s">
        <v>13929</v>
      </c>
      <c r="C5552" s="2" t="s">
        <v>81</v>
      </c>
      <c r="D5552" s="2" t="s">
        <v>50</v>
      </c>
      <c r="E5552" s="5">
        <v>-30954</v>
      </c>
      <c r="F5552" s="3" t="s">
        <v>409</v>
      </c>
      <c r="G5552" s="3" t="s">
        <v>57</v>
      </c>
      <c r="H5552" s="2" t="s">
        <v>72</v>
      </c>
      <c r="I5552" s="2" t="s">
        <v>13930</v>
      </c>
      <c r="J5552" s="3" t="str">
        <f>HYPERLINK("https://www.boe.es/gazeta/dias/1815/04/01/pdfs/GMD-1815-39.pdf#page=5","Abrir facsímil")</f>
        <v>Abrir facsímil</v>
      </c>
      <c r="K5552" s="3" t="s">
        <v>74</v>
      </c>
    </row>
    <row r="5553" spans="1:11" ht="42" customHeight="1">
      <c r="A5553" s="2" t="s">
        <v>13931</v>
      </c>
      <c r="B5553" s="2" t="s">
        <v>13932</v>
      </c>
      <c r="C5553" s="2" t="s">
        <v>31</v>
      </c>
      <c r="D5553" s="2" t="s">
        <v>32</v>
      </c>
      <c r="E5553" s="5">
        <v>-30958</v>
      </c>
      <c r="F5553" s="3" t="s">
        <v>297</v>
      </c>
      <c r="G5553" s="3" t="s">
        <v>27</v>
      </c>
      <c r="H5553" s="2" t="s">
        <v>72</v>
      </c>
      <c r="I5553" s="2" t="s">
        <v>13933</v>
      </c>
      <c r="J5553" s="3" t="str">
        <f>HYPERLINK("https://www.boe.es/gazeta/dias/1815/03/28/pdfs/GMD-1815-37.pdf#page=6","Abrir facsímil")</f>
        <v>Abrir facsímil</v>
      </c>
      <c r="K5553" s="3" t="s">
        <v>74</v>
      </c>
    </row>
    <row r="5554" spans="1:11" ht="42" customHeight="1">
      <c r="A5554" s="2" t="s">
        <v>13934</v>
      </c>
      <c r="B5554" s="2" t="s">
        <v>13935</v>
      </c>
      <c r="C5554" s="2" t="s">
        <v>49</v>
      </c>
      <c r="D5554" s="2" t="s">
        <v>50</v>
      </c>
      <c r="E5554" s="5">
        <v>-30865</v>
      </c>
      <c r="F5554" s="3" t="s">
        <v>163</v>
      </c>
      <c r="G5554" s="3" t="s">
        <v>71</v>
      </c>
      <c r="H5554" s="2" t="s">
        <v>72</v>
      </c>
      <c r="I5554" s="2" t="s">
        <v>13936</v>
      </c>
      <c r="J5554" s="3" t="str">
        <f>HYPERLINK("https://www.boe.es/gazeta/dias/1815/06/29/pdfs/GMD-1815-78.pdf#page=7","Abrir facsímil")</f>
        <v>Abrir facsímil</v>
      </c>
      <c r="K5554" s="3" t="s">
        <v>74</v>
      </c>
    </row>
    <row r="5555" spans="1:11" ht="42" customHeight="1">
      <c r="A5555" s="2" t="s">
        <v>13937</v>
      </c>
      <c r="B5555" s="2" t="s">
        <v>13938</v>
      </c>
      <c r="C5555" s="2" t="s">
        <v>31</v>
      </c>
      <c r="D5555" s="2" t="s">
        <v>32</v>
      </c>
      <c r="E5555" s="5">
        <v>-30818</v>
      </c>
      <c r="F5555" s="3" t="s">
        <v>334</v>
      </c>
      <c r="G5555" s="3" t="s">
        <v>38</v>
      </c>
      <c r="H5555" s="2" t="s">
        <v>72</v>
      </c>
      <c r="I5555" s="2" t="s">
        <v>13939</v>
      </c>
      <c r="J5555" s="3" t="str">
        <f>HYPERLINK("https://www.boe.es/gazeta/dias/1815/08/15/pdfs/GMD-1815-100.pdf#page=8","Abrir facsímil")</f>
        <v>Abrir facsímil</v>
      </c>
      <c r="K5555" s="3" t="s">
        <v>74</v>
      </c>
    </row>
    <row r="5556" spans="1:11" ht="42" customHeight="1">
      <c r="A5556" s="2" t="s">
        <v>13940</v>
      </c>
      <c r="B5556" s="2" t="s">
        <v>13940</v>
      </c>
      <c r="C5556" s="2" t="s">
        <v>31</v>
      </c>
      <c r="D5556" s="2" t="s">
        <v>179</v>
      </c>
      <c r="E5556" s="5">
        <v>-30860</v>
      </c>
      <c r="F5556" s="3" t="s">
        <v>180</v>
      </c>
      <c r="G5556" s="3" t="s">
        <v>2026</v>
      </c>
      <c r="H5556" s="2" t="s">
        <v>72</v>
      </c>
      <c r="I5556" s="2" t="s">
        <v>13941</v>
      </c>
      <c r="J5556" s="3" t="str">
        <f>HYPERLINK("https://www.boe.es/gazeta/dias/1815/07/04/pdfs/GMD-1815-82E.pdf#page=5","Abrir facsímil")</f>
        <v>Abrir facsímil</v>
      </c>
      <c r="K5556" s="3" t="s">
        <v>74</v>
      </c>
    </row>
    <row r="5557" spans="1:11" ht="42" customHeight="1">
      <c r="A5557" s="2" t="s">
        <v>13942</v>
      </c>
      <c r="B5557" s="2" t="s">
        <v>13943</v>
      </c>
      <c r="C5557" s="2" t="s">
        <v>31</v>
      </c>
      <c r="D5557" s="2" t="s">
        <v>32</v>
      </c>
      <c r="E5557" s="5">
        <v>-30986</v>
      </c>
      <c r="F5557" s="3" t="s">
        <v>46</v>
      </c>
      <c r="G5557" s="3" t="s">
        <v>88</v>
      </c>
      <c r="H5557" s="2" t="s">
        <v>72</v>
      </c>
      <c r="I5557" s="2" t="s">
        <v>13944</v>
      </c>
      <c r="J5557" s="3" t="str">
        <f>HYPERLINK("https://www.boe.es/gazeta/dias/1815/02/28/pdfs/GMD-1815-25.pdf#page=10","Abrir facsímil")</f>
        <v>Abrir facsímil</v>
      </c>
      <c r="K5557" s="3" t="s">
        <v>74</v>
      </c>
    </row>
    <row r="5558" spans="1:11" ht="42" customHeight="1">
      <c r="A5558" s="2" t="s">
        <v>13945</v>
      </c>
      <c r="B5558" s="2" t="s">
        <v>13946</v>
      </c>
      <c r="C5558" s="2" t="s">
        <v>31</v>
      </c>
      <c r="D5558" s="2" t="s">
        <v>32</v>
      </c>
      <c r="E5558" s="5">
        <v>-31038</v>
      </c>
      <c r="F5558" s="3" t="s">
        <v>395</v>
      </c>
      <c r="G5558" s="3" t="s">
        <v>396</v>
      </c>
      <c r="H5558" s="2" t="s">
        <v>72</v>
      </c>
      <c r="I5558" s="2" t="s">
        <v>13947</v>
      </c>
      <c r="J5558" s="3" t="str">
        <f>HYPERLINK("https://www.boe.es/gazeta/dias/1815/01/07/pdfs/GMD-1815-3.pdf#page=5","Abrir facsímil")</f>
        <v>Abrir facsímil</v>
      </c>
      <c r="K5558" s="3" t="s">
        <v>74</v>
      </c>
    </row>
    <row r="5559" spans="1:11" ht="42" customHeight="1">
      <c r="A5559" s="2" t="s">
        <v>13948</v>
      </c>
      <c r="B5559" s="2" t="s">
        <v>13949</v>
      </c>
      <c r="C5559" s="2" t="s">
        <v>49</v>
      </c>
      <c r="D5559" s="2" t="s">
        <v>50</v>
      </c>
      <c r="E5559" s="5">
        <v>-30818</v>
      </c>
      <c r="F5559" s="3" t="s">
        <v>334</v>
      </c>
      <c r="G5559" s="3" t="s">
        <v>224</v>
      </c>
      <c r="H5559" s="2" t="s">
        <v>72</v>
      </c>
      <c r="I5559" s="2" t="s">
        <v>13950</v>
      </c>
      <c r="J5559" s="3" t="str">
        <f>HYPERLINK("https://www.boe.es/gazeta/dias/1815/08/15/pdfs/GMD-1815-100.pdf#page=9","Abrir facsímil")</f>
        <v>Abrir facsímil</v>
      </c>
      <c r="K5559" s="3" t="s">
        <v>74</v>
      </c>
    </row>
    <row r="5560" spans="1:11" ht="42" customHeight="1">
      <c r="A5560" s="2" t="s">
        <v>13951</v>
      </c>
      <c r="B5560" s="2" t="s">
        <v>13951</v>
      </c>
      <c r="C5560" s="2" t="s">
        <v>61</v>
      </c>
      <c r="D5560" s="2" t="s">
        <v>50</v>
      </c>
      <c r="E5560" s="5">
        <v>-30797</v>
      </c>
      <c r="F5560" s="3" t="s">
        <v>248</v>
      </c>
      <c r="G5560" s="3" t="s">
        <v>249</v>
      </c>
      <c r="H5560" s="2" t="s">
        <v>72</v>
      </c>
      <c r="I5560" s="2" t="s">
        <v>13952</v>
      </c>
      <c r="J5560" s="3" t="str">
        <f>HYPERLINK("https://www.boe.es/gazeta/dias/1815/09/05/pdfs/GMD-1815-110.pdf#page=3","Abrir facsímil")</f>
        <v>Abrir facsímil</v>
      </c>
      <c r="K5560" s="3" t="s">
        <v>74</v>
      </c>
    </row>
    <row r="5561" spans="1:11" ht="42" customHeight="1">
      <c r="A5561" s="2" t="s">
        <v>13951</v>
      </c>
      <c r="B5561" s="2" t="s">
        <v>13951</v>
      </c>
      <c r="C5561" s="2" t="s">
        <v>49</v>
      </c>
      <c r="D5561" s="2" t="s">
        <v>50</v>
      </c>
      <c r="E5561" s="5">
        <v>-30788</v>
      </c>
      <c r="F5561" s="3" t="s">
        <v>96</v>
      </c>
      <c r="G5561" s="3" t="s">
        <v>377</v>
      </c>
      <c r="H5561" s="2" t="s">
        <v>72</v>
      </c>
      <c r="I5561" s="2" t="s">
        <v>13953</v>
      </c>
      <c r="J5561" s="3" t="str">
        <f>HYPERLINK("https://www.boe.es/gazeta/dias/1815/09/14/pdfs/GMD-1815-114.pdf#page=2","Abrir facsímil")</f>
        <v>Abrir facsímil</v>
      </c>
      <c r="K5561" s="3" t="s">
        <v>74</v>
      </c>
    </row>
    <row r="5562" spans="1:11" ht="42" customHeight="1">
      <c r="A5562" s="2" t="s">
        <v>13954</v>
      </c>
      <c r="B5562" s="2" t="s">
        <v>13955</v>
      </c>
      <c r="C5562" s="2" t="s">
        <v>61</v>
      </c>
      <c r="D5562" s="2" t="s">
        <v>50</v>
      </c>
      <c r="E5562" s="5">
        <v>-31019</v>
      </c>
      <c r="F5562" s="3" t="s">
        <v>1094</v>
      </c>
      <c r="G5562" s="3" t="s">
        <v>410</v>
      </c>
      <c r="H5562" s="2" t="s">
        <v>72</v>
      </c>
      <c r="I5562" s="2" t="s">
        <v>13956</v>
      </c>
      <c r="J5562" s="3" t="str">
        <f>HYPERLINK("https://www.boe.es/gazeta/dias/1815/01/26/pdfs/GMD-1815-11.pdf#page=1","Abrir facsímil")</f>
        <v>Abrir facsímil</v>
      </c>
      <c r="K5562" s="3" t="s">
        <v>74</v>
      </c>
    </row>
    <row r="5563" spans="1:11" ht="42" customHeight="1">
      <c r="A5563" s="2" t="s">
        <v>13957</v>
      </c>
      <c r="B5563" s="2" t="s">
        <v>13958</v>
      </c>
      <c r="C5563" s="2" t="s">
        <v>31</v>
      </c>
      <c r="D5563" s="2" t="s">
        <v>32</v>
      </c>
      <c r="E5563" s="5">
        <v>-31007</v>
      </c>
      <c r="F5563" s="3" t="s">
        <v>200</v>
      </c>
      <c r="G5563" s="3" t="s">
        <v>224</v>
      </c>
      <c r="H5563" s="2" t="s">
        <v>72</v>
      </c>
      <c r="I5563" s="2" t="s">
        <v>13959</v>
      </c>
      <c r="J5563" s="3" t="str">
        <f>HYPERLINK("https://www.boe.es/gazeta/dias/1815/02/07/pdfs/GMD-1815-16.pdf#page=9","Abrir facsímil")</f>
        <v>Abrir facsímil</v>
      </c>
      <c r="K5563" s="3" t="s">
        <v>74</v>
      </c>
    </row>
    <row r="5564" spans="1:11" ht="42" customHeight="1">
      <c r="A5564" s="2" t="s">
        <v>13960</v>
      </c>
      <c r="B5564" s="2" t="s">
        <v>13961</v>
      </c>
      <c r="C5564" s="2" t="s">
        <v>17</v>
      </c>
      <c r="D5564" s="2" t="s">
        <v>18</v>
      </c>
      <c r="E5564" s="5">
        <v>-30709</v>
      </c>
      <c r="F5564" s="3" t="s">
        <v>314</v>
      </c>
      <c r="G5564" s="3" t="s">
        <v>13908</v>
      </c>
      <c r="H5564" s="2" t="s">
        <v>72</v>
      </c>
      <c r="I5564" s="2" t="s">
        <v>13962</v>
      </c>
      <c r="J5564" s="3" t="str">
        <f>HYPERLINK("https://www.boe.es/gazeta/dias/1815/12/02/pdfs/GMD-1815-150.pdf#page=4","Abrir facsímil")</f>
        <v>Abrir facsímil</v>
      </c>
      <c r="K5564" s="3" t="s">
        <v>74</v>
      </c>
    </row>
    <row r="5565" spans="1:11" ht="42" customHeight="1">
      <c r="A5565" s="2" t="s">
        <v>13963</v>
      </c>
      <c r="B5565" s="2" t="s">
        <v>13964</v>
      </c>
      <c r="C5565" s="2" t="s">
        <v>49</v>
      </c>
      <c r="D5565" s="2" t="s">
        <v>50</v>
      </c>
      <c r="E5565" s="5">
        <v>-30886</v>
      </c>
      <c r="F5565" s="3" t="s">
        <v>140</v>
      </c>
      <c r="G5565" s="3" t="s">
        <v>38</v>
      </c>
      <c r="H5565" s="2" t="s">
        <v>72</v>
      </c>
      <c r="I5565" s="2" t="s">
        <v>13965</v>
      </c>
      <c r="J5565" s="3" t="str">
        <f>HYPERLINK("https://www.boe.es/gazeta/dias/1815/06/08/pdfs/GMD-1815-69.pdf#page=8","Abrir facsímil")</f>
        <v>Abrir facsímil</v>
      </c>
      <c r="K5565" s="3" t="s">
        <v>74</v>
      </c>
    </row>
    <row r="5566" spans="1:11" ht="42" customHeight="1">
      <c r="A5566" s="2" t="s">
        <v>13966</v>
      </c>
      <c r="B5566" s="2" t="s">
        <v>13967</v>
      </c>
      <c r="C5566" s="2" t="s">
        <v>49</v>
      </c>
      <c r="D5566" s="2" t="s">
        <v>50</v>
      </c>
      <c r="E5566" s="5">
        <v>-30886</v>
      </c>
      <c r="F5566" s="3" t="s">
        <v>140</v>
      </c>
      <c r="G5566" s="3" t="s">
        <v>224</v>
      </c>
      <c r="H5566" s="2" t="s">
        <v>72</v>
      </c>
      <c r="I5566" s="2" t="s">
        <v>13968</v>
      </c>
      <c r="J5566" s="3" t="str">
        <f>HYPERLINK("https://www.boe.es/gazeta/dias/1815/06/08/pdfs/GMD-1815-69.pdf#page=9","Abrir facsímil")</f>
        <v>Abrir facsímil</v>
      </c>
      <c r="K5566" s="3" t="s">
        <v>74</v>
      </c>
    </row>
    <row r="5567" spans="1:11" ht="42" customHeight="1">
      <c r="A5567" s="2" t="s">
        <v>13969</v>
      </c>
      <c r="B5567" s="2" t="s">
        <v>13969</v>
      </c>
      <c r="C5567" s="2" t="s">
        <v>31</v>
      </c>
      <c r="D5567" s="2" t="s">
        <v>32</v>
      </c>
      <c r="E5567" s="5">
        <v>-30921</v>
      </c>
      <c r="F5567" s="3" t="s">
        <v>191</v>
      </c>
      <c r="G5567" s="3" t="s">
        <v>20</v>
      </c>
      <c r="H5567" s="2" t="s">
        <v>72</v>
      </c>
      <c r="I5567" s="2" t="s">
        <v>13970</v>
      </c>
      <c r="J5567" s="3" t="str">
        <f>HYPERLINK("https://www.boe.es/gazeta/dias/1815/05/04/pdfs/GMD-1815-54.pdf#page=4","Abrir facsímil")</f>
        <v>Abrir facsímil</v>
      </c>
      <c r="K5567" s="3" t="s">
        <v>74</v>
      </c>
    </row>
    <row r="5568" spans="1:11" ht="42" customHeight="1">
      <c r="A5568" s="2" t="s">
        <v>13971</v>
      </c>
      <c r="B5568" s="2" t="s">
        <v>13971</v>
      </c>
      <c r="C5568" s="2" t="s">
        <v>31</v>
      </c>
      <c r="D5568" s="2" t="s">
        <v>32</v>
      </c>
      <c r="E5568" s="5">
        <v>-30818</v>
      </c>
      <c r="F5568" s="3" t="s">
        <v>334</v>
      </c>
      <c r="G5568" s="3" t="s">
        <v>97</v>
      </c>
      <c r="H5568" s="2" t="s">
        <v>72</v>
      </c>
      <c r="I5568" s="2" t="s">
        <v>13972</v>
      </c>
      <c r="J5568" s="3" t="str">
        <f>HYPERLINK("https://www.boe.es/gazeta/dias/1815/08/15/pdfs/GMD-1815-100.pdf#page=3","Abrir facsímil")</f>
        <v>Abrir facsímil</v>
      </c>
      <c r="K5568" s="3" t="s">
        <v>74</v>
      </c>
    </row>
    <row r="5569" spans="1:11" ht="42" customHeight="1">
      <c r="A5569" s="2" t="s">
        <v>13973</v>
      </c>
      <c r="B5569" s="2" t="s">
        <v>13974</v>
      </c>
      <c r="C5569" s="2" t="s">
        <v>897</v>
      </c>
      <c r="D5569" s="2" t="s">
        <v>50</v>
      </c>
      <c r="E5569" s="5">
        <v>-30886</v>
      </c>
      <c r="F5569" s="3" t="s">
        <v>140</v>
      </c>
      <c r="G5569" s="3" t="s">
        <v>57</v>
      </c>
      <c r="H5569" s="2" t="s">
        <v>21</v>
      </c>
      <c r="I5569" s="2" t="s">
        <v>13975</v>
      </c>
      <c r="J5569" s="3" t="str">
        <f>HYPERLINK("https://www.boe.es/gazeta/dias/1815/06/08/pdfs/GMD-1815-69.pdf#page=5","Abrir facsímil")</f>
        <v>Abrir facsímil</v>
      </c>
      <c r="K5569" s="3" t="s">
        <v>23</v>
      </c>
    </row>
    <row r="5570" spans="1:11" ht="42" customHeight="1">
      <c r="A5570" s="2" t="s">
        <v>13976</v>
      </c>
      <c r="B5570" s="2" t="s">
        <v>13976</v>
      </c>
      <c r="C5570" s="2" t="s">
        <v>31</v>
      </c>
      <c r="D5570" s="2" t="s">
        <v>32</v>
      </c>
      <c r="E5570" s="5">
        <v>-30823</v>
      </c>
      <c r="F5570" s="3" t="s">
        <v>305</v>
      </c>
      <c r="G5570" s="3" t="s">
        <v>97</v>
      </c>
      <c r="H5570" s="2" t="s">
        <v>72</v>
      </c>
      <c r="I5570" s="2" t="s">
        <v>13977</v>
      </c>
      <c r="J5570" s="3" t="str">
        <f>HYPERLINK("https://www.boe.es/gazeta/dias/1815/08/10/pdfs/GMD-1815-98.pdf#page=3","Abrir facsímil")</f>
        <v>Abrir facsímil</v>
      </c>
      <c r="K5570" s="3" t="s">
        <v>74</v>
      </c>
    </row>
    <row r="5571" spans="1:11" ht="42" customHeight="1">
      <c r="A5571" s="2" t="s">
        <v>13978</v>
      </c>
      <c r="B5571" s="2" t="s">
        <v>13978</v>
      </c>
      <c r="C5571" s="2" t="s">
        <v>49</v>
      </c>
      <c r="D5571" s="2" t="s">
        <v>50</v>
      </c>
      <c r="E5571" s="5">
        <v>-30844</v>
      </c>
      <c r="F5571" s="3" t="s">
        <v>114</v>
      </c>
      <c r="G5571" s="3" t="s">
        <v>5693</v>
      </c>
      <c r="H5571" s="2" t="s">
        <v>72</v>
      </c>
      <c r="I5571" s="2" t="s">
        <v>13979</v>
      </c>
      <c r="J5571" s="3" t="str">
        <f>HYPERLINK("https://www.boe.es/gazeta/dias/1815/07/20/pdfs/GMD-1815-89.pdf#page=2","Abrir facsímil")</f>
        <v>Abrir facsímil</v>
      </c>
      <c r="K5571" s="3" t="s">
        <v>74</v>
      </c>
    </row>
    <row r="5572" spans="1:11" ht="42" customHeight="1">
      <c r="A5572" s="2" t="s">
        <v>13980</v>
      </c>
      <c r="B5572" s="2" t="s">
        <v>13981</v>
      </c>
      <c r="C5572" s="2" t="s">
        <v>31</v>
      </c>
      <c r="D5572" s="2" t="s">
        <v>32</v>
      </c>
      <c r="E5572" s="5">
        <v>-30790</v>
      </c>
      <c r="F5572" s="3" t="s">
        <v>285</v>
      </c>
      <c r="G5572" s="3" t="s">
        <v>410</v>
      </c>
      <c r="H5572" s="2" t="s">
        <v>72</v>
      </c>
      <c r="I5572" s="2" t="s">
        <v>13982</v>
      </c>
      <c r="J5572" s="3" t="str">
        <f>HYPERLINK("https://www.boe.es/gazeta/dias/1815/09/12/pdfs/GMD-1815-113.pdf#page=1","Abrir facsímil")</f>
        <v>Abrir facsímil</v>
      </c>
      <c r="K5572" s="3" t="s">
        <v>74</v>
      </c>
    </row>
    <row r="5573" spans="1:11" ht="42" customHeight="1">
      <c r="A5573" s="2" t="s">
        <v>13983</v>
      </c>
      <c r="B5573" s="2" t="s">
        <v>13983</v>
      </c>
      <c r="C5573" s="2" t="s">
        <v>31</v>
      </c>
      <c r="D5573" s="2" t="s">
        <v>32</v>
      </c>
      <c r="E5573" s="5">
        <v>-30802</v>
      </c>
      <c r="F5573" s="3" t="s">
        <v>1393</v>
      </c>
      <c r="G5573" s="3" t="s">
        <v>410</v>
      </c>
      <c r="H5573" s="2" t="s">
        <v>72</v>
      </c>
      <c r="I5573" s="2" t="s">
        <v>13984</v>
      </c>
      <c r="J5573" s="3" t="str">
        <f>HYPERLINK("https://www.boe.es/gazeta/dias/1815/08/31/pdfs/GMD-1815-107.pdf#page=1","Abrir facsímil")</f>
        <v>Abrir facsímil</v>
      </c>
      <c r="K5573" s="3" t="s">
        <v>74</v>
      </c>
    </row>
    <row r="5574" spans="1:11" ht="42" customHeight="1">
      <c r="A5574" s="2" t="s">
        <v>13985</v>
      </c>
      <c r="B5574" s="2" t="s">
        <v>13985</v>
      </c>
      <c r="C5574" s="2" t="s">
        <v>17</v>
      </c>
      <c r="D5574" s="2" t="s">
        <v>18</v>
      </c>
      <c r="E5574" s="5">
        <v>-30846</v>
      </c>
      <c r="F5574" s="3" t="s">
        <v>858</v>
      </c>
      <c r="G5574" s="3" t="s">
        <v>27</v>
      </c>
      <c r="H5574" s="2" t="s">
        <v>72</v>
      </c>
      <c r="I5574" s="2" t="s">
        <v>13986</v>
      </c>
      <c r="J5574" s="3" t="str">
        <f>HYPERLINK("https://www.boe.es/gazeta/dias/1815/07/18/pdfs/GMD-1815-88.pdf#page=6","Abrir facsímil")</f>
        <v>Abrir facsímil</v>
      </c>
      <c r="K5574" s="3" t="s">
        <v>74</v>
      </c>
    </row>
    <row r="5575" spans="1:11" ht="42" customHeight="1">
      <c r="A5575" s="2" t="s">
        <v>13987</v>
      </c>
      <c r="B5575" s="2" t="s">
        <v>13987</v>
      </c>
      <c r="C5575" s="2" t="s">
        <v>31</v>
      </c>
      <c r="D5575" s="2" t="s">
        <v>32</v>
      </c>
      <c r="E5575" s="5">
        <v>-30832</v>
      </c>
      <c r="F5575" s="3" t="s">
        <v>266</v>
      </c>
      <c r="G5575" s="3" t="s">
        <v>20</v>
      </c>
      <c r="H5575" s="2" t="s">
        <v>72</v>
      </c>
      <c r="I5575" s="2" t="s">
        <v>13988</v>
      </c>
      <c r="J5575" s="3" t="str">
        <f>HYPERLINK("https://www.boe.es/gazeta/dias/1815/08/01/pdfs/GMD-1815-94.pdf#page=4","Abrir facsímil")</f>
        <v>Abrir facsímil</v>
      </c>
      <c r="K5575" s="3" t="s">
        <v>74</v>
      </c>
    </row>
    <row r="5576" spans="1:11" ht="42" customHeight="1">
      <c r="A5576" s="2" t="s">
        <v>13989</v>
      </c>
      <c r="B5576" s="2" t="s">
        <v>13989</v>
      </c>
      <c r="C5576" s="2" t="s">
        <v>31</v>
      </c>
      <c r="D5576" s="2" t="s">
        <v>32</v>
      </c>
      <c r="E5576" s="5">
        <v>-30748</v>
      </c>
      <c r="F5576" s="3" t="s">
        <v>2077</v>
      </c>
      <c r="G5576" s="3" t="s">
        <v>20</v>
      </c>
      <c r="H5576" s="2" t="s">
        <v>72</v>
      </c>
      <c r="I5576" s="2" t="s">
        <v>13990</v>
      </c>
      <c r="J5576" s="3" t="str">
        <f>HYPERLINK("https://www.boe.es/gazeta/dias/1815/10/24/pdfs/GMD-1815-133.pdf#page=4","Abrir facsímil")</f>
        <v>Abrir facsímil</v>
      </c>
      <c r="K5576" s="3" t="s">
        <v>74</v>
      </c>
    </row>
    <row r="5577" spans="1:11" ht="42" customHeight="1">
      <c r="A5577" s="2" t="s">
        <v>13991</v>
      </c>
      <c r="B5577" s="2" t="s">
        <v>13992</v>
      </c>
      <c r="C5577" s="2" t="s">
        <v>49</v>
      </c>
      <c r="D5577" s="2" t="s">
        <v>50</v>
      </c>
      <c r="E5577" s="5">
        <v>-30886</v>
      </c>
      <c r="F5577" s="3" t="s">
        <v>140</v>
      </c>
      <c r="G5577" s="3" t="s">
        <v>38</v>
      </c>
      <c r="H5577" s="2" t="s">
        <v>72</v>
      </c>
      <c r="I5577" s="2" t="s">
        <v>13993</v>
      </c>
      <c r="J5577" s="3" t="str">
        <f>HYPERLINK("https://www.boe.es/gazeta/dias/1815/06/08/pdfs/GMD-1815-69.pdf#page=8","Abrir facsímil")</f>
        <v>Abrir facsímil</v>
      </c>
      <c r="K5577" s="3" t="s">
        <v>74</v>
      </c>
    </row>
    <row r="5578" spans="1:11" ht="42" customHeight="1">
      <c r="A5578" s="2" t="s">
        <v>13994</v>
      </c>
      <c r="B5578" s="2" t="s">
        <v>13994</v>
      </c>
      <c r="C5578" s="2" t="s">
        <v>31</v>
      </c>
      <c r="D5578" s="2" t="s">
        <v>32</v>
      </c>
      <c r="E5578" s="5">
        <v>-30849</v>
      </c>
      <c r="F5578" s="3" t="s">
        <v>501</v>
      </c>
      <c r="G5578" s="3" t="s">
        <v>97</v>
      </c>
      <c r="H5578" s="2" t="s">
        <v>72</v>
      </c>
      <c r="I5578" s="2" t="s">
        <v>13995</v>
      </c>
      <c r="J5578" s="3" t="str">
        <f>HYPERLINK("https://www.boe.es/gazeta/dias/1815/07/15/pdfs/GMD-1815-87.pdf#page=3","Abrir facsímil")</f>
        <v>Abrir facsímil</v>
      </c>
      <c r="K5578" s="3" t="s">
        <v>74</v>
      </c>
    </row>
    <row r="5579" spans="1:11" ht="42" customHeight="1">
      <c r="A5579" s="2" t="s">
        <v>13996</v>
      </c>
      <c r="B5579" s="2" t="s">
        <v>13996</v>
      </c>
      <c r="C5579" s="2" t="s">
        <v>31</v>
      </c>
      <c r="D5579" s="2" t="s">
        <v>179</v>
      </c>
      <c r="E5579" s="5">
        <v>-30863</v>
      </c>
      <c r="F5579" s="3" t="s">
        <v>2024</v>
      </c>
      <c r="G5579" s="3" t="s">
        <v>5585</v>
      </c>
      <c r="H5579" s="2" t="s">
        <v>72</v>
      </c>
      <c r="I5579" s="2" t="s">
        <v>13997</v>
      </c>
      <c r="J5579" s="3" t="str">
        <f>HYPERLINK("https://www.boe.es/gazeta/dias/1815/07/01/pdfs/GMD-1815-80E.pdf#page=3","Abrir facsímil")</f>
        <v>Abrir facsímil</v>
      </c>
      <c r="K5579" s="3" t="s">
        <v>74</v>
      </c>
    </row>
    <row r="5580" spans="1:11" ht="42" customHeight="1">
      <c r="A5580" s="2" t="s">
        <v>13998</v>
      </c>
      <c r="B5580" s="2" t="s">
        <v>13998</v>
      </c>
      <c r="C5580" s="2" t="s">
        <v>31</v>
      </c>
      <c r="D5580" s="2" t="s">
        <v>32</v>
      </c>
      <c r="E5580" s="5">
        <v>-30718</v>
      </c>
      <c r="F5580" s="3" t="s">
        <v>3115</v>
      </c>
      <c r="G5580" s="3" t="s">
        <v>57</v>
      </c>
      <c r="H5580" s="2" t="s">
        <v>72</v>
      </c>
      <c r="I5580" s="2" t="s">
        <v>13999</v>
      </c>
      <c r="J5580" s="3" t="str">
        <f>HYPERLINK("https://www.boe.es/gazeta/dias/1815/11/23/pdfs/GMD-1815-146.pdf#page=5","Abrir facsímil")</f>
        <v>Abrir facsímil</v>
      </c>
      <c r="K5580" s="3" t="s">
        <v>74</v>
      </c>
    </row>
    <row r="5581" spans="1:11" ht="42" customHeight="1">
      <c r="A5581" s="2" t="s">
        <v>14000</v>
      </c>
      <c r="B5581" s="2" t="s">
        <v>14001</v>
      </c>
      <c r="C5581" s="2" t="s">
        <v>17</v>
      </c>
      <c r="D5581" s="2" t="s">
        <v>18</v>
      </c>
      <c r="E5581" s="5">
        <v>-30886</v>
      </c>
      <c r="F5581" s="3" t="s">
        <v>140</v>
      </c>
      <c r="G5581" s="3" t="s">
        <v>20</v>
      </c>
      <c r="H5581" s="2" t="s">
        <v>72</v>
      </c>
      <c r="I5581" s="2" t="s">
        <v>14002</v>
      </c>
      <c r="J5581" s="3" t="str">
        <f>HYPERLINK("https://www.boe.es/gazeta/dias/1815/06/08/pdfs/GMD-1815-69.pdf#page=4","Abrir facsímil")</f>
        <v>Abrir facsímil</v>
      </c>
      <c r="K5581" s="3" t="s">
        <v>74</v>
      </c>
    </row>
    <row r="5582" spans="1:11" ht="42" customHeight="1">
      <c r="A5582" s="2" t="s">
        <v>14000</v>
      </c>
      <c r="B5582" s="2" t="s">
        <v>14001</v>
      </c>
      <c r="C5582" s="2" t="s">
        <v>49</v>
      </c>
      <c r="D5582" s="2" t="s">
        <v>50</v>
      </c>
      <c r="E5582" s="5">
        <v>-30886</v>
      </c>
      <c r="F5582" s="3" t="s">
        <v>140</v>
      </c>
      <c r="G5582" s="3" t="s">
        <v>57</v>
      </c>
      <c r="H5582" s="2" t="s">
        <v>72</v>
      </c>
      <c r="I5582" s="2" t="s">
        <v>14003</v>
      </c>
      <c r="J5582" s="3" t="str">
        <f>HYPERLINK("https://www.boe.es/gazeta/dias/1815/06/08/pdfs/GMD-1815-69.pdf#page=5","Abrir facsímil")</f>
        <v>Abrir facsímil</v>
      </c>
      <c r="K5582" s="3" t="s">
        <v>74</v>
      </c>
    </row>
    <row r="5583" spans="1:11" ht="42" customHeight="1">
      <c r="A5583" s="2" t="s">
        <v>14004</v>
      </c>
      <c r="B5583" s="2" t="s">
        <v>14004</v>
      </c>
      <c r="C5583" s="2" t="s">
        <v>31</v>
      </c>
      <c r="D5583" s="2" t="s">
        <v>32</v>
      </c>
      <c r="E5583" s="5">
        <v>-30877</v>
      </c>
      <c r="F5583" s="3" t="s">
        <v>548</v>
      </c>
      <c r="G5583" s="3" t="s">
        <v>97</v>
      </c>
      <c r="H5583" s="2" t="s">
        <v>72</v>
      </c>
      <c r="I5583" s="2" t="s">
        <v>14005</v>
      </c>
      <c r="J5583" s="3" t="str">
        <f>HYPERLINK("https://www.boe.es/gazeta/dias/1815/06/17/pdfs/GMD-1815-73.pdf#page=3","Abrir facsímil")</f>
        <v>Abrir facsímil</v>
      </c>
      <c r="K5583" s="3" t="s">
        <v>74</v>
      </c>
    </row>
    <row r="5584" spans="1:11" ht="42" customHeight="1">
      <c r="A5584" s="2" t="s">
        <v>14006</v>
      </c>
      <c r="B5584" s="2" t="s">
        <v>14006</v>
      </c>
      <c r="C5584" s="2" t="s">
        <v>31</v>
      </c>
      <c r="D5584" s="2" t="s">
        <v>32</v>
      </c>
      <c r="E5584" s="5">
        <v>-30928</v>
      </c>
      <c r="F5584" s="3" t="s">
        <v>330</v>
      </c>
      <c r="G5584" s="3" t="s">
        <v>97</v>
      </c>
      <c r="H5584" s="2" t="s">
        <v>72</v>
      </c>
      <c r="I5584" s="2" t="s">
        <v>14007</v>
      </c>
      <c r="J5584" s="3" t="str">
        <f>HYPERLINK("https://www.boe.es/gazeta/dias/1815/04/27/pdfs/GMD-1815-51.pdf#page=3","Abrir facsímil")</f>
        <v>Abrir facsímil</v>
      </c>
      <c r="K5584" s="3" t="s">
        <v>74</v>
      </c>
    </row>
    <row r="5585" spans="1:11" ht="42" customHeight="1">
      <c r="A5585" s="2" t="s">
        <v>14006</v>
      </c>
      <c r="B5585" s="2" t="s">
        <v>14006</v>
      </c>
      <c r="C5585" s="2" t="s">
        <v>31</v>
      </c>
      <c r="D5585" s="2" t="s">
        <v>32</v>
      </c>
      <c r="E5585" s="5">
        <v>-30921</v>
      </c>
      <c r="F5585" s="3" t="s">
        <v>191</v>
      </c>
      <c r="G5585" s="3" t="s">
        <v>410</v>
      </c>
      <c r="H5585" s="2" t="s">
        <v>72</v>
      </c>
      <c r="I5585" s="2" t="s">
        <v>14008</v>
      </c>
      <c r="J5585" s="3" t="str">
        <f>HYPERLINK("https://www.boe.es/gazeta/dias/1815/05/04/pdfs/GMD-1815-54.pdf#page=1","Abrir facsímil")</f>
        <v>Abrir facsímil</v>
      </c>
      <c r="K5585" s="3" t="s">
        <v>74</v>
      </c>
    </row>
    <row r="5586" spans="1:11" ht="42" customHeight="1">
      <c r="A5586" s="2" t="s">
        <v>14006</v>
      </c>
      <c r="B5586" s="2" t="s">
        <v>14006</v>
      </c>
      <c r="C5586" s="2" t="s">
        <v>31</v>
      </c>
      <c r="D5586" s="2" t="s">
        <v>32</v>
      </c>
      <c r="E5586" s="5">
        <v>-30919</v>
      </c>
      <c r="F5586" s="3" t="s">
        <v>792</v>
      </c>
      <c r="G5586" s="3" t="s">
        <v>410</v>
      </c>
      <c r="H5586" s="2" t="s">
        <v>72</v>
      </c>
      <c r="I5586" s="2" t="s">
        <v>14009</v>
      </c>
      <c r="J5586" s="3" t="str">
        <f>HYPERLINK("https://www.boe.es/gazeta/dias/1815/05/06/pdfs/GMD-1815-55.pdf#page=1","Abrir facsímil")</f>
        <v>Abrir facsímil</v>
      </c>
      <c r="K5586" s="3" t="s">
        <v>74</v>
      </c>
    </row>
    <row r="5587" spans="1:11" ht="42" customHeight="1">
      <c r="A5587" s="2" t="s">
        <v>14006</v>
      </c>
      <c r="B5587" s="2" t="s">
        <v>14006</v>
      </c>
      <c r="C5587" s="2" t="s">
        <v>31</v>
      </c>
      <c r="D5587" s="2" t="s">
        <v>32</v>
      </c>
      <c r="E5587" s="5">
        <v>-30907</v>
      </c>
      <c r="F5587" s="3" t="s">
        <v>301</v>
      </c>
      <c r="G5587" s="3" t="s">
        <v>410</v>
      </c>
      <c r="H5587" s="2" t="s">
        <v>72</v>
      </c>
      <c r="I5587" s="2" t="s">
        <v>14010</v>
      </c>
      <c r="J5587" s="3" t="str">
        <f>HYPERLINK("https://www.boe.es/gazeta/dias/1815/05/18/pdfs/GMD-1815-60.pdf#page=1","Abrir facsímil")</f>
        <v>Abrir facsímil</v>
      </c>
      <c r="K5587" s="3" t="s">
        <v>74</v>
      </c>
    </row>
    <row r="5588" spans="1:11" ht="42" customHeight="1">
      <c r="A5588" s="2" t="s">
        <v>14006</v>
      </c>
      <c r="B5588" s="2" t="s">
        <v>14006</v>
      </c>
      <c r="C5588" s="2" t="s">
        <v>31</v>
      </c>
      <c r="D5588" s="2" t="s">
        <v>32</v>
      </c>
      <c r="E5588" s="5">
        <v>-30905</v>
      </c>
      <c r="F5588" s="3" t="s">
        <v>901</v>
      </c>
      <c r="G5588" s="3" t="s">
        <v>57</v>
      </c>
      <c r="H5588" s="2" t="s">
        <v>72</v>
      </c>
      <c r="I5588" s="2" t="s">
        <v>14011</v>
      </c>
      <c r="J5588" s="3" t="str">
        <f>HYPERLINK("https://www.boe.es/gazeta/dias/1815/05/20/pdfs/GMD-1815-61.pdf#page=5","Abrir facsímil")</f>
        <v>Abrir facsímil</v>
      </c>
      <c r="K5588" s="3" t="s">
        <v>74</v>
      </c>
    </row>
    <row r="5589" spans="1:11" ht="42" customHeight="1">
      <c r="A5589" s="2" t="s">
        <v>14006</v>
      </c>
      <c r="B5589" s="2" t="s">
        <v>14006</v>
      </c>
      <c r="C5589" s="2" t="s">
        <v>31</v>
      </c>
      <c r="D5589" s="2" t="s">
        <v>32</v>
      </c>
      <c r="E5589" s="5">
        <v>-30849</v>
      </c>
      <c r="F5589" s="3" t="s">
        <v>501</v>
      </c>
      <c r="G5589" s="3" t="s">
        <v>377</v>
      </c>
      <c r="H5589" s="2" t="s">
        <v>72</v>
      </c>
      <c r="I5589" s="2" t="s">
        <v>14012</v>
      </c>
      <c r="J5589" s="3" t="str">
        <f>HYPERLINK("https://www.boe.es/gazeta/dias/1815/07/15/pdfs/GMD-1815-87.pdf#page=2","Abrir facsímil")</f>
        <v>Abrir facsímil</v>
      </c>
      <c r="K5589" s="3" t="s">
        <v>74</v>
      </c>
    </row>
    <row r="5590" spans="1:11" ht="42" customHeight="1">
      <c r="A5590" s="2" t="s">
        <v>14006</v>
      </c>
      <c r="B5590" s="2" t="s">
        <v>14006</v>
      </c>
      <c r="C5590" s="2" t="s">
        <v>31</v>
      </c>
      <c r="D5590" s="2" t="s">
        <v>32</v>
      </c>
      <c r="E5590" s="5">
        <v>-30849</v>
      </c>
      <c r="F5590" s="3" t="s">
        <v>501</v>
      </c>
      <c r="G5590" s="3" t="s">
        <v>97</v>
      </c>
      <c r="H5590" s="2" t="s">
        <v>72</v>
      </c>
      <c r="I5590" s="2" t="s">
        <v>14013</v>
      </c>
      <c r="J5590" s="3" t="str">
        <f>HYPERLINK("https://www.boe.es/gazeta/dias/1815/07/15/pdfs/GMD-1815-87.pdf#page=3","Abrir facsímil")</f>
        <v>Abrir facsímil</v>
      </c>
      <c r="K5590" s="3" t="s">
        <v>74</v>
      </c>
    </row>
    <row r="5591" spans="1:11" ht="42" customHeight="1">
      <c r="A5591" s="2" t="s">
        <v>14006</v>
      </c>
      <c r="B5591" s="2" t="s">
        <v>14006</v>
      </c>
      <c r="C5591" s="2" t="s">
        <v>31</v>
      </c>
      <c r="D5591" s="2" t="s">
        <v>32</v>
      </c>
      <c r="E5591" s="5">
        <v>-30849</v>
      </c>
      <c r="F5591" s="3" t="s">
        <v>501</v>
      </c>
      <c r="G5591" s="3" t="s">
        <v>20</v>
      </c>
      <c r="H5591" s="2" t="s">
        <v>72</v>
      </c>
      <c r="I5591" s="2" t="s">
        <v>14014</v>
      </c>
      <c r="J5591" s="3" t="str">
        <f>HYPERLINK("https://www.boe.es/gazeta/dias/1815/07/15/pdfs/GMD-1815-87.pdf#page=4","Abrir facsímil")</f>
        <v>Abrir facsímil</v>
      </c>
      <c r="K5591" s="3" t="s">
        <v>74</v>
      </c>
    </row>
    <row r="5592" spans="1:11" ht="42" customHeight="1">
      <c r="A5592" s="2" t="s">
        <v>14006</v>
      </c>
      <c r="B5592" s="2" t="s">
        <v>14006</v>
      </c>
      <c r="C5592" s="2" t="s">
        <v>31</v>
      </c>
      <c r="D5592" s="2" t="s">
        <v>32</v>
      </c>
      <c r="E5592" s="5">
        <v>-30776</v>
      </c>
      <c r="F5592" s="3" t="s">
        <v>118</v>
      </c>
      <c r="G5592" s="3" t="s">
        <v>97</v>
      </c>
      <c r="H5592" s="2" t="s">
        <v>72</v>
      </c>
      <c r="I5592" s="2" t="s">
        <v>14015</v>
      </c>
      <c r="J5592" s="3" t="str">
        <f>HYPERLINK("https://www.boe.es/gazeta/dias/1815/09/26/pdfs/GMD-1815-119.pdf#page=3","Abrir facsímil")</f>
        <v>Abrir facsímil</v>
      </c>
      <c r="K5592" s="3" t="s">
        <v>74</v>
      </c>
    </row>
    <row r="5593" spans="1:11" ht="42" customHeight="1">
      <c r="A5593" s="2" t="s">
        <v>14006</v>
      </c>
      <c r="B5593" s="2" t="s">
        <v>14006</v>
      </c>
      <c r="C5593" s="2" t="s">
        <v>31</v>
      </c>
      <c r="D5593" s="2" t="s">
        <v>32</v>
      </c>
      <c r="E5593" s="5">
        <v>-30746</v>
      </c>
      <c r="F5593" s="3" t="s">
        <v>3203</v>
      </c>
      <c r="G5593" s="3" t="s">
        <v>97</v>
      </c>
      <c r="H5593" s="2" t="s">
        <v>72</v>
      </c>
      <c r="I5593" s="2" t="s">
        <v>14016</v>
      </c>
      <c r="J5593" s="3" t="str">
        <f>HYPERLINK("https://www.boe.es/gazeta/dias/1815/10/26/pdfs/GMD-1815-134.pdf#page=3","Abrir facsímil")</f>
        <v>Abrir facsímil</v>
      </c>
      <c r="K5593" s="3" t="s">
        <v>74</v>
      </c>
    </row>
    <row r="5594" spans="1:11" ht="42" customHeight="1">
      <c r="A5594" s="2" t="s">
        <v>14006</v>
      </c>
      <c r="B5594" s="2" t="s">
        <v>14006</v>
      </c>
      <c r="C5594" s="2" t="s">
        <v>31</v>
      </c>
      <c r="D5594" s="2" t="s">
        <v>32</v>
      </c>
      <c r="E5594" s="5">
        <v>-30734</v>
      </c>
      <c r="F5594" s="3" t="s">
        <v>376</v>
      </c>
      <c r="G5594" s="3" t="s">
        <v>20</v>
      </c>
      <c r="H5594" s="2" t="s">
        <v>72</v>
      </c>
      <c r="I5594" s="2" t="s">
        <v>14017</v>
      </c>
      <c r="J5594" s="3" t="str">
        <f>HYPERLINK("https://www.boe.es/gazeta/dias/1815/11/07/pdfs/GMD-1815-139.pdf#page=4","Abrir facsímil")</f>
        <v>Abrir facsímil</v>
      </c>
      <c r="K5594" s="3" t="s">
        <v>74</v>
      </c>
    </row>
    <row r="5595" spans="1:11" ht="42" customHeight="1">
      <c r="A5595" s="2" t="s">
        <v>14006</v>
      </c>
      <c r="B5595" s="2" t="s">
        <v>14006</v>
      </c>
      <c r="C5595" s="2" t="s">
        <v>81</v>
      </c>
      <c r="D5595" s="2" t="s">
        <v>50</v>
      </c>
      <c r="E5595" s="5">
        <v>-30732</v>
      </c>
      <c r="F5595" s="3" t="s">
        <v>554</v>
      </c>
      <c r="G5595" s="3" t="s">
        <v>57</v>
      </c>
      <c r="H5595" s="2" t="s">
        <v>72</v>
      </c>
      <c r="I5595" s="2" t="s">
        <v>14018</v>
      </c>
      <c r="J5595" s="3" t="str">
        <f>HYPERLINK("https://www.boe.es/gazeta/dias/1815/11/09/pdfs/GMD-1815-140.pdf#page=5","Abrir facsímil")</f>
        <v>Abrir facsímil</v>
      </c>
      <c r="K5595" s="3" t="s">
        <v>74</v>
      </c>
    </row>
    <row r="5596" spans="1:11" ht="42" customHeight="1">
      <c r="A5596" s="2" t="s">
        <v>14019</v>
      </c>
      <c r="B5596" s="2" t="s">
        <v>14019</v>
      </c>
      <c r="C5596" s="2" t="s">
        <v>31</v>
      </c>
      <c r="D5596" s="2" t="s">
        <v>32</v>
      </c>
      <c r="E5596" s="5">
        <v>-30713</v>
      </c>
      <c r="F5596" s="3" t="s">
        <v>895</v>
      </c>
      <c r="G5596" s="3" t="s">
        <v>97</v>
      </c>
      <c r="H5596" s="2" t="s">
        <v>72</v>
      </c>
      <c r="I5596" s="2" t="s">
        <v>14020</v>
      </c>
      <c r="J5596" s="3" t="str">
        <f>HYPERLINK("https://www.boe.es/gazeta/dias/1815/11/28/pdfs/GMD-1815-148.pdf#page=3","Abrir facsímil")</f>
        <v>Abrir facsímil</v>
      </c>
      <c r="K5596" s="3" t="s">
        <v>74</v>
      </c>
    </row>
    <row r="5597" spans="1:11" ht="42" customHeight="1">
      <c r="A5597" s="2" t="s">
        <v>14021</v>
      </c>
      <c r="B5597" s="2" t="s">
        <v>14021</v>
      </c>
      <c r="C5597" s="2" t="s">
        <v>17</v>
      </c>
      <c r="D5597" s="2" t="s">
        <v>18</v>
      </c>
      <c r="E5597" s="5">
        <v>-30732</v>
      </c>
      <c r="F5597" s="3" t="s">
        <v>554</v>
      </c>
      <c r="G5597" s="3" t="s">
        <v>410</v>
      </c>
      <c r="H5597" s="2" t="s">
        <v>72</v>
      </c>
      <c r="I5597" s="2" t="s">
        <v>14022</v>
      </c>
      <c r="J5597" s="3" t="str">
        <f>HYPERLINK("https://www.boe.es/gazeta/dias/1815/11/09/pdfs/GMD-1815-140.pdf#page=1","Abrir facsímil")</f>
        <v>Abrir facsímil</v>
      </c>
      <c r="K5597" s="3" t="s">
        <v>74</v>
      </c>
    </row>
    <row r="5598" spans="1:11" ht="42" customHeight="1">
      <c r="A5598" s="2" t="s">
        <v>14023</v>
      </c>
      <c r="B5598" s="2" t="s">
        <v>14023</v>
      </c>
      <c r="C5598" s="2" t="s">
        <v>49</v>
      </c>
      <c r="D5598" s="2" t="s">
        <v>50</v>
      </c>
      <c r="E5598" s="5">
        <v>-31031</v>
      </c>
      <c r="F5598" s="3" t="s">
        <v>105</v>
      </c>
      <c r="G5598" s="3" t="s">
        <v>377</v>
      </c>
      <c r="H5598" s="2" t="s">
        <v>72</v>
      </c>
      <c r="I5598" s="2" t="s">
        <v>14024</v>
      </c>
      <c r="J5598" s="3" t="str">
        <f>HYPERLINK("https://www.boe.es/gazeta/dias/1815/01/14/pdfs/GMD-1815-6.pdf#page=2","Abrir facsímil")</f>
        <v>Abrir facsímil</v>
      </c>
      <c r="K5598" s="3" t="s">
        <v>74</v>
      </c>
    </row>
    <row r="5599" spans="1:11" ht="42" customHeight="1">
      <c r="A5599" s="2" t="s">
        <v>14025</v>
      </c>
      <c r="B5599" s="2" t="s">
        <v>14025</v>
      </c>
      <c r="C5599" s="2" t="s">
        <v>897</v>
      </c>
      <c r="D5599" s="2" t="s">
        <v>50</v>
      </c>
      <c r="E5599" s="5">
        <v>-31026</v>
      </c>
      <c r="F5599" s="3" t="s">
        <v>874</v>
      </c>
      <c r="G5599" s="3" t="s">
        <v>20</v>
      </c>
      <c r="H5599" s="2" t="s">
        <v>72</v>
      </c>
      <c r="I5599" s="2" t="s">
        <v>14026</v>
      </c>
      <c r="J5599" s="3" t="str">
        <f>HYPERLINK("https://www.boe.es/gazeta/dias/1815/01/19/pdfs/GMD-1815-8.pdf#page=4","Abrir facsímil")</f>
        <v>Abrir facsímil</v>
      </c>
      <c r="K5599" s="3" t="s">
        <v>74</v>
      </c>
    </row>
    <row r="5600" spans="1:11" ht="42" customHeight="1">
      <c r="A5600" s="2" t="s">
        <v>14027</v>
      </c>
      <c r="B5600" s="2" t="s">
        <v>14027</v>
      </c>
      <c r="C5600" s="2" t="s">
        <v>31</v>
      </c>
      <c r="D5600" s="2" t="s">
        <v>32</v>
      </c>
      <c r="E5600" s="5">
        <v>-30765</v>
      </c>
      <c r="F5600" s="3" t="s">
        <v>2150</v>
      </c>
      <c r="G5600" s="3" t="s">
        <v>377</v>
      </c>
      <c r="H5600" s="2" t="s">
        <v>72</v>
      </c>
      <c r="I5600" s="2" t="s">
        <v>14028</v>
      </c>
      <c r="J5600" s="3" t="str">
        <f>HYPERLINK("https://www.boe.es/gazeta/dias/1815/10/07/pdfs/GMD-1815-126.pdf#page=2","Abrir facsímil")</f>
        <v>Abrir facsímil</v>
      </c>
      <c r="K5600" s="3" t="s">
        <v>74</v>
      </c>
    </row>
    <row r="5601" spans="1:11" ht="42" customHeight="1">
      <c r="A5601" s="2" t="s">
        <v>14029</v>
      </c>
      <c r="B5601" s="2" t="s">
        <v>14029</v>
      </c>
      <c r="C5601" s="2" t="s">
        <v>31</v>
      </c>
      <c r="D5601" s="2" t="s">
        <v>179</v>
      </c>
      <c r="E5601" s="5">
        <v>-30860</v>
      </c>
      <c r="F5601" s="3" t="s">
        <v>180</v>
      </c>
      <c r="G5601" s="3" t="s">
        <v>27</v>
      </c>
      <c r="H5601" s="2" t="s">
        <v>72</v>
      </c>
      <c r="I5601" s="2" t="s">
        <v>14030</v>
      </c>
      <c r="J5601" s="3" t="str">
        <f>HYPERLINK("https://www.boe.es/gazeta/dias/1815/07/04/pdfs/GMD-1815-82E.pdf#page=6","Abrir facsímil")</f>
        <v>Abrir facsímil</v>
      </c>
      <c r="K5601" s="3" t="s">
        <v>74</v>
      </c>
    </row>
    <row r="5602" spans="1:11" ht="42" customHeight="1">
      <c r="A5602" s="2" t="s">
        <v>14031</v>
      </c>
      <c r="B5602" s="2" t="s">
        <v>14031</v>
      </c>
      <c r="C5602" s="2" t="s">
        <v>31</v>
      </c>
      <c r="D5602" s="2" t="s">
        <v>32</v>
      </c>
      <c r="E5602" s="5">
        <v>-31012</v>
      </c>
      <c r="F5602" s="3" t="s">
        <v>529</v>
      </c>
      <c r="G5602" s="3" t="s">
        <v>97</v>
      </c>
      <c r="H5602" s="2" t="s">
        <v>72</v>
      </c>
      <c r="I5602" s="2" t="s">
        <v>14032</v>
      </c>
      <c r="J5602" s="3" t="str">
        <f>HYPERLINK("https://www.boe.es/gazeta/dias/1815/02/02/pdfs/GMD-1815-14.pdf#page=3","Abrir facsímil")</f>
        <v>Abrir facsímil</v>
      </c>
      <c r="K5602" s="3" t="s">
        <v>74</v>
      </c>
    </row>
    <row r="5603" spans="1:11" ht="42" customHeight="1">
      <c r="A5603" s="2" t="s">
        <v>14033</v>
      </c>
      <c r="B5603" s="2" t="s">
        <v>14033</v>
      </c>
      <c r="C5603" s="2" t="s">
        <v>31</v>
      </c>
      <c r="D5603" s="2" t="s">
        <v>32</v>
      </c>
      <c r="E5603" s="5">
        <v>-30718</v>
      </c>
      <c r="F5603" s="3" t="s">
        <v>3115</v>
      </c>
      <c r="G5603" s="3" t="s">
        <v>6058</v>
      </c>
      <c r="H5603" s="2" t="s">
        <v>72</v>
      </c>
      <c r="I5603" s="2" t="s">
        <v>14034</v>
      </c>
      <c r="J5603" s="3" t="str">
        <f>HYPERLINK("https://www.boe.es/gazeta/dias/1815/11/23/pdfs/GMD-1815-146.pdf#page=4","Abrir facsímil")</f>
        <v>Abrir facsímil</v>
      </c>
      <c r="K5603" s="3" t="s">
        <v>74</v>
      </c>
    </row>
    <row r="5604" spans="1:11" ht="42" customHeight="1">
      <c r="A5604" s="2" t="s">
        <v>14035</v>
      </c>
      <c r="B5604" s="2" t="s">
        <v>14035</v>
      </c>
      <c r="C5604" s="2" t="s">
        <v>31</v>
      </c>
      <c r="D5604" s="2" t="s">
        <v>32</v>
      </c>
      <c r="E5604" s="5">
        <v>-30823</v>
      </c>
      <c r="F5604" s="3" t="s">
        <v>305</v>
      </c>
      <c r="G5604" s="3" t="s">
        <v>57</v>
      </c>
      <c r="H5604" s="2" t="s">
        <v>72</v>
      </c>
      <c r="I5604" s="2" t="s">
        <v>14036</v>
      </c>
      <c r="J5604" s="3" t="str">
        <f>HYPERLINK("https://www.boe.es/gazeta/dias/1815/08/10/pdfs/GMD-1815-98.pdf#page=5","Abrir facsímil")</f>
        <v>Abrir facsímil</v>
      </c>
      <c r="K5604" s="3" t="s">
        <v>74</v>
      </c>
    </row>
    <row r="5605" spans="1:11" ht="42" customHeight="1">
      <c r="A5605" s="2" t="s">
        <v>14037</v>
      </c>
      <c r="B5605" s="2" t="s">
        <v>14037</v>
      </c>
      <c r="C5605" s="2" t="s">
        <v>31</v>
      </c>
      <c r="D5605" s="2" t="s">
        <v>32</v>
      </c>
      <c r="E5605" s="5">
        <v>-30870</v>
      </c>
      <c r="F5605" s="3" t="s">
        <v>122</v>
      </c>
      <c r="G5605" s="3" t="s">
        <v>57</v>
      </c>
      <c r="H5605" s="2" t="s">
        <v>72</v>
      </c>
      <c r="I5605" s="2" t="s">
        <v>14038</v>
      </c>
      <c r="J5605" s="3" t="str">
        <f>HYPERLINK("https://www.boe.es/gazeta/dias/1815/06/24/pdfs/GMD-1815-76.pdf#page=5","Abrir facsímil")</f>
        <v>Abrir facsímil</v>
      </c>
      <c r="K5605" s="3" t="s">
        <v>74</v>
      </c>
    </row>
    <row r="5606" spans="1:11" ht="42" customHeight="1">
      <c r="A5606" s="2" t="s">
        <v>14037</v>
      </c>
      <c r="B5606" s="2" t="s">
        <v>14037</v>
      </c>
      <c r="C5606" s="2" t="s">
        <v>31</v>
      </c>
      <c r="D5606" s="2" t="s">
        <v>32</v>
      </c>
      <c r="E5606" s="5">
        <v>-30849</v>
      </c>
      <c r="F5606" s="3" t="s">
        <v>501</v>
      </c>
      <c r="G5606" s="3" t="s">
        <v>52</v>
      </c>
      <c r="H5606" s="2" t="s">
        <v>72</v>
      </c>
      <c r="I5606" s="2" t="s">
        <v>14039</v>
      </c>
      <c r="J5606" s="3" t="str">
        <f>HYPERLINK("https://www.boe.es/gazeta/dias/1815/07/15/pdfs/GMD-1815-87.pdf#page=11","Abrir facsímil")</f>
        <v>Abrir facsímil</v>
      </c>
      <c r="K5606" s="3" t="s">
        <v>74</v>
      </c>
    </row>
    <row r="5607" spans="1:11" ht="42" customHeight="1">
      <c r="A5607" s="2" t="s">
        <v>14037</v>
      </c>
      <c r="B5607" s="2" t="s">
        <v>14037</v>
      </c>
      <c r="C5607" s="2" t="s">
        <v>31</v>
      </c>
      <c r="D5607" s="2" t="s">
        <v>32</v>
      </c>
      <c r="E5607" s="5">
        <v>-30776</v>
      </c>
      <c r="F5607" s="3" t="s">
        <v>118</v>
      </c>
      <c r="G5607" s="3" t="s">
        <v>377</v>
      </c>
      <c r="H5607" s="2" t="s">
        <v>72</v>
      </c>
      <c r="I5607" s="2" t="s">
        <v>14040</v>
      </c>
      <c r="J5607" s="3" t="str">
        <f>HYPERLINK("https://www.boe.es/gazeta/dias/1815/09/26/pdfs/GMD-1815-119.pdf#page=2","Abrir facsímil")</f>
        <v>Abrir facsímil</v>
      </c>
      <c r="K5607" s="3" t="s">
        <v>74</v>
      </c>
    </row>
    <row r="5608" spans="1:11" ht="42" customHeight="1">
      <c r="A5608" s="2" t="s">
        <v>14041</v>
      </c>
      <c r="B5608" s="2" t="s">
        <v>14041</v>
      </c>
      <c r="C5608" s="2" t="s">
        <v>31</v>
      </c>
      <c r="D5608" s="2" t="s">
        <v>32</v>
      </c>
      <c r="E5608" s="5">
        <v>-30921</v>
      </c>
      <c r="F5608" s="3" t="s">
        <v>191</v>
      </c>
      <c r="G5608" s="3" t="s">
        <v>20</v>
      </c>
      <c r="H5608" s="2" t="s">
        <v>72</v>
      </c>
      <c r="I5608" s="2" t="s">
        <v>14042</v>
      </c>
      <c r="J5608" s="3" t="str">
        <f>HYPERLINK("https://www.boe.es/gazeta/dias/1815/05/04/pdfs/GMD-1815-54.pdf#page=4","Abrir facsímil")</f>
        <v>Abrir facsímil</v>
      </c>
      <c r="K5608" s="3" t="s">
        <v>74</v>
      </c>
    </row>
    <row r="5609" spans="1:11" ht="42" customHeight="1">
      <c r="A5609" s="2" t="s">
        <v>14043</v>
      </c>
      <c r="B5609" s="2" t="s">
        <v>14043</v>
      </c>
      <c r="C5609" s="2" t="s">
        <v>31</v>
      </c>
      <c r="D5609" s="2" t="s">
        <v>32</v>
      </c>
      <c r="E5609" s="5">
        <v>-30923</v>
      </c>
      <c r="F5609" s="3" t="s">
        <v>524</v>
      </c>
      <c r="G5609" s="3" t="s">
        <v>410</v>
      </c>
      <c r="H5609" s="2" t="s">
        <v>72</v>
      </c>
      <c r="I5609" s="2" t="s">
        <v>14044</v>
      </c>
      <c r="J5609" s="3" t="str">
        <f>HYPERLINK("https://www.boe.es/gazeta/dias/1815/05/02/pdfs/GMD-1815-53.pdf#page=1","Abrir facsímil")</f>
        <v>Abrir facsímil</v>
      </c>
      <c r="K5609" s="3" t="s">
        <v>74</v>
      </c>
    </row>
    <row r="5610" spans="1:11" ht="42" customHeight="1">
      <c r="A5610" s="2" t="s">
        <v>14043</v>
      </c>
      <c r="B5610" s="2" t="s">
        <v>14043</v>
      </c>
      <c r="C5610" s="2" t="s">
        <v>31</v>
      </c>
      <c r="D5610" s="2" t="s">
        <v>32</v>
      </c>
      <c r="E5610" s="5">
        <v>-30797</v>
      </c>
      <c r="F5610" s="3" t="s">
        <v>248</v>
      </c>
      <c r="G5610" s="3" t="s">
        <v>377</v>
      </c>
      <c r="H5610" s="2" t="s">
        <v>72</v>
      </c>
      <c r="I5610" s="2" t="s">
        <v>14045</v>
      </c>
      <c r="J5610" s="3" t="str">
        <f>HYPERLINK("https://www.boe.es/gazeta/dias/1815/09/05/pdfs/GMD-1815-110.pdf#page=2","Abrir facsímil")</f>
        <v>Abrir facsímil</v>
      </c>
      <c r="K5610" s="3" t="s">
        <v>74</v>
      </c>
    </row>
    <row r="5611" spans="1:11" ht="42" customHeight="1">
      <c r="A5611" s="2" t="s">
        <v>14046</v>
      </c>
      <c r="B5611" s="2" t="s">
        <v>14046</v>
      </c>
      <c r="C5611" s="2" t="s">
        <v>31</v>
      </c>
      <c r="D5611" s="2" t="s">
        <v>32</v>
      </c>
      <c r="E5611" s="5">
        <v>-30937</v>
      </c>
      <c r="F5611" s="3" t="s">
        <v>322</v>
      </c>
      <c r="G5611" s="3" t="s">
        <v>20</v>
      </c>
      <c r="H5611" s="2" t="s">
        <v>72</v>
      </c>
      <c r="I5611" s="2" t="s">
        <v>14047</v>
      </c>
      <c r="J5611" s="3" t="str">
        <f>HYPERLINK("https://www.boe.es/gazeta/dias/1815/04/18/pdfs/GMD-1815-47.pdf#page=4","Abrir facsímil")</f>
        <v>Abrir facsímil</v>
      </c>
      <c r="K5611" s="3" t="s">
        <v>74</v>
      </c>
    </row>
    <row r="5612" spans="1:11" ht="42" customHeight="1">
      <c r="A5612" s="2" t="s">
        <v>14048</v>
      </c>
      <c r="B5612" s="2" t="s">
        <v>14048</v>
      </c>
      <c r="C5612" s="2" t="s">
        <v>894</v>
      </c>
      <c r="D5612" s="2" t="s">
        <v>18</v>
      </c>
      <c r="E5612" s="5">
        <v>-30772</v>
      </c>
      <c r="F5612" s="3" t="s">
        <v>216</v>
      </c>
      <c r="G5612" s="3" t="s">
        <v>410</v>
      </c>
      <c r="H5612" s="2" t="s">
        <v>72</v>
      </c>
      <c r="I5612" s="2" t="s">
        <v>14049</v>
      </c>
      <c r="J5612" s="3" t="str">
        <f>HYPERLINK("https://www.boe.es/gazeta/dias/1815/09/30/pdfs/GMD-1815-123.pdf#page=1","Abrir facsímil")</f>
        <v>Abrir facsímil</v>
      </c>
      <c r="K5612" s="3" t="s">
        <v>74</v>
      </c>
    </row>
    <row r="5613" spans="1:11" ht="42" customHeight="1">
      <c r="A5613" s="2" t="s">
        <v>14050</v>
      </c>
      <c r="B5613" s="2" t="s">
        <v>14050</v>
      </c>
      <c r="C5613" s="2" t="s">
        <v>31</v>
      </c>
      <c r="D5613" s="2" t="s">
        <v>32</v>
      </c>
      <c r="E5613" s="5">
        <v>-30769</v>
      </c>
      <c r="F5613" s="3" t="s">
        <v>1641</v>
      </c>
      <c r="G5613" s="3" t="s">
        <v>12819</v>
      </c>
      <c r="H5613" s="2" t="s">
        <v>72</v>
      </c>
      <c r="I5613" s="2" t="s">
        <v>14051</v>
      </c>
      <c r="J5613" s="3" t="str">
        <f>HYPERLINK("https://www.boe.es/gazeta/dias/1815/10/03/pdfs/GMD-1815-124.pdf#page=4","Abrir facsímil")</f>
        <v>Abrir facsímil</v>
      </c>
      <c r="K5613" s="3" t="s">
        <v>74</v>
      </c>
    </row>
    <row r="5614" spans="1:11" ht="42" customHeight="1">
      <c r="A5614" s="2" t="s">
        <v>14052</v>
      </c>
      <c r="B5614" s="2" t="s">
        <v>14052</v>
      </c>
      <c r="C5614" s="2" t="s">
        <v>31</v>
      </c>
      <c r="D5614" s="2" t="s">
        <v>32</v>
      </c>
      <c r="E5614" s="5">
        <v>-30849</v>
      </c>
      <c r="F5614" s="3" t="s">
        <v>501</v>
      </c>
      <c r="G5614" s="3" t="s">
        <v>88</v>
      </c>
      <c r="H5614" s="2" t="s">
        <v>72</v>
      </c>
      <c r="I5614" s="2" t="s">
        <v>14053</v>
      </c>
      <c r="J5614" s="3" t="str">
        <f>HYPERLINK("https://www.boe.es/gazeta/dias/1815/07/15/pdfs/GMD-1815-87.pdf#page=10","Abrir facsímil")</f>
        <v>Abrir facsímil</v>
      </c>
      <c r="K5614" s="3" t="s">
        <v>74</v>
      </c>
    </row>
    <row r="5615" spans="1:11" ht="42" customHeight="1">
      <c r="A5615" s="2" t="s">
        <v>14054</v>
      </c>
      <c r="B5615" s="2" t="s">
        <v>14054</v>
      </c>
      <c r="C5615" s="2" t="s">
        <v>31</v>
      </c>
      <c r="D5615" s="2" t="s">
        <v>32</v>
      </c>
      <c r="E5615" s="5">
        <v>-30867</v>
      </c>
      <c r="F5615" s="3" t="s">
        <v>3179</v>
      </c>
      <c r="G5615" s="3" t="s">
        <v>377</v>
      </c>
      <c r="H5615" s="2" t="s">
        <v>72</v>
      </c>
      <c r="I5615" s="2" t="s">
        <v>14055</v>
      </c>
      <c r="J5615" s="3" t="str">
        <f>HYPERLINK("https://www.boe.es/gazeta/dias/1815/06/27/pdfs/GMD-1815-77.pdf#page=2","Abrir facsímil")</f>
        <v>Abrir facsímil</v>
      </c>
      <c r="K5615" s="3" t="s">
        <v>74</v>
      </c>
    </row>
    <row r="5616" spans="1:11" ht="42" customHeight="1">
      <c r="A5616" s="2" t="s">
        <v>14054</v>
      </c>
      <c r="B5616" s="2" t="s">
        <v>14054</v>
      </c>
      <c r="C5616" s="2" t="s">
        <v>31</v>
      </c>
      <c r="D5616" s="2" t="s">
        <v>32</v>
      </c>
      <c r="E5616" s="5">
        <v>-30739</v>
      </c>
      <c r="F5616" s="3" t="s">
        <v>254</v>
      </c>
      <c r="G5616" s="3" t="s">
        <v>377</v>
      </c>
      <c r="H5616" s="2" t="s">
        <v>72</v>
      </c>
      <c r="I5616" s="2" t="s">
        <v>14056</v>
      </c>
      <c r="J5616" s="3" t="str">
        <f>HYPERLINK("https://www.boe.es/gazeta/dias/1815/11/02/pdfs/GMD-1815-137.pdf#page=2","Abrir facsímil")</f>
        <v>Abrir facsímil</v>
      </c>
      <c r="K5616" s="3" t="s">
        <v>74</v>
      </c>
    </row>
    <row r="5617" spans="1:11" ht="42" customHeight="1">
      <c r="A5617" s="2" t="s">
        <v>14057</v>
      </c>
      <c r="B5617" s="2" t="s">
        <v>14057</v>
      </c>
      <c r="C5617" s="2" t="s">
        <v>31</v>
      </c>
      <c r="D5617" s="2" t="s">
        <v>32</v>
      </c>
      <c r="E5617" s="5">
        <v>-30739</v>
      </c>
      <c r="F5617" s="3" t="s">
        <v>254</v>
      </c>
      <c r="G5617" s="3" t="s">
        <v>20</v>
      </c>
      <c r="H5617" s="2" t="s">
        <v>72</v>
      </c>
      <c r="I5617" s="2" t="s">
        <v>14058</v>
      </c>
      <c r="J5617" s="3" t="str">
        <f>HYPERLINK("https://www.boe.es/gazeta/dias/1815/11/02/pdfs/GMD-1815-137.pdf#page=4","Abrir facsímil")</f>
        <v>Abrir facsímil</v>
      </c>
      <c r="K5617" s="3" t="s">
        <v>74</v>
      </c>
    </row>
    <row r="5618" spans="1:11" ht="42" customHeight="1">
      <c r="A5618" s="2" t="s">
        <v>14059</v>
      </c>
      <c r="B5618" s="2" t="s">
        <v>14059</v>
      </c>
      <c r="C5618" s="2" t="s">
        <v>31</v>
      </c>
      <c r="D5618" s="2" t="s">
        <v>32</v>
      </c>
      <c r="E5618" s="5">
        <v>-30823</v>
      </c>
      <c r="F5618" s="3" t="s">
        <v>305</v>
      </c>
      <c r="G5618" s="3" t="s">
        <v>410</v>
      </c>
      <c r="H5618" s="2" t="s">
        <v>72</v>
      </c>
      <c r="I5618" s="2" t="s">
        <v>14060</v>
      </c>
      <c r="J5618" s="3" t="str">
        <f>HYPERLINK("https://www.boe.es/gazeta/dias/1815/08/10/pdfs/GMD-1815-98.pdf#page=1","Abrir facsímil")</f>
        <v>Abrir facsímil</v>
      </c>
      <c r="K5618" s="3" t="s">
        <v>74</v>
      </c>
    </row>
    <row r="5619" spans="1:11" ht="42" customHeight="1">
      <c r="A5619" s="2" t="s">
        <v>14061</v>
      </c>
      <c r="B5619" s="2" t="s">
        <v>14061</v>
      </c>
      <c r="C5619" s="2" t="s">
        <v>31</v>
      </c>
      <c r="D5619" s="2" t="s">
        <v>32</v>
      </c>
      <c r="E5619" s="5">
        <v>-30937</v>
      </c>
      <c r="F5619" s="3" t="s">
        <v>322</v>
      </c>
      <c r="G5619" s="3" t="s">
        <v>97</v>
      </c>
      <c r="H5619" s="2" t="s">
        <v>72</v>
      </c>
      <c r="I5619" s="2" t="s">
        <v>14062</v>
      </c>
      <c r="J5619" s="3" t="str">
        <f>HYPERLINK("https://www.boe.es/gazeta/dias/1815/04/18/pdfs/GMD-1815-47.pdf#page=3","Abrir facsímil")</f>
        <v>Abrir facsímil</v>
      </c>
      <c r="K5619" s="3" t="s">
        <v>74</v>
      </c>
    </row>
    <row r="5620" spans="1:11" ht="42" customHeight="1">
      <c r="A5620" s="2" t="s">
        <v>14061</v>
      </c>
      <c r="B5620" s="2" t="s">
        <v>14061</v>
      </c>
      <c r="C5620" s="2" t="s">
        <v>31</v>
      </c>
      <c r="D5620" s="2" t="s">
        <v>32</v>
      </c>
      <c r="E5620" s="5">
        <v>-30837</v>
      </c>
      <c r="F5620" s="3" t="s">
        <v>2256</v>
      </c>
      <c r="G5620" s="3" t="s">
        <v>377</v>
      </c>
      <c r="H5620" s="2" t="s">
        <v>72</v>
      </c>
      <c r="I5620" s="2" t="s">
        <v>14063</v>
      </c>
      <c r="J5620" s="3" t="str">
        <f>HYPERLINK("https://www.boe.es/gazeta/dias/1815/07/27/pdfs/GMD-1815-92.pdf#page=2","Abrir facsímil")</f>
        <v>Abrir facsímil</v>
      </c>
      <c r="K5620" s="3" t="s">
        <v>74</v>
      </c>
    </row>
    <row r="5621" spans="1:11" ht="42" customHeight="1">
      <c r="A5621" s="2" t="s">
        <v>14061</v>
      </c>
      <c r="B5621" s="2" t="s">
        <v>14061</v>
      </c>
      <c r="C5621" s="2" t="s">
        <v>31</v>
      </c>
      <c r="D5621" s="2" t="s">
        <v>32</v>
      </c>
      <c r="E5621" s="5">
        <v>-30832</v>
      </c>
      <c r="F5621" s="3" t="s">
        <v>266</v>
      </c>
      <c r="G5621" s="3" t="s">
        <v>20</v>
      </c>
      <c r="H5621" s="2" t="s">
        <v>72</v>
      </c>
      <c r="I5621" s="2" t="s">
        <v>14064</v>
      </c>
      <c r="J5621" s="3" t="str">
        <f>HYPERLINK("https://www.boe.es/gazeta/dias/1815/08/01/pdfs/GMD-1815-94.pdf#page=4","Abrir facsímil")</f>
        <v>Abrir facsímil</v>
      </c>
      <c r="K5621" s="3" t="s">
        <v>74</v>
      </c>
    </row>
    <row r="5622" spans="1:11" ht="42" customHeight="1">
      <c r="A5622" s="2" t="s">
        <v>14061</v>
      </c>
      <c r="B5622" s="2" t="s">
        <v>14061</v>
      </c>
      <c r="C5622" s="2" t="s">
        <v>31</v>
      </c>
      <c r="D5622" s="2" t="s">
        <v>32</v>
      </c>
      <c r="E5622" s="5">
        <v>-30823</v>
      </c>
      <c r="F5622" s="3" t="s">
        <v>305</v>
      </c>
      <c r="G5622" s="3" t="s">
        <v>410</v>
      </c>
      <c r="H5622" s="2" t="s">
        <v>72</v>
      </c>
      <c r="I5622" s="2" t="s">
        <v>14065</v>
      </c>
      <c r="J5622" s="3" t="str">
        <f>HYPERLINK("https://www.boe.es/gazeta/dias/1815/08/10/pdfs/GMD-1815-98.pdf#page=1","Abrir facsímil")</f>
        <v>Abrir facsímil</v>
      </c>
      <c r="K5622" s="3" t="s">
        <v>74</v>
      </c>
    </row>
    <row r="5623" spans="1:11" ht="42" customHeight="1">
      <c r="A5623" s="2" t="s">
        <v>14066</v>
      </c>
      <c r="B5623" s="2" t="s">
        <v>14067</v>
      </c>
      <c r="C5623" s="2" t="s">
        <v>31</v>
      </c>
      <c r="D5623" s="2" t="s">
        <v>32</v>
      </c>
      <c r="E5623" s="5">
        <v>-30790</v>
      </c>
      <c r="F5623" s="3" t="s">
        <v>285</v>
      </c>
      <c r="G5623" s="3" t="s">
        <v>377</v>
      </c>
      <c r="H5623" s="2" t="s">
        <v>72</v>
      </c>
      <c r="I5623" s="2" t="s">
        <v>14068</v>
      </c>
      <c r="J5623" s="3" t="str">
        <f>HYPERLINK("https://www.boe.es/gazeta/dias/1815/09/12/pdfs/GMD-1815-113.pdf#page=2","Abrir facsímil")</f>
        <v>Abrir facsímil</v>
      </c>
      <c r="K5623" s="3" t="s">
        <v>74</v>
      </c>
    </row>
    <row r="5624" spans="1:11" ht="42" customHeight="1">
      <c r="A5624" s="2" t="s">
        <v>14069</v>
      </c>
      <c r="B5624" s="2" t="s">
        <v>14070</v>
      </c>
      <c r="C5624" s="2" t="s">
        <v>31</v>
      </c>
      <c r="D5624" s="2" t="s">
        <v>32</v>
      </c>
      <c r="E5624" s="5">
        <v>-30823</v>
      </c>
      <c r="F5624" s="3" t="s">
        <v>305</v>
      </c>
      <c r="G5624" s="3" t="s">
        <v>377</v>
      </c>
      <c r="H5624" s="2" t="s">
        <v>72</v>
      </c>
      <c r="I5624" s="2" t="s">
        <v>14071</v>
      </c>
      <c r="J5624" s="3" t="str">
        <f>HYPERLINK("https://www.boe.es/gazeta/dias/1815/08/10/pdfs/GMD-1815-98.pdf#page=2","Abrir facsímil")</f>
        <v>Abrir facsímil</v>
      </c>
      <c r="K5624" s="3" t="s">
        <v>74</v>
      </c>
    </row>
    <row r="5625" spans="1:11" ht="42" customHeight="1">
      <c r="A5625" s="2" t="s">
        <v>14072</v>
      </c>
      <c r="B5625" s="2" t="s">
        <v>14073</v>
      </c>
      <c r="C5625" s="2" t="s">
        <v>31</v>
      </c>
      <c r="D5625" s="2" t="s">
        <v>32</v>
      </c>
      <c r="E5625" s="5">
        <v>-30835</v>
      </c>
      <c r="F5625" s="3" t="s">
        <v>544</v>
      </c>
      <c r="G5625" s="3" t="s">
        <v>97</v>
      </c>
      <c r="H5625" s="2" t="s">
        <v>72</v>
      </c>
      <c r="I5625" s="2" t="s">
        <v>14074</v>
      </c>
      <c r="J5625" s="3" t="str">
        <f>HYPERLINK("https://www.boe.es/gazeta/dias/1815/07/29/pdfs/GMD-1815-93.pdf#page=3","Abrir facsímil")</f>
        <v>Abrir facsímil</v>
      </c>
      <c r="K5625" s="3" t="s">
        <v>74</v>
      </c>
    </row>
    <row r="5626" spans="1:11" ht="42" customHeight="1">
      <c r="A5626" s="2" t="s">
        <v>14072</v>
      </c>
      <c r="B5626" s="2" t="s">
        <v>14073</v>
      </c>
      <c r="C5626" s="2" t="s">
        <v>31</v>
      </c>
      <c r="D5626" s="2" t="s">
        <v>32</v>
      </c>
      <c r="E5626" s="5">
        <v>-30832</v>
      </c>
      <c r="F5626" s="3" t="s">
        <v>266</v>
      </c>
      <c r="G5626" s="3" t="s">
        <v>57</v>
      </c>
      <c r="H5626" s="2" t="s">
        <v>72</v>
      </c>
      <c r="I5626" s="2" t="s">
        <v>14075</v>
      </c>
      <c r="J5626" s="3" t="str">
        <f>HYPERLINK("https://www.boe.es/gazeta/dias/1815/08/01/pdfs/GMD-1815-94.pdf#page=5","Abrir facsímil")</f>
        <v>Abrir facsímil</v>
      </c>
      <c r="K5626" s="3" t="s">
        <v>74</v>
      </c>
    </row>
    <row r="5627" spans="1:11" ht="42" customHeight="1">
      <c r="A5627" s="2" t="s">
        <v>14072</v>
      </c>
      <c r="B5627" s="2" t="s">
        <v>14073</v>
      </c>
      <c r="C5627" s="2" t="s">
        <v>31</v>
      </c>
      <c r="D5627" s="2" t="s">
        <v>32</v>
      </c>
      <c r="E5627" s="5">
        <v>-30744</v>
      </c>
      <c r="F5627" s="3" t="s">
        <v>391</v>
      </c>
      <c r="G5627" s="3" t="s">
        <v>97</v>
      </c>
      <c r="H5627" s="2" t="s">
        <v>72</v>
      </c>
      <c r="I5627" s="2" t="s">
        <v>14076</v>
      </c>
      <c r="J5627" s="3" t="str">
        <f>HYPERLINK("https://www.boe.es/gazeta/dias/1815/10/28/pdfs/GMD-1815-135.pdf#page=3","Abrir facsímil")</f>
        <v>Abrir facsímil</v>
      </c>
      <c r="K5627" s="3" t="s">
        <v>74</v>
      </c>
    </row>
    <row r="5628" spans="1:11" ht="42" customHeight="1">
      <c r="A5628" s="2" t="s">
        <v>14072</v>
      </c>
      <c r="B5628" s="2" t="s">
        <v>14073</v>
      </c>
      <c r="C5628" s="2" t="s">
        <v>49</v>
      </c>
      <c r="D5628" s="2" t="s">
        <v>50</v>
      </c>
      <c r="E5628" s="5">
        <v>-30697</v>
      </c>
      <c r="F5628" s="3" t="s">
        <v>381</v>
      </c>
      <c r="G5628" s="3" t="s">
        <v>410</v>
      </c>
      <c r="H5628" s="2" t="s">
        <v>72</v>
      </c>
      <c r="I5628" s="2" t="s">
        <v>14077</v>
      </c>
      <c r="J5628" s="3" t="str">
        <f>HYPERLINK("https://www.boe.es/gazeta/dias/1815/12/14/pdfs/GMD-1815-155.pdf#page=1","Abrir facsímil")</f>
        <v>Abrir facsímil</v>
      </c>
      <c r="K5628" s="3" t="s">
        <v>74</v>
      </c>
    </row>
    <row r="5629" spans="1:11" ht="42" customHeight="1">
      <c r="A5629" s="2" t="s">
        <v>14078</v>
      </c>
      <c r="B5629" s="2" t="s">
        <v>14079</v>
      </c>
      <c r="C5629" s="2" t="s">
        <v>61</v>
      </c>
      <c r="D5629" s="2" t="s">
        <v>50</v>
      </c>
      <c r="E5629" s="5">
        <v>-30839</v>
      </c>
      <c r="F5629" s="3" t="s">
        <v>616</v>
      </c>
      <c r="G5629" s="3" t="s">
        <v>57</v>
      </c>
      <c r="H5629" s="2" t="s">
        <v>72</v>
      </c>
      <c r="I5629" s="2" t="s">
        <v>14080</v>
      </c>
      <c r="J5629" s="3" t="str">
        <f>HYPERLINK("https://www.boe.es/gazeta/dias/1815/07/25/pdfs/GMD-1815-91.pdf#page=5","Abrir facsímil")</f>
        <v>Abrir facsímil</v>
      </c>
      <c r="K5629" s="3" t="s">
        <v>74</v>
      </c>
    </row>
    <row r="5630" spans="1:11" ht="42" customHeight="1">
      <c r="A5630" s="2" t="s">
        <v>14081</v>
      </c>
      <c r="B5630" s="2" t="s">
        <v>14082</v>
      </c>
      <c r="C5630" s="2" t="s">
        <v>31</v>
      </c>
      <c r="D5630" s="2" t="s">
        <v>32</v>
      </c>
      <c r="E5630" s="5">
        <v>-30849</v>
      </c>
      <c r="F5630" s="3" t="s">
        <v>501</v>
      </c>
      <c r="G5630" s="3" t="s">
        <v>52</v>
      </c>
      <c r="H5630" s="2" t="s">
        <v>72</v>
      </c>
      <c r="I5630" s="2" t="s">
        <v>14083</v>
      </c>
      <c r="J5630" s="3" t="str">
        <f>HYPERLINK("https://www.boe.es/gazeta/dias/1815/07/15/pdfs/GMD-1815-87.pdf#page=11","Abrir facsímil")</f>
        <v>Abrir facsímil</v>
      </c>
      <c r="K5630" s="3" t="s">
        <v>74</v>
      </c>
    </row>
    <row r="5631" spans="1:11" ht="42" customHeight="1">
      <c r="A5631" s="2" t="s">
        <v>14084</v>
      </c>
      <c r="B5631" s="2" t="s">
        <v>14085</v>
      </c>
      <c r="C5631" s="2" t="s">
        <v>31</v>
      </c>
      <c r="D5631" s="2" t="s">
        <v>32</v>
      </c>
      <c r="E5631" s="5">
        <v>-30942</v>
      </c>
      <c r="F5631" s="3" t="s">
        <v>730</v>
      </c>
      <c r="G5631" s="3" t="s">
        <v>97</v>
      </c>
      <c r="H5631" s="2" t="s">
        <v>72</v>
      </c>
      <c r="I5631" s="2" t="s">
        <v>14086</v>
      </c>
      <c r="J5631" s="3" t="str">
        <f>HYPERLINK("https://www.boe.es/gazeta/dias/1815/04/13/pdfs/GMD-1815-45.pdf#page=3","Abrir facsímil")</f>
        <v>Abrir facsímil</v>
      </c>
      <c r="K5631" s="3" t="s">
        <v>74</v>
      </c>
    </row>
    <row r="5632" spans="1:11" ht="42" customHeight="1">
      <c r="A5632" s="2" t="s">
        <v>14087</v>
      </c>
      <c r="B5632" s="2" t="s">
        <v>14088</v>
      </c>
      <c r="C5632" s="2" t="s">
        <v>31</v>
      </c>
      <c r="D5632" s="2" t="s">
        <v>32</v>
      </c>
      <c r="E5632" s="5">
        <v>-31042</v>
      </c>
      <c r="F5632" s="3" t="s">
        <v>512</v>
      </c>
      <c r="G5632" s="3" t="s">
        <v>1689</v>
      </c>
      <c r="H5632" s="2" t="s">
        <v>72</v>
      </c>
      <c r="I5632" s="2" t="s">
        <v>14089</v>
      </c>
      <c r="J5632" s="3" t="str">
        <f>HYPERLINK("https://www.boe.es/gazeta/dias/1815/01/03/pdfs/GMD-1815-1.pdf#page=6","Abrir facsímil")</f>
        <v>Abrir facsímil</v>
      </c>
      <c r="K5632" s="3" t="s">
        <v>74</v>
      </c>
    </row>
    <row r="5633" spans="1:11" ht="42" customHeight="1">
      <c r="A5633" s="2" t="s">
        <v>14090</v>
      </c>
      <c r="B5633" s="2" t="s">
        <v>14091</v>
      </c>
      <c r="C5633" s="2" t="s">
        <v>31</v>
      </c>
      <c r="D5633" s="2" t="s">
        <v>32</v>
      </c>
      <c r="E5633" s="5">
        <v>-30982</v>
      </c>
      <c r="F5633" s="3" t="s">
        <v>220</v>
      </c>
      <c r="G5633" s="3" t="s">
        <v>57</v>
      </c>
      <c r="H5633" s="2" t="s">
        <v>72</v>
      </c>
      <c r="I5633" s="2" t="s">
        <v>14092</v>
      </c>
      <c r="J5633" s="3" t="str">
        <f>HYPERLINK("https://www.boe.es/gazeta/dias/1815/03/04/pdfs/GMD-1815-27.pdf#page=5","Abrir facsímil")</f>
        <v>Abrir facsímil</v>
      </c>
      <c r="K5633" s="3" t="s">
        <v>74</v>
      </c>
    </row>
    <row r="5634" spans="1:11" ht="42" customHeight="1">
      <c r="A5634" s="2" t="s">
        <v>14093</v>
      </c>
      <c r="B5634" s="2" t="s">
        <v>14094</v>
      </c>
      <c r="C5634" s="2" t="s">
        <v>131</v>
      </c>
      <c r="D5634" s="2" t="s">
        <v>50</v>
      </c>
      <c r="E5634" s="5">
        <v>-30842</v>
      </c>
      <c r="F5634" s="3" t="s">
        <v>126</v>
      </c>
      <c r="G5634" s="3" t="s">
        <v>224</v>
      </c>
      <c r="H5634" s="2" t="s">
        <v>72</v>
      </c>
      <c r="I5634" s="2" t="s">
        <v>14095</v>
      </c>
      <c r="J5634" s="3" t="str">
        <f>HYPERLINK("https://www.boe.es/gazeta/dias/1815/07/22/pdfs/GMD-1815-90.pdf#page=9","Abrir facsímil")</f>
        <v>Abrir facsímil</v>
      </c>
      <c r="K5634" s="3" t="s">
        <v>74</v>
      </c>
    </row>
    <row r="5635" spans="1:11" ht="42" customHeight="1">
      <c r="A5635" s="2" t="s">
        <v>14096</v>
      </c>
      <c r="B5635" s="2" t="s">
        <v>14097</v>
      </c>
      <c r="C5635" s="2" t="s">
        <v>31</v>
      </c>
      <c r="D5635" s="2" t="s">
        <v>32</v>
      </c>
      <c r="E5635" s="5">
        <v>-30963</v>
      </c>
      <c r="F5635" s="3" t="s">
        <v>879</v>
      </c>
      <c r="G5635" s="3" t="s">
        <v>27</v>
      </c>
      <c r="H5635" s="2" t="s">
        <v>21</v>
      </c>
      <c r="I5635" s="2" t="s">
        <v>14098</v>
      </c>
      <c r="J5635" s="3" t="str">
        <f>HYPERLINK("https://www.boe.es/gazeta/dias/1815/03/23/pdfs/GMD-1815-35.pdf#page=6","Abrir facsímil")</f>
        <v>Abrir facsímil</v>
      </c>
      <c r="K5635" s="3" t="s">
        <v>23</v>
      </c>
    </row>
    <row r="5636" spans="1:11" ht="42" customHeight="1">
      <c r="A5636" s="2" t="s">
        <v>14099</v>
      </c>
      <c r="B5636" s="2" t="s">
        <v>14099</v>
      </c>
      <c r="C5636" s="2" t="s">
        <v>31</v>
      </c>
      <c r="D5636" s="2" t="s">
        <v>32</v>
      </c>
      <c r="E5636" s="5">
        <v>-30818</v>
      </c>
      <c r="F5636" s="3" t="s">
        <v>334</v>
      </c>
      <c r="G5636" s="3" t="s">
        <v>20</v>
      </c>
      <c r="H5636" s="2" t="s">
        <v>72</v>
      </c>
      <c r="I5636" s="2" t="s">
        <v>14100</v>
      </c>
      <c r="J5636" s="3" t="str">
        <f>HYPERLINK("https://www.boe.es/gazeta/dias/1815/08/15/pdfs/GMD-1815-100.pdf#page=4","Abrir facsímil")</f>
        <v>Abrir facsímil</v>
      </c>
      <c r="K5636" s="3" t="s">
        <v>74</v>
      </c>
    </row>
    <row r="5637" spans="1:11" ht="42" customHeight="1">
      <c r="A5637" s="2" t="s">
        <v>14101</v>
      </c>
      <c r="B5637" s="2" t="s">
        <v>14102</v>
      </c>
      <c r="C5637" s="2" t="s">
        <v>31</v>
      </c>
      <c r="D5637" s="2" t="s">
        <v>32</v>
      </c>
      <c r="E5637" s="5">
        <v>-31026</v>
      </c>
      <c r="F5637" s="3" t="s">
        <v>874</v>
      </c>
      <c r="G5637" s="3" t="s">
        <v>27</v>
      </c>
      <c r="H5637" s="2" t="s">
        <v>72</v>
      </c>
      <c r="I5637" s="2" t="s">
        <v>14103</v>
      </c>
      <c r="J5637" s="3" t="str">
        <f>HYPERLINK("https://www.boe.es/gazeta/dias/1815/01/19/pdfs/GMD-1815-8.pdf#page=6","Abrir facsímil")</f>
        <v>Abrir facsímil</v>
      </c>
      <c r="K5637" s="3" t="s">
        <v>74</v>
      </c>
    </row>
    <row r="5638" spans="1:11" ht="42" customHeight="1">
      <c r="A5638" s="2" t="s">
        <v>14101</v>
      </c>
      <c r="B5638" s="2" t="s">
        <v>14102</v>
      </c>
      <c r="C5638" s="2" t="s">
        <v>31</v>
      </c>
      <c r="D5638" s="2" t="s">
        <v>32</v>
      </c>
      <c r="E5638" s="5">
        <v>-30891</v>
      </c>
      <c r="F5638" s="3" t="s">
        <v>498</v>
      </c>
      <c r="G5638" s="3" t="s">
        <v>57</v>
      </c>
      <c r="H5638" s="2" t="s">
        <v>72</v>
      </c>
      <c r="I5638" s="2" t="s">
        <v>14104</v>
      </c>
      <c r="J5638" s="3" t="str">
        <f>HYPERLINK("https://www.boe.es/gazeta/dias/1815/06/03/pdfs/GMD-1815-67.pdf#page=5","Abrir facsímil")</f>
        <v>Abrir facsímil</v>
      </c>
      <c r="K5638" s="3" t="s">
        <v>74</v>
      </c>
    </row>
    <row r="5639" spans="1:11" ht="42" customHeight="1">
      <c r="A5639" s="2" t="s">
        <v>14105</v>
      </c>
      <c r="B5639" s="2" t="s">
        <v>14105</v>
      </c>
      <c r="C5639" s="2" t="s">
        <v>17</v>
      </c>
      <c r="D5639" s="2" t="s">
        <v>18</v>
      </c>
      <c r="E5639" s="5">
        <v>-30860</v>
      </c>
      <c r="F5639" s="3" t="s">
        <v>184</v>
      </c>
      <c r="G5639" s="3" t="s">
        <v>410</v>
      </c>
      <c r="H5639" s="2" t="s">
        <v>72</v>
      </c>
      <c r="I5639" s="2" t="s">
        <v>14106</v>
      </c>
      <c r="J5639" s="3" t="str">
        <f>HYPERLINK("https://www.boe.es/gazeta/dias/1815/07/04/pdfs/GMD-1815-81.pdf#page=1","Abrir facsímil")</f>
        <v>Abrir facsímil</v>
      </c>
      <c r="K5639" s="3" t="s">
        <v>74</v>
      </c>
    </row>
    <row r="5640" spans="1:11" ht="42" customHeight="1">
      <c r="A5640" s="2" t="s">
        <v>14107</v>
      </c>
      <c r="B5640" s="2" t="s">
        <v>14107</v>
      </c>
      <c r="C5640" s="2" t="s">
        <v>17</v>
      </c>
      <c r="D5640" s="2" t="s">
        <v>18</v>
      </c>
      <c r="E5640" s="5">
        <v>-30760</v>
      </c>
      <c r="F5640" s="3" t="s">
        <v>349</v>
      </c>
      <c r="G5640" s="3" t="s">
        <v>38</v>
      </c>
      <c r="H5640" s="2" t="s">
        <v>72</v>
      </c>
      <c r="I5640" s="2" t="s">
        <v>14108</v>
      </c>
      <c r="J5640" s="3" t="str">
        <f>HYPERLINK("https://www.boe.es/gazeta/dias/1815/10/12/pdfs/GMD-1815-128.pdf#page=8","Abrir facsímil")</f>
        <v>Abrir facsímil</v>
      </c>
      <c r="K5640" s="3" t="s">
        <v>74</v>
      </c>
    </row>
    <row r="5641" spans="1:11" ht="42" customHeight="1">
      <c r="A5641" s="2" t="s">
        <v>14109</v>
      </c>
      <c r="B5641" s="2" t="s">
        <v>14110</v>
      </c>
      <c r="C5641" s="2" t="s">
        <v>31</v>
      </c>
      <c r="D5641" s="2" t="s">
        <v>32</v>
      </c>
      <c r="E5641" s="5">
        <v>-31038</v>
      </c>
      <c r="F5641" s="3" t="s">
        <v>395</v>
      </c>
      <c r="G5641" s="3" t="s">
        <v>396</v>
      </c>
      <c r="H5641" s="2" t="s">
        <v>72</v>
      </c>
      <c r="I5641" s="2" t="s">
        <v>14111</v>
      </c>
      <c r="J5641" s="3" t="str">
        <f>HYPERLINK("https://www.boe.es/gazeta/dias/1815/01/07/pdfs/GMD-1815-3.pdf#page=5","Abrir facsímil")</f>
        <v>Abrir facsímil</v>
      </c>
      <c r="K5641" s="3" t="s">
        <v>74</v>
      </c>
    </row>
    <row r="5642" spans="1:11" ht="42" customHeight="1">
      <c r="A5642" s="2" t="s">
        <v>14112</v>
      </c>
      <c r="B5642" s="2" t="s">
        <v>14113</v>
      </c>
      <c r="C5642" s="2" t="s">
        <v>61</v>
      </c>
      <c r="D5642" s="2" t="s">
        <v>50</v>
      </c>
      <c r="E5642" s="5">
        <v>-31028</v>
      </c>
      <c r="F5642" s="3" t="s">
        <v>517</v>
      </c>
      <c r="G5642" s="3" t="s">
        <v>276</v>
      </c>
      <c r="H5642" s="2" t="s">
        <v>72</v>
      </c>
      <c r="I5642" s="2" t="s">
        <v>14114</v>
      </c>
      <c r="J5642" s="3" t="str">
        <f>HYPERLINK("https://www.boe.es/gazeta/dias/1815/01/17/pdfs/GMD-1815-7.pdf#page=12","Abrir facsímil")</f>
        <v>Abrir facsímil</v>
      </c>
      <c r="K5642" s="3" t="s">
        <v>74</v>
      </c>
    </row>
    <row r="5643" spans="1:11" ht="42" customHeight="1">
      <c r="A5643" s="2" t="s">
        <v>14115</v>
      </c>
      <c r="B5643" s="2" t="s">
        <v>14116</v>
      </c>
      <c r="C5643" s="2" t="s">
        <v>31</v>
      </c>
      <c r="D5643" s="2" t="s">
        <v>32</v>
      </c>
      <c r="E5643" s="5">
        <v>-30928</v>
      </c>
      <c r="F5643" s="3" t="s">
        <v>330</v>
      </c>
      <c r="G5643" s="3" t="s">
        <v>71</v>
      </c>
      <c r="H5643" s="2" t="s">
        <v>72</v>
      </c>
      <c r="I5643" s="2" t="s">
        <v>14117</v>
      </c>
      <c r="J5643" s="3" t="str">
        <f>HYPERLINK("https://www.boe.es/gazeta/dias/1815/04/27/pdfs/GMD-1815-51.pdf#page=7","Abrir facsímil")</f>
        <v>Abrir facsímil</v>
      </c>
      <c r="K5643" s="3" t="s">
        <v>74</v>
      </c>
    </row>
    <row r="5644" spans="1:11" ht="42" customHeight="1">
      <c r="A5644" s="2" t="s">
        <v>14118</v>
      </c>
      <c r="B5644" s="2" t="s">
        <v>14119</v>
      </c>
      <c r="C5644" s="2" t="s">
        <v>17</v>
      </c>
      <c r="D5644" s="2" t="s">
        <v>18</v>
      </c>
      <c r="E5644" s="5">
        <v>-31038</v>
      </c>
      <c r="F5644" s="3" t="s">
        <v>395</v>
      </c>
      <c r="G5644" s="3" t="s">
        <v>38</v>
      </c>
      <c r="H5644" s="2" t="s">
        <v>72</v>
      </c>
      <c r="I5644" s="2" t="s">
        <v>14120</v>
      </c>
      <c r="J5644" s="3" t="str">
        <f>HYPERLINK("https://www.boe.es/gazeta/dias/1815/01/07/pdfs/GMD-1815-3.pdf#page=8","Abrir facsímil")</f>
        <v>Abrir facsímil</v>
      </c>
      <c r="K5644" s="3" t="s">
        <v>74</v>
      </c>
    </row>
    <row r="5645" spans="1:11" ht="42" customHeight="1">
      <c r="A5645" s="2" t="s">
        <v>14118</v>
      </c>
      <c r="B5645" s="2" t="s">
        <v>14119</v>
      </c>
      <c r="C5645" s="2" t="s">
        <v>17</v>
      </c>
      <c r="D5645" s="2" t="s">
        <v>18</v>
      </c>
      <c r="E5645" s="5">
        <v>-30923</v>
      </c>
      <c r="F5645" s="3" t="s">
        <v>524</v>
      </c>
      <c r="G5645" s="3" t="s">
        <v>1314</v>
      </c>
      <c r="H5645" s="2" t="s">
        <v>72</v>
      </c>
      <c r="I5645" s="2" t="s">
        <v>14121</v>
      </c>
      <c r="J5645" s="3" t="str">
        <f>HYPERLINK("https://www.boe.es/gazeta/dias/1815/05/02/pdfs/GMD-1815-53.pdf#page=12","Abrir facsímil")</f>
        <v>Abrir facsímil</v>
      </c>
      <c r="K5645" s="3" t="s">
        <v>74</v>
      </c>
    </row>
    <row r="5646" spans="1:11" ht="42" customHeight="1">
      <c r="A5646" s="2" t="s">
        <v>14122</v>
      </c>
      <c r="B5646" s="2" t="s">
        <v>14123</v>
      </c>
      <c r="C5646" s="2" t="s">
        <v>31</v>
      </c>
      <c r="D5646" s="2" t="s">
        <v>32</v>
      </c>
      <c r="E5646" s="5">
        <v>-30709</v>
      </c>
      <c r="F5646" s="3" t="s">
        <v>314</v>
      </c>
      <c r="G5646" s="3" t="s">
        <v>57</v>
      </c>
      <c r="H5646" s="2" t="s">
        <v>72</v>
      </c>
      <c r="I5646" s="2" t="s">
        <v>14124</v>
      </c>
      <c r="J5646" s="3" t="str">
        <f>HYPERLINK("https://www.boe.es/gazeta/dias/1815/12/02/pdfs/GMD-1815-150.pdf#page=5","Abrir facsímil")</f>
        <v>Abrir facsímil</v>
      </c>
      <c r="K5646" s="3" t="s">
        <v>74</v>
      </c>
    </row>
    <row r="5647" spans="1:11" ht="42" customHeight="1">
      <c r="A5647" s="2" t="s">
        <v>14125</v>
      </c>
      <c r="B5647" s="2" t="s">
        <v>14126</v>
      </c>
      <c r="C5647" s="2" t="s">
        <v>17</v>
      </c>
      <c r="D5647" s="2" t="s">
        <v>18</v>
      </c>
      <c r="E5647" s="5">
        <v>-31042</v>
      </c>
      <c r="F5647" s="3" t="s">
        <v>512</v>
      </c>
      <c r="G5647" s="3" t="s">
        <v>57</v>
      </c>
      <c r="H5647" s="2" t="s">
        <v>72</v>
      </c>
      <c r="I5647" s="2" t="s">
        <v>14127</v>
      </c>
      <c r="J5647" s="3" t="str">
        <f>HYPERLINK("https://www.boe.es/gazeta/dias/1815/01/03/pdfs/GMD-1815-1.pdf#page=5","Abrir facsímil")</f>
        <v>Abrir facsímil</v>
      </c>
      <c r="K5647" s="3" t="s">
        <v>74</v>
      </c>
    </row>
    <row r="5648" spans="1:11" ht="42" customHeight="1">
      <c r="A5648" s="2" t="s">
        <v>14128</v>
      </c>
      <c r="B5648" s="2" t="s">
        <v>14129</v>
      </c>
      <c r="C5648" s="2" t="s">
        <v>31</v>
      </c>
      <c r="D5648" s="2" t="s">
        <v>32</v>
      </c>
      <c r="E5648" s="5">
        <v>-30916</v>
      </c>
      <c r="F5648" s="3" t="s">
        <v>147</v>
      </c>
      <c r="G5648" s="3" t="s">
        <v>38</v>
      </c>
      <c r="H5648" s="2" t="s">
        <v>72</v>
      </c>
      <c r="I5648" s="2" t="s">
        <v>14130</v>
      </c>
      <c r="J5648" s="3" t="str">
        <f>HYPERLINK("https://www.boe.es/gazeta/dias/1815/05/09/pdfs/GMD-1815-56.pdf#page=8","Abrir facsímil")</f>
        <v>Abrir facsímil</v>
      </c>
      <c r="K5648" s="3" t="s">
        <v>74</v>
      </c>
    </row>
    <row r="5649" spans="1:11" ht="42" customHeight="1">
      <c r="A5649" s="2" t="s">
        <v>14131</v>
      </c>
      <c r="B5649" s="2" t="s">
        <v>14132</v>
      </c>
      <c r="C5649" s="2" t="s">
        <v>17</v>
      </c>
      <c r="D5649" s="2" t="s">
        <v>18</v>
      </c>
      <c r="E5649" s="5">
        <v>-30905</v>
      </c>
      <c r="F5649" s="3" t="s">
        <v>901</v>
      </c>
      <c r="G5649" s="3" t="s">
        <v>902</v>
      </c>
      <c r="H5649" s="2" t="s">
        <v>72</v>
      </c>
      <c r="I5649" s="2" t="s">
        <v>14133</v>
      </c>
      <c r="J5649" s="3" t="str">
        <f>HYPERLINK("https://www.boe.es/gazeta/dias/1815/05/20/pdfs/GMD-1815-61.pdf#page=8","Abrir facsímil")</f>
        <v>Abrir facsímil</v>
      </c>
      <c r="K5649" s="3" t="s">
        <v>74</v>
      </c>
    </row>
    <row r="5650" spans="1:11" ht="42" customHeight="1">
      <c r="A5650" s="2" t="s">
        <v>14134</v>
      </c>
      <c r="B5650" s="2" t="s">
        <v>14135</v>
      </c>
      <c r="C5650" s="2" t="s">
        <v>49</v>
      </c>
      <c r="D5650" s="2" t="s">
        <v>50</v>
      </c>
      <c r="E5650" s="5">
        <v>-31040</v>
      </c>
      <c r="F5650" s="3" t="s">
        <v>326</v>
      </c>
      <c r="G5650" s="3" t="s">
        <v>38</v>
      </c>
      <c r="H5650" s="2" t="s">
        <v>72</v>
      </c>
      <c r="I5650" s="2" t="s">
        <v>14136</v>
      </c>
      <c r="J5650" s="3" t="str">
        <f>HYPERLINK("https://www.boe.es/gazeta/dias/1815/01/05/pdfs/GMD-1815-2.pdf#page=8","Abrir facsímil")</f>
        <v>Abrir facsímil</v>
      </c>
      <c r="K5650" s="3" t="s">
        <v>74</v>
      </c>
    </row>
    <row r="5651" spans="1:11" ht="42" customHeight="1">
      <c r="A5651" s="2" t="s">
        <v>14137</v>
      </c>
      <c r="B5651" s="2" t="s">
        <v>14138</v>
      </c>
      <c r="C5651" s="2" t="s">
        <v>49</v>
      </c>
      <c r="D5651" s="2" t="s">
        <v>50</v>
      </c>
      <c r="E5651" s="5">
        <v>-30886</v>
      </c>
      <c r="F5651" s="3" t="s">
        <v>140</v>
      </c>
      <c r="G5651" s="3" t="s">
        <v>88</v>
      </c>
      <c r="H5651" s="2" t="s">
        <v>72</v>
      </c>
      <c r="I5651" s="2" t="s">
        <v>14139</v>
      </c>
      <c r="J5651" s="3" t="str">
        <f>HYPERLINK("https://www.boe.es/gazeta/dias/1815/06/08/pdfs/GMD-1815-69.pdf#page=10","Abrir facsímil")</f>
        <v>Abrir facsímil</v>
      </c>
      <c r="K5651" s="3" t="s">
        <v>74</v>
      </c>
    </row>
    <row r="5652" spans="1:11" ht="42" customHeight="1">
      <c r="A5652" s="2" t="s">
        <v>14140</v>
      </c>
      <c r="B5652" s="2" t="s">
        <v>14140</v>
      </c>
      <c r="C5652" s="2" t="s">
        <v>31</v>
      </c>
      <c r="D5652" s="2" t="s">
        <v>32</v>
      </c>
      <c r="E5652" s="5">
        <v>-30760</v>
      </c>
      <c r="F5652" s="3" t="s">
        <v>349</v>
      </c>
      <c r="G5652" s="3" t="s">
        <v>97</v>
      </c>
      <c r="H5652" s="2" t="s">
        <v>72</v>
      </c>
      <c r="I5652" s="2" t="s">
        <v>14141</v>
      </c>
      <c r="J5652" s="3" t="str">
        <f>HYPERLINK("https://www.boe.es/gazeta/dias/1815/10/12/pdfs/GMD-1815-128.pdf#page=3","Abrir facsímil")</f>
        <v>Abrir facsímil</v>
      </c>
      <c r="K5652" s="3" t="s">
        <v>74</v>
      </c>
    </row>
    <row r="5653" spans="1:11" ht="42" customHeight="1">
      <c r="A5653" s="2" t="s">
        <v>14142</v>
      </c>
      <c r="B5653" s="2" t="s">
        <v>14143</v>
      </c>
      <c r="C5653" s="2" t="s">
        <v>49</v>
      </c>
      <c r="D5653" s="2" t="s">
        <v>50</v>
      </c>
      <c r="E5653" s="5">
        <v>-30984</v>
      </c>
      <c r="F5653" s="3" t="s">
        <v>748</v>
      </c>
      <c r="G5653" s="3" t="s">
        <v>38</v>
      </c>
      <c r="H5653" s="2" t="s">
        <v>72</v>
      </c>
      <c r="I5653" s="2" t="s">
        <v>14144</v>
      </c>
      <c r="J5653" s="3" t="str">
        <f>HYPERLINK("https://www.boe.es/gazeta/dias/1815/03/02/pdfs/GMD-1815-26.pdf#page=8","Abrir facsímil")</f>
        <v>Abrir facsímil</v>
      </c>
      <c r="K5653" s="3" t="s">
        <v>74</v>
      </c>
    </row>
    <row r="5654" spans="1:11" ht="42" customHeight="1">
      <c r="A5654" s="2" t="s">
        <v>14145</v>
      </c>
      <c r="B5654" s="2" t="s">
        <v>14146</v>
      </c>
      <c r="C5654" s="2" t="s">
        <v>17</v>
      </c>
      <c r="D5654" s="2" t="s">
        <v>18</v>
      </c>
      <c r="E5654" s="5">
        <v>-30912</v>
      </c>
      <c r="F5654" s="3" t="s">
        <v>579</v>
      </c>
      <c r="G5654" s="3" t="s">
        <v>38</v>
      </c>
      <c r="H5654" s="2" t="s">
        <v>72</v>
      </c>
      <c r="I5654" s="2" t="s">
        <v>14147</v>
      </c>
      <c r="J5654" s="3" t="str">
        <f>HYPERLINK("https://www.boe.es/gazeta/dias/1815/05/13/pdfs/GMD-1815-58.pdf#page=8","Abrir facsímil")</f>
        <v>Abrir facsímil</v>
      </c>
      <c r="K5654" s="3" t="s">
        <v>74</v>
      </c>
    </row>
    <row r="5655" spans="1:11" ht="42" customHeight="1">
      <c r="A5655" s="2" t="s">
        <v>14145</v>
      </c>
      <c r="B5655" s="2" t="s">
        <v>14146</v>
      </c>
      <c r="C5655" s="2" t="s">
        <v>17</v>
      </c>
      <c r="D5655" s="2" t="s">
        <v>18</v>
      </c>
      <c r="E5655" s="5">
        <v>-30767</v>
      </c>
      <c r="F5655" s="3" t="s">
        <v>228</v>
      </c>
      <c r="G5655" s="3" t="s">
        <v>52</v>
      </c>
      <c r="H5655" s="2" t="s">
        <v>72</v>
      </c>
      <c r="I5655" s="2" t="s">
        <v>14148</v>
      </c>
      <c r="J5655" s="3" t="str">
        <f>HYPERLINK("https://www.boe.es/gazeta/dias/1815/10/05/pdfs/GMD-1815-125.pdf#page=11","Abrir facsímil")</f>
        <v>Abrir facsímil</v>
      </c>
      <c r="K5655" s="3" t="s">
        <v>74</v>
      </c>
    </row>
    <row r="5656" spans="1:11" ht="42" customHeight="1">
      <c r="A5656" s="2" t="s">
        <v>14149</v>
      </c>
      <c r="B5656" s="2" t="s">
        <v>14150</v>
      </c>
      <c r="C5656" s="2" t="s">
        <v>31</v>
      </c>
      <c r="D5656" s="2" t="s">
        <v>32</v>
      </c>
      <c r="E5656" s="5">
        <v>-30905</v>
      </c>
      <c r="F5656" s="3" t="s">
        <v>901</v>
      </c>
      <c r="G5656" s="3" t="s">
        <v>902</v>
      </c>
      <c r="H5656" s="2" t="s">
        <v>72</v>
      </c>
      <c r="I5656" s="2" t="s">
        <v>14151</v>
      </c>
      <c r="J5656" s="3" t="str">
        <f>HYPERLINK("https://www.boe.es/gazeta/dias/1815/05/20/pdfs/GMD-1815-61.pdf#page=8","Abrir facsímil")</f>
        <v>Abrir facsímil</v>
      </c>
      <c r="K5656" s="3" t="s">
        <v>74</v>
      </c>
    </row>
    <row r="5657" spans="1:11" ht="42" customHeight="1">
      <c r="A5657" s="2" t="s">
        <v>14152</v>
      </c>
      <c r="B5657" s="2" t="s">
        <v>14153</v>
      </c>
      <c r="C5657" s="2" t="s">
        <v>31</v>
      </c>
      <c r="D5657" s="2" t="s">
        <v>32</v>
      </c>
      <c r="E5657" s="5">
        <v>-30821</v>
      </c>
      <c r="F5657" s="3" t="s">
        <v>915</v>
      </c>
      <c r="G5657" s="3" t="s">
        <v>38</v>
      </c>
      <c r="H5657" s="2" t="s">
        <v>21</v>
      </c>
      <c r="I5657" s="2" t="s">
        <v>14154</v>
      </c>
      <c r="J5657" s="3" t="str">
        <f>HYPERLINK("https://www.boe.es/gazeta/dias/1815/08/12/pdfs/GMD-1815-99.pdf#page=8","Abrir facsímil")</f>
        <v>Abrir facsímil</v>
      </c>
      <c r="K5657" s="3" t="s">
        <v>23</v>
      </c>
    </row>
    <row r="5658" spans="1:11" ht="42" customHeight="1">
      <c r="A5658" s="2" t="s">
        <v>14155</v>
      </c>
      <c r="B5658" s="2" t="s">
        <v>14156</v>
      </c>
      <c r="C5658" s="2" t="s">
        <v>31</v>
      </c>
      <c r="D5658" s="2" t="s">
        <v>32</v>
      </c>
      <c r="E5658" s="5">
        <v>-30821</v>
      </c>
      <c r="F5658" s="3" t="s">
        <v>915</v>
      </c>
      <c r="G5658" s="3" t="s">
        <v>38</v>
      </c>
      <c r="H5658" s="2" t="s">
        <v>72</v>
      </c>
      <c r="I5658" s="2" t="s">
        <v>14157</v>
      </c>
      <c r="J5658" s="3" t="str">
        <f>HYPERLINK("https://www.boe.es/gazeta/dias/1815/08/12/pdfs/GMD-1815-99.pdf#page=8","Abrir facsímil")</f>
        <v>Abrir facsímil</v>
      </c>
      <c r="K5658" s="3" t="s">
        <v>74</v>
      </c>
    </row>
    <row r="5659" spans="1:11" ht="42" customHeight="1">
      <c r="A5659" s="2" t="s">
        <v>14158</v>
      </c>
      <c r="B5659" s="2" t="s">
        <v>14159</v>
      </c>
      <c r="C5659" s="2" t="s">
        <v>31</v>
      </c>
      <c r="D5659" s="2" t="s">
        <v>32</v>
      </c>
      <c r="E5659" s="5">
        <v>-30821</v>
      </c>
      <c r="F5659" s="3" t="s">
        <v>915</v>
      </c>
      <c r="G5659" s="3" t="s">
        <v>38</v>
      </c>
      <c r="H5659" s="2" t="s">
        <v>21</v>
      </c>
      <c r="I5659" s="2" t="s">
        <v>14160</v>
      </c>
      <c r="J5659" s="3" t="str">
        <f>HYPERLINK("https://www.boe.es/gazeta/dias/1815/08/12/pdfs/GMD-1815-99.pdf#page=8","Abrir facsímil")</f>
        <v>Abrir facsímil</v>
      </c>
      <c r="K5659" s="3" t="s">
        <v>23</v>
      </c>
    </row>
    <row r="5660" spans="1:11" ht="42" customHeight="1">
      <c r="A5660" s="2" t="s">
        <v>14161</v>
      </c>
      <c r="B5660" s="2" t="s">
        <v>14162</v>
      </c>
      <c r="C5660" s="2" t="s">
        <v>49</v>
      </c>
      <c r="D5660" s="2" t="s">
        <v>50</v>
      </c>
      <c r="E5660" s="5">
        <v>-30865</v>
      </c>
      <c r="F5660" s="3" t="s">
        <v>163</v>
      </c>
      <c r="G5660" s="3" t="s">
        <v>27</v>
      </c>
      <c r="H5660" s="2" t="s">
        <v>72</v>
      </c>
      <c r="I5660" s="2" t="s">
        <v>14163</v>
      </c>
      <c r="J5660" s="3" t="str">
        <f>HYPERLINK("https://www.boe.es/gazeta/dias/1815/06/29/pdfs/GMD-1815-78.pdf#page=6","Abrir facsímil")</f>
        <v>Abrir facsímil</v>
      </c>
      <c r="K5660" s="3" t="s">
        <v>74</v>
      </c>
    </row>
    <row r="5661" spans="1:11" ht="42" customHeight="1">
      <c r="A5661" s="2" t="s">
        <v>14164</v>
      </c>
      <c r="B5661" s="2" t="s">
        <v>14165</v>
      </c>
      <c r="C5661" s="2" t="s">
        <v>195</v>
      </c>
      <c r="D5661" s="2" t="s">
        <v>50</v>
      </c>
      <c r="E5661" s="5">
        <v>-31003</v>
      </c>
      <c r="F5661" s="3" t="s">
        <v>405</v>
      </c>
      <c r="G5661" s="3" t="s">
        <v>1136</v>
      </c>
      <c r="H5661" s="2" t="s">
        <v>72</v>
      </c>
      <c r="I5661" s="2" t="s">
        <v>14166</v>
      </c>
      <c r="J5661" s="3" t="str">
        <f>HYPERLINK("https://www.boe.es/gazeta/dias/1815/02/11/pdfs/GMD-1815-18.pdf#page=7","Abrir facsímil")</f>
        <v>Abrir facsímil</v>
      </c>
      <c r="K5661" s="3" t="s">
        <v>74</v>
      </c>
    </row>
    <row r="5662" spans="1:11" ht="42" customHeight="1">
      <c r="A5662" s="2" t="s">
        <v>14167</v>
      </c>
      <c r="B5662" s="2" t="s">
        <v>14168</v>
      </c>
      <c r="C5662" s="2" t="s">
        <v>49</v>
      </c>
      <c r="D5662" s="2" t="s">
        <v>50</v>
      </c>
      <c r="E5662" s="5">
        <v>-30716</v>
      </c>
      <c r="F5662" s="3" t="s">
        <v>589</v>
      </c>
      <c r="G5662" s="3" t="s">
        <v>590</v>
      </c>
      <c r="H5662" s="2" t="s">
        <v>72</v>
      </c>
      <c r="I5662" s="2" t="s">
        <v>14169</v>
      </c>
      <c r="J5662" s="3" t="str">
        <f>HYPERLINK("https://www.boe.es/gazeta/dias/1815/11/25/pdfs/GMD-1815-147.pdf#page=8","Abrir facsímil")</f>
        <v>Abrir facsímil</v>
      </c>
      <c r="K5662" s="3" t="s">
        <v>74</v>
      </c>
    </row>
    <row r="5663" spans="1:11" ht="42" customHeight="1">
      <c r="A5663" s="2" t="s">
        <v>14170</v>
      </c>
      <c r="B5663" s="2" t="s">
        <v>14171</v>
      </c>
      <c r="C5663" s="2" t="s">
        <v>49</v>
      </c>
      <c r="D5663" s="2" t="s">
        <v>50</v>
      </c>
      <c r="E5663" s="5">
        <v>-30767</v>
      </c>
      <c r="F5663" s="3" t="s">
        <v>228</v>
      </c>
      <c r="G5663" s="3" t="s">
        <v>88</v>
      </c>
      <c r="H5663" s="2" t="s">
        <v>72</v>
      </c>
      <c r="I5663" s="2" t="s">
        <v>14172</v>
      </c>
      <c r="J5663" s="3" t="str">
        <f>HYPERLINK("https://www.boe.es/gazeta/dias/1815/10/05/pdfs/GMD-1815-125.pdf#page=10","Abrir facsímil")</f>
        <v>Abrir facsímil</v>
      </c>
      <c r="K5663" s="3" t="s">
        <v>74</v>
      </c>
    </row>
    <row r="5664" spans="1:11" ht="42" customHeight="1">
      <c r="A5664" s="2" t="s">
        <v>14173</v>
      </c>
      <c r="B5664" s="2" t="s">
        <v>14174</v>
      </c>
      <c r="C5664" s="2" t="s">
        <v>31</v>
      </c>
      <c r="D5664" s="2" t="s">
        <v>32</v>
      </c>
      <c r="E5664" s="5">
        <v>-30914</v>
      </c>
      <c r="F5664" s="3" t="s">
        <v>338</v>
      </c>
      <c r="G5664" s="3" t="s">
        <v>52</v>
      </c>
      <c r="H5664" s="2" t="s">
        <v>72</v>
      </c>
      <c r="I5664" s="2" t="s">
        <v>14175</v>
      </c>
      <c r="J5664" s="3" t="str">
        <f>HYPERLINK("https://www.boe.es/gazeta/dias/1815/05/11/pdfs/GMD-1815-57.pdf#page=11","Abrir facsímil")</f>
        <v>Abrir facsímil</v>
      </c>
      <c r="K5664" s="3" t="s">
        <v>74</v>
      </c>
    </row>
    <row r="5665" spans="1:11" ht="42" customHeight="1">
      <c r="A5665" s="2" t="s">
        <v>14176</v>
      </c>
      <c r="B5665" s="2" t="s">
        <v>14177</v>
      </c>
      <c r="C5665" s="2" t="s">
        <v>49</v>
      </c>
      <c r="D5665" s="2" t="s">
        <v>50</v>
      </c>
      <c r="E5665" s="5">
        <v>-30888</v>
      </c>
      <c r="F5665" s="3" t="s">
        <v>368</v>
      </c>
      <c r="G5665" s="3" t="s">
        <v>27</v>
      </c>
      <c r="H5665" s="2" t="s">
        <v>72</v>
      </c>
      <c r="I5665" s="2" t="s">
        <v>14178</v>
      </c>
      <c r="J5665" s="3" t="str">
        <f>HYPERLINK("https://www.boe.es/gazeta/dias/1815/06/06/pdfs/GMD-1815-68.pdf#page=6","Abrir facsímil")</f>
        <v>Abrir facsímil</v>
      </c>
      <c r="K5665" s="3" t="s">
        <v>74</v>
      </c>
    </row>
    <row r="5666" spans="1:11" ht="42" customHeight="1">
      <c r="A5666" s="2" t="s">
        <v>14179</v>
      </c>
      <c r="B5666" s="2" t="s">
        <v>14179</v>
      </c>
      <c r="C5666" s="2" t="s">
        <v>49</v>
      </c>
      <c r="D5666" s="2" t="s">
        <v>50</v>
      </c>
      <c r="E5666" s="5">
        <v>-30716</v>
      </c>
      <c r="F5666" s="3" t="s">
        <v>589</v>
      </c>
      <c r="G5666" s="3" t="s">
        <v>410</v>
      </c>
      <c r="H5666" s="2" t="s">
        <v>72</v>
      </c>
      <c r="I5666" s="2" t="s">
        <v>14180</v>
      </c>
      <c r="J5666" s="3" t="str">
        <f>HYPERLINK("https://www.boe.es/gazeta/dias/1815/11/25/pdfs/GMD-1815-147.pdf#page=1","Abrir facsímil")</f>
        <v>Abrir facsímil</v>
      </c>
      <c r="K5666" s="3" t="s">
        <v>74</v>
      </c>
    </row>
    <row r="5667" spans="1:11" ht="42" customHeight="1">
      <c r="A5667" s="2" t="s">
        <v>14181</v>
      </c>
      <c r="B5667" s="2" t="s">
        <v>14182</v>
      </c>
      <c r="C5667" s="2" t="s">
        <v>17</v>
      </c>
      <c r="D5667" s="2" t="s">
        <v>18</v>
      </c>
      <c r="E5667" s="5">
        <v>-30741</v>
      </c>
      <c r="F5667" s="3" t="s">
        <v>1000</v>
      </c>
      <c r="G5667" s="3" t="s">
        <v>38</v>
      </c>
      <c r="H5667" s="2" t="s">
        <v>72</v>
      </c>
      <c r="I5667" s="2" t="s">
        <v>14183</v>
      </c>
      <c r="J5667" s="3" t="str">
        <f>HYPERLINK("https://www.boe.es/gazeta/dias/1815/10/31/pdfs/GMD-1815-136.pdf#page=8","Abrir facsímil")</f>
        <v>Abrir facsímil</v>
      </c>
      <c r="K5667" s="3" t="s">
        <v>74</v>
      </c>
    </row>
    <row r="5668" spans="1:11" ht="42" customHeight="1">
      <c r="A5668" s="2" t="s">
        <v>14184</v>
      </c>
      <c r="B5668" s="2" t="s">
        <v>14185</v>
      </c>
      <c r="C5668" s="2" t="s">
        <v>31</v>
      </c>
      <c r="D5668" s="2" t="s">
        <v>32</v>
      </c>
      <c r="E5668" s="5">
        <v>-31038</v>
      </c>
      <c r="F5668" s="3" t="s">
        <v>395</v>
      </c>
      <c r="G5668" s="3" t="s">
        <v>396</v>
      </c>
      <c r="H5668" s="2" t="s">
        <v>72</v>
      </c>
      <c r="I5668" s="2" t="s">
        <v>14186</v>
      </c>
      <c r="J5668" s="3" t="str">
        <f>HYPERLINK("https://www.boe.es/gazeta/dias/1815/01/07/pdfs/GMD-1815-3.pdf#page=5","Abrir facsímil")</f>
        <v>Abrir facsímil</v>
      </c>
      <c r="K5668" s="3" t="s">
        <v>74</v>
      </c>
    </row>
    <row r="5669" spans="1:11" ht="42" customHeight="1">
      <c r="A5669" s="2" t="s">
        <v>14187</v>
      </c>
      <c r="B5669" s="2" t="s">
        <v>14188</v>
      </c>
      <c r="C5669" s="2" t="s">
        <v>49</v>
      </c>
      <c r="D5669" s="2" t="s">
        <v>50</v>
      </c>
      <c r="E5669" s="5">
        <v>-30863</v>
      </c>
      <c r="F5669" s="3" t="s">
        <v>110</v>
      </c>
      <c r="G5669" s="3" t="s">
        <v>224</v>
      </c>
      <c r="H5669" s="2" t="s">
        <v>72</v>
      </c>
      <c r="I5669" s="2" t="s">
        <v>14189</v>
      </c>
      <c r="J5669" s="3" t="str">
        <f>HYPERLINK("https://www.boe.es/gazeta/dias/1815/07/01/pdfs/GMD-1815-79.pdf#page=9","Abrir facsímil")</f>
        <v>Abrir facsímil</v>
      </c>
      <c r="K5669" s="3" t="s">
        <v>74</v>
      </c>
    </row>
    <row r="5670" spans="1:11" ht="42" customHeight="1">
      <c r="A5670" s="2" t="s">
        <v>14190</v>
      </c>
      <c r="B5670" s="2" t="s">
        <v>14191</v>
      </c>
      <c r="C5670" s="2" t="s">
        <v>195</v>
      </c>
      <c r="D5670" s="2" t="s">
        <v>50</v>
      </c>
      <c r="E5670" s="5">
        <v>-30846</v>
      </c>
      <c r="F5670" s="3" t="s">
        <v>858</v>
      </c>
      <c r="G5670" s="3" t="s">
        <v>38</v>
      </c>
      <c r="H5670" s="2" t="s">
        <v>72</v>
      </c>
      <c r="I5670" s="2" t="s">
        <v>14192</v>
      </c>
      <c r="J5670" s="3" t="str">
        <f>HYPERLINK("https://www.boe.es/gazeta/dias/1815/07/18/pdfs/GMD-1815-88.pdf#page=8","Abrir facsímil")</f>
        <v>Abrir facsímil</v>
      </c>
      <c r="K5670" s="3" t="s">
        <v>74</v>
      </c>
    </row>
    <row r="5671" spans="1:11" ht="42" customHeight="1">
      <c r="A5671" s="2" t="s">
        <v>14193</v>
      </c>
      <c r="B5671" s="2" t="s">
        <v>14194</v>
      </c>
      <c r="C5671" s="2" t="s">
        <v>49</v>
      </c>
      <c r="D5671" s="2" t="s">
        <v>50</v>
      </c>
      <c r="E5671" s="5">
        <v>-30958</v>
      </c>
      <c r="F5671" s="3" t="s">
        <v>297</v>
      </c>
      <c r="G5671" s="3" t="s">
        <v>71</v>
      </c>
      <c r="H5671" s="2" t="s">
        <v>21</v>
      </c>
      <c r="I5671" s="2" t="s">
        <v>14195</v>
      </c>
      <c r="J5671" s="3" t="str">
        <f>HYPERLINK("https://www.boe.es/gazeta/dias/1815/03/28/pdfs/GMD-1815-37.pdf#page=7","Abrir facsímil")</f>
        <v>Abrir facsímil</v>
      </c>
      <c r="K5671" s="3" t="s">
        <v>23</v>
      </c>
    </row>
    <row r="5672" spans="1:11" ht="42" customHeight="1">
      <c r="A5672" s="2" t="s">
        <v>14196</v>
      </c>
      <c r="B5672" s="2" t="s">
        <v>14197</v>
      </c>
      <c r="C5672" s="2" t="s">
        <v>17</v>
      </c>
      <c r="D5672" s="2" t="s">
        <v>18</v>
      </c>
      <c r="E5672" s="5">
        <v>-30856</v>
      </c>
      <c r="F5672" s="3" t="s">
        <v>92</v>
      </c>
      <c r="G5672" s="3" t="s">
        <v>27</v>
      </c>
      <c r="H5672" s="2" t="s">
        <v>72</v>
      </c>
      <c r="I5672" s="2" t="s">
        <v>14198</v>
      </c>
      <c r="J5672" s="3" t="str">
        <f>HYPERLINK("https://www.boe.es/gazeta/dias/1815/07/08/pdfs/GMD-1815-84.pdf#page=6","Abrir facsímil")</f>
        <v>Abrir facsímil</v>
      </c>
      <c r="K5672" s="3" t="s">
        <v>74</v>
      </c>
    </row>
    <row r="5673" spans="1:11" ht="42" customHeight="1">
      <c r="A5673" s="2" t="s">
        <v>14199</v>
      </c>
      <c r="B5673" s="2" t="s">
        <v>14200</v>
      </c>
      <c r="C5673" s="2" t="s">
        <v>31</v>
      </c>
      <c r="D5673" s="2" t="s">
        <v>32</v>
      </c>
      <c r="E5673" s="5">
        <v>-31038</v>
      </c>
      <c r="F5673" s="3" t="s">
        <v>395</v>
      </c>
      <c r="G5673" s="3" t="s">
        <v>27</v>
      </c>
      <c r="H5673" s="2" t="s">
        <v>72</v>
      </c>
      <c r="I5673" s="2" t="s">
        <v>14201</v>
      </c>
      <c r="J5673" s="3" t="str">
        <f>HYPERLINK("https://www.boe.es/gazeta/dias/1815/01/07/pdfs/GMD-1815-3.pdf#page=6","Abrir facsímil")</f>
        <v>Abrir facsímil</v>
      </c>
      <c r="K5673" s="3" t="s">
        <v>74</v>
      </c>
    </row>
    <row r="5674" spans="1:11" ht="42" customHeight="1">
      <c r="A5674" s="2" t="s">
        <v>14202</v>
      </c>
      <c r="B5674" s="2" t="s">
        <v>14203</v>
      </c>
      <c r="C5674" s="2" t="s">
        <v>31</v>
      </c>
      <c r="D5674" s="2" t="s">
        <v>32</v>
      </c>
      <c r="E5674" s="5">
        <v>-30958</v>
      </c>
      <c r="F5674" s="3" t="s">
        <v>297</v>
      </c>
      <c r="G5674" s="3" t="s">
        <v>57</v>
      </c>
      <c r="H5674" s="2" t="s">
        <v>72</v>
      </c>
      <c r="I5674" s="2" t="s">
        <v>14204</v>
      </c>
      <c r="J5674" s="3" t="str">
        <f>HYPERLINK("https://www.boe.es/gazeta/dias/1815/03/28/pdfs/GMD-1815-37.pdf#page=5","Abrir facsímil")</f>
        <v>Abrir facsímil</v>
      </c>
      <c r="K5674" s="3" t="s">
        <v>74</v>
      </c>
    </row>
    <row r="5675" spans="1:11" ht="42" customHeight="1">
      <c r="A5675" s="2" t="s">
        <v>14205</v>
      </c>
      <c r="B5675" s="2" t="s">
        <v>14206</v>
      </c>
      <c r="C5675" s="2" t="s">
        <v>31</v>
      </c>
      <c r="D5675" s="2" t="s">
        <v>32</v>
      </c>
      <c r="E5675" s="5">
        <v>-30839</v>
      </c>
      <c r="F5675" s="3" t="s">
        <v>616</v>
      </c>
      <c r="G5675" s="3" t="s">
        <v>57</v>
      </c>
      <c r="H5675" s="2" t="s">
        <v>72</v>
      </c>
      <c r="I5675" s="2" t="s">
        <v>14207</v>
      </c>
      <c r="J5675" s="3" t="str">
        <f>HYPERLINK("https://www.boe.es/gazeta/dias/1815/07/25/pdfs/GMD-1815-91.pdf#page=5","Abrir facsímil")</f>
        <v>Abrir facsímil</v>
      </c>
      <c r="K5675" s="3" t="s">
        <v>74</v>
      </c>
    </row>
    <row r="5676" spans="1:11" ht="42" customHeight="1">
      <c r="A5676" s="2" t="s">
        <v>14208</v>
      </c>
      <c r="B5676" s="2" t="s">
        <v>14209</v>
      </c>
      <c r="C5676" s="2" t="s">
        <v>49</v>
      </c>
      <c r="D5676" s="2" t="s">
        <v>50</v>
      </c>
      <c r="E5676" s="5">
        <v>-30893</v>
      </c>
      <c r="F5676" s="3" t="s">
        <v>132</v>
      </c>
      <c r="G5676" s="3" t="s">
        <v>155</v>
      </c>
      <c r="H5676" s="2" t="s">
        <v>72</v>
      </c>
      <c r="I5676" s="2" t="s">
        <v>14210</v>
      </c>
      <c r="J5676" s="3" t="str">
        <f>HYPERLINK("https://www.boe.es/gazeta/dias/1815/06/01/pdfs/GMD-1815-66.pdf#page=6","Abrir facsímil")</f>
        <v>Abrir facsímil</v>
      </c>
      <c r="K5676" s="3" t="s">
        <v>74</v>
      </c>
    </row>
    <row r="5677" spans="1:11" ht="42" customHeight="1">
      <c r="A5677" s="2" t="s">
        <v>14211</v>
      </c>
      <c r="B5677" s="2" t="s">
        <v>14212</v>
      </c>
      <c r="C5677" s="2" t="s">
        <v>17</v>
      </c>
      <c r="D5677" s="2" t="s">
        <v>18</v>
      </c>
      <c r="E5677" s="5">
        <v>-30991</v>
      </c>
      <c r="F5677" s="3" t="s">
        <v>318</v>
      </c>
      <c r="G5677" s="3" t="s">
        <v>8750</v>
      </c>
      <c r="H5677" s="2" t="s">
        <v>72</v>
      </c>
      <c r="I5677" s="2" t="s">
        <v>14213</v>
      </c>
      <c r="J5677" s="3" t="str">
        <f>HYPERLINK("https://www.boe.es/gazeta/dias/1815/02/23/pdfs/GMD-1815-23.pdf#page=4","Abrir facsímil")</f>
        <v>Abrir facsímil</v>
      </c>
      <c r="K5677" s="3" t="s">
        <v>74</v>
      </c>
    </row>
    <row r="5678" spans="1:11" ht="42" customHeight="1">
      <c r="A5678" s="2" t="s">
        <v>14214</v>
      </c>
      <c r="B5678" s="2" t="s">
        <v>14215</v>
      </c>
      <c r="C5678" s="2" t="s">
        <v>31</v>
      </c>
      <c r="D5678" s="2" t="s">
        <v>32</v>
      </c>
      <c r="E5678" s="5">
        <v>-30872</v>
      </c>
      <c r="F5678" s="3" t="s">
        <v>167</v>
      </c>
      <c r="G5678" s="3" t="s">
        <v>342</v>
      </c>
      <c r="H5678" s="2" t="s">
        <v>72</v>
      </c>
      <c r="I5678" s="2" t="s">
        <v>14216</v>
      </c>
      <c r="J5678" s="3" t="str">
        <f>HYPERLINK("https://www.boe.es/gazeta/dias/1815/06/22/pdfs/GMD-1815-75.pdf#page=8","Abrir facsímil")</f>
        <v>Abrir facsímil</v>
      </c>
      <c r="K5678" s="3" t="s">
        <v>74</v>
      </c>
    </row>
    <row r="5679" spans="1:11" ht="42" customHeight="1">
      <c r="A5679" s="2" t="s">
        <v>14217</v>
      </c>
      <c r="B5679" s="2" t="s">
        <v>14218</v>
      </c>
      <c r="C5679" s="2" t="s">
        <v>31</v>
      </c>
      <c r="D5679" s="2" t="s">
        <v>32</v>
      </c>
      <c r="E5679" s="5">
        <v>-30872</v>
      </c>
      <c r="F5679" s="3" t="s">
        <v>167</v>
      </c>
      <c r="G5679" s="3" t="s">
        <v>27</v>
      </c>
      <c r="H5679" s="2" t="s">
        <v>72</v>
      </c>
      <c r="I5679" s="2" t="s">
        <v>14219</v>
      </c>
      <c r="J5679" s="3" t="str">
        <f>HYPERLINK("https://www.boe.es/gazeta/dias/1815/06/22/pdfs/GMD-1815-75.pdf#page=6","Abrir facsímil")</f>
        <v>Abrir facsímil</v>
      </c>
      <c r="K5679" s="3" t="s">
        <v>74</v>
      </c>
    </row>
    <row r="5680" spans="1:11" ht="42" customHeight="1">
      <c r="A5680" s="2" t="s">
        <v>14220</v>
      </c>
      <c r="B5680" s="2" t="s">
        <v>14221</v>
      </c>
      <c r="C5680" s="2" t="s">
        <v>49</v>
      </c>
      <c r="D5680" s="2" t="s">
        <v>50</v>
      </c>
      <c r="E5680" s="5">
        <v>-30734</v>
      </c>
      <c r="F5680" s="3" t="s">
        <v>376</v>
      </c>
      <c r="G5680" s="3" t="s">
        <v>20</v>
      </c>
      <c r="H5680" s="2" t="s">
        <v>72</v>
      </c>
      <c r="I5680" s="2" t="s">
        <v>14222</v>
      </c>
      <c r="J5680" s="3" t="str">
        <f>HYPERLINK("https://www.boe.es/gazeta/dias/1815/11/07/pdfs/GMD-1815-139.pdf#page=4","Abrir facsímil")</f>
        <v>Abrir facsímil</v>
      </c>
      <c r="K5680" s="3" t="s">
        <v>74</v>
      </c>
    </row>
    <row r="5681" spans="1:11" ht="42" customHeight="1">
      <c r="A5681" s="2" t="s">
        <v>14220</v>
      </c>
      <c r="B5681" s="2" t="s">
        <v>14221</v>
      </c>
      <c r="C5681" s="2" t="s">
        <v>49</v>
      </c>
      <c r="D5681" s="2" t="s">
        <v>50</v>
      </c>
      <c r="E5681" s="5">
        <v>-30734</v>
      </c>
      <c r="F5681" s="3" t="s">
        <v>376</v>
      </c>
      <c r="G5681" s="3" t="s">
        <v>57</v>
      </c>
      <c r="H5681" s="2" t="s">
        <v>72</v>
      </c>
      <c r="I5681" s="2" t="s">
        <v>14223</v>
      </c>
      <c r="J5681" s="3" t="str">
        <f>HYPERLINK("https://www.boe.es/gazeta/dias/1815/11/07/pdfs/GMD-1815-139.pdf#page=5","Abrir facsímil")</f>
        <v>Abrir facsímil</v>
      </c>
      <c r="K5681" s="3" t="s">
        <v>74</v>
      </c>
    </row>
    <row r="5682" spans="1:11" ht="42" customHeight="1">
      <c r="A5682" s="2" t="s">
        <v>14224</v>
      </c>
      <c r="B5682" s="2" t="s">
        <v>14225</v>
      </c>
      <c r="C5682" s="2" t="s">
        <v>49</v>
      </c>
      <c r="D5682" s="2" t="s">
        <v>50</v>
      </c>
      <c r="E5682" s="5">
        <v>-30767</v>
      </c>
      <c r="F5682" s="3" t="s">
        <v>228</v>
      </c>
      <c r="G5682" s="3" t="s">
        <v>88</v>
      </c>
      <c r="H5682" s="2" t="s">
        <v>21</v>
      </c>
      <c r="I5682" s="2" t="s">
        <v>14226</v>
      </c>
      <c r="J5682" s="3" t="str">
        <f>HYPERLINK("https://www.boe.es/gazeta/dias/1815/10/05/pdfs/GMD-1815-125.pdf#page=10","Abrir facsímil")</f>
        <v>Abrir facsímil</v>
      </c>
      <c r="K5682" s="3" t="s">
        <v>23</v>
      </c>
    </row>
    <row r="5683" spans="1:11" ht="42" customHeight="1">
      <c r="A5683" s="2" t="s">
        <v>14227</v>
      </c>
      <c r="B5683" s="2" t="s">
        <v>14228</v>
      </c>
      <c r="C5683" s="2" t="s">
        <v>49</v>
      </c>
      <c r="D5683" s="2" t="s">
        <v>50</v>
      </c>
      <c r="E5683" s="5">
        <v>-30832</v>
      </c>
      <c r="F5683" s="3" t="s">
        <v>266</v>
      </c>
      <c r="G5683" s="3" t="s">
        <v>224</v>
      </c>
      <c r="H5683" s="2" t="s">
        <v>72</v>
      </c>
      <c r="I5683" s="2" t="s">
        <v>14229</v>
      </c>
      <c r="J5683" s="3" t="str">
        <f>HYPERLINK("https://www.boe.es/gazeta/dias/1815/08/01/pdfs/GMD-1815-94.pdf#page=9","Abrir facsímil")</f>
        <v>Abrir facsímil</v>
      </c>
      <c r="K5683" s="3" t="s">
        <v>74</v>
      </c>
    </row>
    <row r="5684" spans="1:11" ht="42" customHeight="1">
      <c r="A5684" s="2" t="s">
        <v>14230</v>
      </c>
      <c r="B5684" s="2" t="s">
        <v>14231</v>
      </c>
      <c r="C5684" s="2" t="s">
        <v>31</v>
      </c>
      <c r="D5684" s="2" t="s">
        <v>32</v>
      </c>
      <c r="E5684" s="5">
        <v>-30982</v>
      </c>
      <c r="F5684" s="3" t="s">
        <v>220</v>
      </c>
      <c r="G5684" s="3" t="s">
        <v>57</v>
      </c>
      <c r="H5684" s="2" t="s">
        <v>72</v>
      </c>
      <c r="I5684" s="2" t="s">
        <v>14232</v>
      </c>
      <c r="J5684" s="3" t="str">
        <f>HYPERLINK("https://www.boe.es/gazeta/dias/1815/03/04/pdfs/GMD-1815-27.pdf#page=5","Abrir facsímil")</f>
        <v>Abrir facsímil</v>
      </c>
      <c r="K5684" s="3" t="s">
        <v>74</v>
      </c>
    </row>
    <row r="5685" spans="1:11" ht="42" customHeight="1">
      <c r="A5685" s="2" t="s">
        <v>14233</v>
      </c>
      <c r="B5685" s="2" t="s">
        <v>14234</v>
      </c>
      <c r="C5685" s="2" t="s">
        <v>17</v>
      </c>
      <c r="D5685" s="2" t="s">
        <v>18</v>
      </c>
      <c r="E5685" s="5">
        <v>-30846</v>
      </c>
      <c r="F5685" s="3" t="s">
        <v>858</v>
      </c>
      <c r="G5685" s="3" t="s">
        <v>27</v>
      </c>
      <c r="H5685" s="2" t="s">
        <v>72</v>
      </c>
      <c r="I5685" s="2" t="s">
        <v>14235</v>
      </c>
      <c r="J5685" s="3" t="str">
        <f>HYPERLINK("https://www.boe.es/gazeta/dias/1815/07/18/pdfs/GMD-1815-88.pdf#page=6","Abrir facsímil")</f>
        <v>Abrir facsímil</v>
      </c>
      <c r="K5685" s="3" t="s">
        <v>74</v>
      </c>
    </row>
    <row r="5686" spans="1:11" ht="42" customHeight="1">
      <c r="A5686" s="2" t="s">
        <v>14236</v>
      </c>
      <c r="B5686" s="2" t="s">
        <v>14237</v>
      </c>
      <c r="C5686" s="2" t="s">
        <v>17</v>
      </c>
      <c r="D5686" s="2" t="s">
        <v>18</v>
      </c>
      <c r="E5686" s="5">
        <v>-30846</v>
      </c>
      <c r="F5686" s="3" t="s">
        <v>858</v>
      </c>
      <c r="G5686" s="3" t="s">
        <v>27</v>
      </c>
      <c r="H5686" s="2" t="s">
        <v>72</v>
      </c>
      <c r="I5686" s="2" t="s">
        <v>14238</v>
      </c>
      <c r="J5686" s="3" t="str">
        <f>HYPERLINK("https://www.boe.es/gazeta/dias/1815/07/18/pdfs/GMD-1815-88.pdf#page=6","Abrir facsímil")</f>
        <v>Abrir facsímil</v>
      </c>
      <c r="K5686" s="3" t="s">
        <v>74</v>
      </c>
    </row>
    <row r="5687" spans="1:11" ht="42" customHeight="1">
      <c r="A5687" s="2" t="s">
        <v>14239</v>
      </c>
      <c r="B5687" s="2" t="s">
        <v>14240</v>
      </c>
      <c r="C5687" s="2" t="s">
        <v>31</v>
      </c>
      <c r="D5687" s="2" t="s">
        <v>32</v>
      </c>
      <c r="E5687" s="5">
        <v>-30865</v>
      </c>
      <c r="F5687" s="3" t="s">
        <v>163</v>
      </c>
      <c r="G5687" s="3" t="s">
        <v>38</v>
      </c>
      <c r="H5687" s="2" t="s">
        <v>72</v>
      </c>
      <c r="I5687" s="2" t="s">
        <v>14241</v>
      </c>
      <c r="J5687" s="3" t="str">
        <f>HYPERLINK("https://www.boe.es/gazeta/dias/1815/06/29/pdfs/GMD-1815-78.pdf#page=8","Abrir facsímil")</f>
        <v>Abrir facsímil</v>
      </c>
      <c r="K5687" s="3" t="s">
        <v>74</v>
      </c>
    </row>
    <row r="5688" spans="1:11" ht="42" customHeight="1">
      <c r="A5688" s="2" t="s">
        <v>14242</v>
      </c>
      <c r="B5688" s="2" t="s">
        <v>14242</v>
      </c>
      <c r="C5688" s="2" t="s">
        <v>31</v>
      </c>
      <c r="D5688" s="2" t="s">
        <v>32</v>
      </c>
      <c r="E5688" s="5">
        <v>-30832</v>
      </c>
      <c r="F5688" s="3" t="s">
        <v>266</v>
      </c>
      <c r="G5688" s="3" t="s">
        <v>410</v>
      </c>
      <c r="H5688" s="2" t="s">
        <v>72</v>
      </c>
      <c r="I5688" s="2" t="s">
        <v>14243</v>
      </c>
      <c r="J5688" s="3" t="str">
        <f>HYPERLINK("https://www.boe.es/gazeta/dias/1815/08/01/pdfs/GMD-1815-94.pdf#page=1","Abrir facsímil")</f>
        <v>Abrir facsímil</v>
      </c>
      <c r="K5688" s="3" t="s">
        <v>74</v>
      </c>
    </row>
    <row r="5689" spans="1:11" ht="42" customHeight="1">
      <c r="A5689" s="2" t="s">
        <v>14242</v>
      </c>
      <c r="B5689" s="2" t="s">
        <v>14242</v>
      </c>
      <c r="C5689" s="2" t="s">
        <v>31</v>
      </c>
      <c r="D5689" s="2" t="s">
        <v>32</v>
      </c>
      <c r="E5689" s="5">
        <v>-30830</v>
      </c>
      <c r="F5689" s="3" t="s">
        <v>33</v>
      </c>
      <c r="G5689" s="3" t="s">
        <v>377</v>
      </c>
      <c r="H5689" s="2" t="s">
        <v>72</v>
      </c>
      <c r="I5689" s="2" t="s">
        <v>14244</v>
      </c>
      <c r="J5689" s="3" t="str">
        <f>HYPERLINK("https://www.boe.es/gazeta/dias/1815/08/03/pdfs/GMD-1815-95.pdf#page=2","Abrir facsímil")</f>
        <v>Abrir facsímil</v>
      </c>
      <c r="K5689" s="3" t="s">
        <v>74</v>
      </c>
    </row>
    <row r="5690" spans="1:11" ht="42" customHeight="1">
      <c r="A5690" s="2" t="s">
        <v>14245</v>
      </c>
      <c r="B5690" s="2" t="s">
        <v>14245</v>
      </c>
      <c r="C5690" s="2" t="s">
        <v>31</v>
      </c>
      <c r="D5690" s="2" t="s">
        <v>32</v>
      </c>
      <c r="E5690" s="5">
        <v>-30823</v>
      </c>
      <c r="F5690" s="3" t="s">
        <v>305</v>
      </c>
      <c r="G5690" s="3" t="s">
        <v>306</v>
      </c>
      <c r="H5690" s="2" t="s">
        <v>72</v>
      </c>
      <c r="I5690" s="2" t="s">
        <v>14246</v>
      </c>
      <c r="J5690" s="3" t="str">
        <f>HYPERLINK("https://www.boe.es/gazeta/dias/1815/08/10/pdfs/GMD-1815-98.pdf#page=7","Abrir facsímil")</f>
        <v>Abrir facsímil</v>
      </c>
      <c r="K5690" s="3" t="s">
        <v>74</v>
      </c>
    </row>
    <row r="5691" spans="1:11" ht="42" customHeight="1">
      <c r="A5691" s="2" t="s">
        <v>14242</v>
      </c>
      <c r="B5691" s="2" t="s">
        <v>14242</v>
      </c>
      <c r="C5691" s="2" t="s">
        <v>31</v>
      </c>
      <c r="D5691" s="2" t="s">
        <v>32</v>
      </c>
      <c r="E5691" s="5">
        <v>-30739</v>
      </c>
      <c r="F5691" s="3" t="s">
        <v>254</v>
      </c>
      <c r="G5691" s="3" t="s">
        <v>20</v>
      </c>
      <c r="H5691" s="2" t="s">
        <v>72</v>
      </c>
      <c r="I5691" s="2" t="s">
        <v>14247</v>
      </c>
      <c r="J5691" s="3" t="str">
        <f>HYPERLINK("https://www.boe.es/gazeta/dias/1815/11/02/pdfs/GMD-1815-137.pdf#page=4","Abrir facsímil")</f>
        <v>Abrir facsímil</v>
      </c>
      <c r="K5691" s="3" t="s">
        <v>74</v>
      </c>
    </row>
    <row r="5692" spans="1:11" ht="42" customHeight="1">
      <c r="A5692" s="2" t="s">
        <v>14242</v>
      </c>
      <c r="B5692" s="2" t="s">
        <v>14242</v>
      </c>
      <c r="C5692" s="2" t="s">
        <v>31</v>
      </c>
      <c r="D5692" s="2" t="s">
        <v>32</v>
      </c>
      <c r="E5692" s="5">
        <v>-30725</v>
      </c>
      <c r="F5692" s="3" t="s">
        <v>1535</v>
      </c>
      <c r="G5692" s="3" t="s">
        <v>20</v>
      </c>
      <c r="H5692" s="2" t="s">
        <v>72</v>
      </c>
      <c r="I5692" s="2" t="s">
        <v>14248</v>
      </c>
      <c r="J5692" s="3" t="str">
        <f>HYPERLINK("https://www.boe.es/gazeta/dias/1815/11/16/pdfs/GMD-1815-143.pdf#page=4","Abrir facsímil")</f>
        <v>Abrir facsímil</v>
      </c>
      <c r="K5692" s="3" t="s">
        <v>74</v>
      </c>
    </row>
    <row r="5693" spans="1:11" ht="42" customHeight="1">
      <c r="A5693" s="2" t="s">
        <v>14242</v>
      </c>
      <c r="B5693" s="2" t="s">
        <v>14242</v>
      </c>
      <c r="C5693" s="2" t="s">
        <v>31</v>
      </c>
      <c r="D5693" s="2" t="s">
        <v>32</v>
      </c>
      <c r="E5693" s="5">
        <v>-30706</v>
      </c>
      <c r="F5693" s="3" t="s">
        <v>2478</v>
      </c>
      <c r="G5693" s="3" t="s">
        <v>20</v>
      </c>
      <c r="H5693" s="2" t="s">
        <v>72</v>
      </c>
      <c r="I5693" s="2" t="s">
        <v>14249</v>
      </c>
      <c r="J5693" s="3" t="str">
        <f>HYPERLINK("https://www.boe.es/gazeta/dias/1815/12/05/pdfs/GMD-1815-151.pdf#page=4","Abrir facsímil")</f>
        <v>Abrir facsímil</v>
      </c>
      <c r="K5693" s="3" t="s">
        <v>74</v>
      </c>
    </row>
    <row r="5694" spans="1:11" ht="42" customHeight="1">
      <c r="A5694" s="2" t="s">
        <v>14242</v>
      </c>
      <c r="B5694" s="2" t="s">
        <v>14242</v>
      </c>
      <c r="C5694" s="2" t="s">
        <v>31</v>
      </c>
      <c r="D5694" s="2" t="s">
        <v>32</v>
      </c>
      <c r="E5694" s="5">
        <v>-30702</v>
      </c>
      <c r="F5694" s="3" t="s">
        <v>196</v>
      </c>
      <c r="G5694" s="3" t="s">
        <v>57</v>
      </c>
      <c r="H5694" s="2" t="s">
        <v>72</v>
      </c>
      <c r="I5694" s="2" t="s">
        <v>14250</v>
      </c>
      <c r="J5694" s="3" t="str">
        <f>HYPERLINK("https://www.boe.es/gazeta/dias/1815/12/09/pdfs/GMD-1815-153.pdf#page=5","Abrir facsímil")</f>
        <v>Abrir facsímil</v>
      </c>
      <c r="K5694" s="3" t="s">
        <v>74</v>
      </c>
    </row>
    <row r="5695" spans="1:11" ht="42" customHeight="1">
      <c r="A5695" s="2" t="s">
        <v>14251</v>
      </c>
      <c r="B5695" s="2" t="s">
        <v>14252</v>
      </c>
      <c r="C5695" s="2" t="s">
        <v>195</v>
      </c>
      <c r="D5695" s="2" t="s">
        <v>50</v>
      </c>
      <c r="E5695" s="5">
        <v>-30888</v>
      </c>
      <c r="F5695" s="3" t="s">
        <v>368</v>
      </c>
      <c r="G5695" s="3" t="s">
        <v>369</v>
      </c>
      <c r="H5695" s="2" t="s">
        <v>72</v>
      </c>
      <c r="I5695" s="2" t="s">
        <v>14253</v>
      </c>
      <c r="J5695" s="3" t="str">
        <f>HYPERLINK("https://www.boe.es/gazeta/dias/1815/06/06/pdfs/GMD-1815-68.pdf#page=7","Abrir facsímil")</f>
        <v>Abrir facsímil</v>
      </c>
      <c r="K5695" s="3" t="s">
        <v>74</v>
      </c>
    </row>
    <row r="5696" spans="1:11" ht="42" customHeight="1">
      <c r="A5696" s="2" t="s">
        <v>14254</v>
      </c>
      <c r="B5696" s="2" t="s">
        <v>14255</v>
      </c>
      <c r="C5696" s="2" t="s">
        <v>31</v>
      </c>
      <c r="D5696" s="2" t="s">
        <v>32</v>
      </c>
      <c r="E5696" s="5">
        <v>-30891</v>
      </c>
      <c r="F5696" s="3" t="s">
        <v>498</v>
      </c>
      <c r="G5696" s="3" t="s">
        <v>27</v>
      </c>
      <c r="H5696" s="2" t="s">
        <v>72</v>
      </c>
      <c r="I5696" s="2" t="s">
        <v>14256</v>
      </c>
      <c r="J5696" s="3" t="str">
        <f>HYPERLINK("https://www.boe.es/gazeta/dias/1815/06/03/pdfs/GMD-1815-67.pdf#page=6","Abrir facsímil")</f>
        <v>Abrir facsímil</v>
      </c>
      <c r="K5696" s="3" t="s">
        <v>74</v>
      </c>
    </row>
    <row r="5697" spans="1:11" ht="42" customHeight="1">
      <c r="A5697" s="2" t="s">
        <v>14257</v>
      </c>
      <c r="B5697" s="2" t="s">
        <v>14258</v>
      </c>
      <c r="C5697" s="2" t="s">
        <v>31</v>
      </c>
      <c r="D5697" s="2" t="s">
        <v>32</v>
      </c>
      <c r="E5697" s="5">
        <v>-30818</v>
      </c>
      <c r="F5697" s="3" t="s">
        <v>334</v>
      </c>
      <c r="G5697" s="3" t="s">
        <v>38</v>
      </c>
      <c r="H5697" s="2" t="s">
        <v>72</v>
      </c>
      <c r="I5697" s="2" t="s">
        <v>14259</v>
      </c>
      <c r="J5697" s="3" t="str">
        <f>HYPERLINK("https://www.boe.es/gazeta/dias/1815/08/15/pdfs/GMD-1815-100.pdf#page=8","Abrir facsímil")</f>
        <v>Abrir facsímil</v>
      </c>
      <c r="K5697" s="3" t="s">
        <v>74</v>
      </c>
    </row>
    <row r="5698" spans="1:11" ht="42" customHeight="1">
      <c r="A5698" s="2" t="s">
        <v>14260</v>
      </c>
      <c r="B5698" s="2" t="s">
        <v>14261</v>
      </c>
      <c r="C5698" s="2" t="s">
        <v>195</v>
      </c>
      <c r="D5698" s="2" t="s">
        <v>50</v>
      </c>
      <c r="E5698" s="5">
        <v>-31012</v>
      </c>
      <c r="F5698" s="3" t="s">
        <v>529</v>
      </c>
      <c r="G5698" s="3" t="s">
        <v>57</v>
      </c>
      <c r="H5698" s="2" t="s">
        <v>72</v>
      </c>
      <c r="I5698" s="2" t="s">
        <v>14262</v>
      </c>
      <c r="J5698" s="3" t="str">
        <f>HYPERLINK("https://www.boe.es/gazeta/dias/1815/02/02/pdfs/GMD-1815-14.pdf#page=5","Abrir facsímil")</f>
        <v>Abrir facsímil</v>
      </c>
      <c r="K5698" s="3" t="s">
        <v>74</v>
      </c>
    </row>
    <row r="5699" spans="1:11" ht="42" customHeight="1">
      <c r="A5699" s="2" t="s">
        <v>14263</v>
      </c>
      <c r="B5699" s="2" t="s">
        <v>14264</v>
      </c>
      <c r="C5699" s="2" t="s">
        <v>31</v>
      </c>
      <c r="D5699" s="2" t="s">
        <v>32</v>
      </c>
      <c r="E5699" s="5">
        <v>-30739</v>
      </c>
      <c r="F5699" s="3" t="s">
        <v>254</v>
      </c>
      <c r="G5699" s="3" t="s">
        <v>88</v>
      </c>
      <c r="H5699" s="2" t="s">
        <v>72</v>
      </c>
      <c r="I5699" s="2" t="s">
        <v>14265</v>
      </c>
      <c r="J5699" s="3" t="str">
        <f>HYPERLINK("https://www.boe.es/gazeta/dias/1815/11/02/pdfs/GMD-1815-137.pdf#page=10","Abrir facsímil")</f>
        <v>Abrir facsímil</v>
      </c>
      <c r="K5699" s="3" t="s">
        <v>74</v>
      </c>
    </row>
    <row r="5700" spans="1:11" ht="42" customHeight="1">
      <c r="A5700" s="2" t="s">
        <v>14266</v>
      </c>
      <c r="B5700" s="2" t="s">
        <v>14267</v>
      </c>
      <c r="C5700" s="2" t="s">
        <v>49</v>
      </c>
      <c r="D5700" s="2" t="s">
        <v>50</v>
      </c>
      <c r="E5700" s="5">
        <v>-30893</v>
      </c>
      <c r="F5700" s="3" t="s">
        <v>132</v>
      </c>
      <c r="G5700" s="3" t="s">
        <v>155</v>
      </c>
      <c r="H5700" s="2" t="s">
        <v>72</v>
      </c>
      <c r="I5700" s="2" t="s">
        <v>14268</v>
      </c>
      <c r="J5700" s="3" t="str">
        <f>HYPERLINK("https://www.boe.es/gazeta/dias/1815/06/01/pdfs/GMD-1815-66.pdf#page=6","Abrir facsímil")</f>
        <v>Abrir facsímil</v>
      </c>
      <c r="K5700" s="3" t="s">
        <v>74</v>
      </c>
    </row>
    <row r="5701" spans="1:11" ht="42" customHeight="1">
      <c r="A5701" s="2" t="s">
        <v>14269</v>
      </c>
      <c r="B5701" s="2" t="s">
        <v>14270</v>
      </c>
      <c r="C5701" s="2" t="s">
        <v>31</v>
      </c>
      <c r="D5701" s="2" t="s">
        <v>32</v>
      </c>
      <c r="E5701" s="5">
        <v>-30814</v>
      </c>
      <c r="F5701" s="3" t="s">
        <v>644</v>
      </c>
      <c r="G5701" s="3" t="s">
        <v>57</v>
      </c>
      <c r="H5701" s="2" t="s">
        <v>72</v>
      </c>
      <c r="I5701" s="2" t="s">
        <v>14271</v>
      </c>
      <c r="J5701" s="3" t="str">
        <f>HYPERLINK("https://www.boe.es/gazeta/dias/1815/08/19/pdfs/GMD-1815-102.pdf#page=5","Abrir facsímil")</f>
        <v>Abrir facsímil</v>
      </c>
      <c r="K5701" s="3" t="s">
        <v>74</v>
      </c>
    </row>
    <row r="5702" spans="1:11" ht="42" customHeight="1"/>
    <row r="5703" spans="1:11" ht="42" customHeight="1"/>
    <row r="5704" spans="1:11" ht="42" customHeight="1"/>
    <row r="5705" spans="1:11" ht="42" customHeight="1"/>
    <row r="5706" spans="1:11" ht="42" customHeight="1"/>
    <row r="5707" spans="1:11" ht="42" customHeight="1"/>
    <row r="5708" spans="1:11" ht="42" customHeight="1"/>
    <row r="5709" spans="1:11" ht="42" customHeight="1"/>
    <row r="5710" spans="1:11" ht="42" customHeight="1"/>
    <row r="5711" spans="1:11" ht="42" customHeight="1"/>
    <row r="5712" spans="1:11"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5701">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14272</v>
      </c>
      <c r="B1" s="8"/>
      <c r="C1" s="8"/>
      <c r="D1" s="8"/>
      <c r="E1" s="8"/>
      <c r="F1" s="8"/>
    </row>
    <row r="2" spans="1:6" ht="22.05" customHeight="1">
      <c r="A2" s="12" t="s">
        <v>14273</v>
      </c>
      <c r="B2" s="12"/>
      <c r="C2" s="12"/>
      <c r="D2" s="12"/>
      <c r="E2" s="12"/>
      <c r="F2" s="12"/>
    </row>
    <row r="4" spans="1:6" ht="30" customHeight="1">
      <c r="A4" s="1" t="s">
        <v>8</v>
      </c>
      <c r="B4" s="1" t="s">
        <v>9</v>
      </c>
      <c r="C4" s="1" t="s">
        <v>14274</v>
      </c>
      <c r="D4" s="1" t="s">
        <v>14275</v>
      </c>
      <c r="E4" s="1" t="s">
        <v>14276</v>
      </c>
      <c r="F4" s="1" t="s">
        <v>14277</v>
      </c>
    </row>
    <row r="5" spans="1:6" ht="31.05" customHeight="1">
      <c r="A5" s="6">
        <v>-31042</v>
      </c>
      <c r="B5" s="2" t="s">
        <v>512</v>
      </c>
      <c r="C5" s="2" t="s">
        <v>14278</v>
      </c>
      <c r="D5" s="3">
        <v>8</v>
      </c>
      <c r="E5" s="3">
        <v>32</v>
      </c>
      <c r="F5" s="3" t="str">
        <f>HYPERLINK("https://www.boe.es/gazeta/dias/1815/01/03/pdfs/GMD-1815-1.pdf","Abrir PDF")</f>
        <v>Abrir PDF</v>
      </c>
    </row>
    <row r="6" spans="1:6" ht="31.05" customHeight="1">
      <c r="A6" s="6">
        <v>-31040</v>
      </c>
      <c r="B6" s="2" t="s">
        <v>326</v>
      </c>
      <c r="C6" s="2" t="s">
        <v>14279</v>
      </c>
      <c r="D6" s="3">
        <v>8</v>
      </c>
      <c r="E6" s="3">
        <v>63</v>
      </c>
      <c r="F6" s="3" t="str">
        <f>HYPERLINK("https://www.boe.es/gazeta/dias/1815/01/05/pdfs/GMD-1815-2.pdf","Abrir PDF")</f>
        <v>Abrir PDF</v>
      </c>
    </row>
    <row r="7" spans="1:6" ht="31.05" customHeight="1">
      <c r="A7" s="6">
        <v>-31038</v>
      </c>
      <c r="B7" s="2" t="s">
        <v>395</v>
      </c>
      <c r="C7" s="2" t="s">
        <v>14280</v>
      </c>
      <c r="D7" s="3">
        <v>8</v>
      </c>
      <c r="E7" s="3">
        <v>137</v>
      </c>
      <c r="F7" s="3" t="str">
        <f>HYPERLINK("https://www.boe.es/gazeta/dias/1815/01/07/pdfs/GMD-1815-3.pdf","Abrir PDF")</f>
        <v>Abrir PDF</v>
      </c>
    </row>
    <row r="8" spans="1:6" ht="31.05" customHeight="1">
      <c r="A8" s="6">
        <v>-31035</v>
      </c>
      <c r="B8" s="2" t="s">
        <v>42</v>
      </c>
      <c r="C8" s="2" t="s">
        <v>14281</v>
      </c>
      <c r="D8" s="3">
        <v>8</v>
      </c>
      <c r="E8" s="3">
        <v>19</v>
      </c>
      <c r="F8" s="3" t="str">
        <f>HYPERLINK("https://www.boe.es/gazeta/dias/1815/01/10/pdfs/GMD-1815-4.pdf","Abrir PDF")</f>
        <v>Abrir PDF</v>
      </c>
    </row>
    <row r="9" spans="1:6" ht="31.05" customHeight="1">
      <c r="A9" s="6">
        <v>-31033</v>
      </c>
      <c r="B9" s="2" t="s">
        <v>493</v>
      </c>
      <c r="C9" s="2" t="s">
        <v>14282</v>
      </c>
      <c r="D9" s="3">
        <v>8</v>
      </c>
      <c r="E9" s="3">
        <v>24</v>
      </c>
      <c r="F9" s="3" t="str">
        <f>HYPERLINK("https://www.boe.es/gazeta/dias/1815/01/12/pdfs/GMD-1815-5.pdf","Abrir PDF")</f>
        <v>Abrir PDF</v>
      </c>
    </row>
    <row r="10" spans="1:6" ht="31.05" customHeight="1">
      <c r="A10" s="6">
        <v>-31031</v>
      </c>
      <c r="B10" s="2" t="s">
        <v>105</v>
      </c>
      <c r="C10" s="2" t="s">
        <v>14283</v>
      </c>
      <c r="D10" s="3">
        <v>8</v>
      </c>
      <c r="E10" s="3">
        <v>43</v>
      </c>
      <c r="F10" s="3" t="str">
        <f>HYPERLINK("https://www.boe.es/gazeta/dias/1815/01/14/pdfs/GMD-1815-6.pdf","Abrir PDF")</f>
        <v>Abrir PDF</v>
      </c>
    </row>
    <row r="11" spans="1:6" ht="31.05" customHeight="1">
      <c r="A11" s="6">
        <v>-31028</v>
      </c>
      <c r="B11" s="2" t="s">
        <v>517</v>
      </c>
      <c r="C11" s="2" t="s">
        <v>14284</v>
      </c>
      <c r="D11" s="3">
        <v>12</v>
      </c>
      <c r="E11" s="3">
        <v>46</v>
      </c>
      <c r="F11" s="3" t="str">
        <f>HYPERLINK("https://www.boe.es/gazeta/dias/1815/01/17/pdfs/GMD-1815-7.pdf","Abrir PDF")</f>
        <v>Abrir PDF</v>
      </c>
    </row>
    <row r="12" spans="1:6" ht="31.05" customHeight="1">
      <c r="A12" s="6">
        <v>-31026</v>
      </c>
      <c r="B12" s="2" t="s">
        <v>874</v>
      </c>
      <c r="C12" s="2" t="s">
        <v>14285</v>
      </c>
      <c r="D12" s="3">
        <v>8</v>
      </c>
      <c r="E12" s="3">
        <v>28</v>
      </c>
      <c r="F12" s="3" t="str">
        <f>HYPERLINK("https://www.boe.es/gazeta/dias/1815/01/19/pdfs/GMD-1815-8.pdf","Abrir PDF")</f>
        <v>Abrir PDF</v>
      </c>
    </row>
    <row r="13" spans="1:6" ht="31.05" customHeight="1">
      <c r="A13" s="6">
        <v>-31024</v>
      </c>
      <c r="B13" s="2" t="s">
        <v>101</v>
      </c>
      <c r="C13" s="2" t="s">
        <v>14286</v>
      </c>
      <c r="D13" s="3">
        <v>8</v>
      </c>
      <c r="E13" s="3">
        <v>40</v>
      </c>
      <c r="F13" s="3" t="str">
        <f>HYPERLINK("https://www.boe.es/gazeta/dias/1815/01/21/pdfs/GMD-1815-9.pdf","Abrir PDF")</f>
        <v>Abrir PDF</v>
      </c>
    </row>
    <row r="14" spans="1:6" ht="31.05" customHeight="1">
      <c r="A14" s="6">
        <v>-31021</v>
      </c>
      <c r="B14" s="2" t="s">
        <v>481</v>
      </c>
      <c r="C14" s="2" t="s">
        <v>14287</v>
      </c>
      <c r="D14" s="3">
        <v>8</v>
      </c>
      <c r="E14" s="3">
        <v>11</v>
      </c>
      <c r="F14" s="3" t="str">
        <f>HYPERLINK("https://www.boe.es/gazeta/dias/1815/01/24/pdfs/GMD-1815-10.pdf","Abrir PDF")</f>
        <v>Abrir PDF</v>
      </c>
    </row>
    <row r="15" spans="1:6" ht="31.05" customHeight="1">
      <c r="A15" s="6">
        <v>-31019</v>
      </c>
      <c r="B15" s="2" t="s">
        <v>1094</v>
      </c>
      <c r="C15" s="2" t="s">
        <v>14288</v>
      </c>
      <c r="D15" s="3">
        <v>12</v>
      </c>
      <c r="E15" s="3">
        <v>20</v>
      </c>
      <c r="F15" s="3" t="str">
        <f>HYPERLINK("https://www.boe.es/gazeta/dias/1815/01/26/pdfs/GMD-1815-11.pdf","Abrir PDF")</f>
        <v>Abrir PDF</v>
      </c>
    </row>
    <row r="16" spans="1:6" ht="31.05" customHeight="1">
      <c r="A16" s="6">
        <v>-31017</v>
      </c>
      <c r="B16" s="2" t="s">
        <v>456</v>
      </c>
      <c r="C16" s="2" t="s">
        <v>14289</v>
      </c>
      <c r="D16" s="3">
        <v>8</v>
      </c>
      <c r="E16" s="3">
        <v>18</v>
      </c>
      <c r="F16" s="3" t="str">
        <f>HYPERLINK("https://www.boe.es/gazeta/dias/1815/01/28/pdfs/GMD-1815-12.pdf","Abrir PDF")</f>
        <v>Abrir PDF</v>
      </c>
    </row>
    <row r="17" spans="1:6" ht="31.05" customHeight="1">
      <c r="A17" s="6">
        <v>-31014</v>
      </c>
      <c r="B17" s="2" t="s">
        <v>3193</v>
      </c>
      <c r="C17" s="2" t="s">
        <v>14290</v>
      </c>
      <c r="D17" s="3">
        <v>8</v>
      </c>
      <c r="E17" s="3">
        <v>10</v>
      </c>
      <c r="F17" s="3" t="str">
        <f>HYPERLINK("https://www.boe.es/gazeta/dias/1815/01/31/pdfs/GMD-1815-13.pdf","Abrir PDF")</f>
        <v>Abrir PDF</v>
      </c>
    </row>
    <row r="18" spans="1:6" ht="31.05" customHeight="1">
      <c r="A18" s="6">
        <v>-31012</v>
      </c>
      <c r="B18" s="2" t="s">
        <v>529</v>
      </c>
      <c r="C18" s="2" t="s">
        <v>14291</v>
      </c>
      <c r="D18" s="3">
        <v>8</v>
      </c>
      <c r="E18" s="3">
        <v>28</v>
      </c>
      <c r="F18" s="3" t="str">
        <f>HYPERLINK("https://www.boe.es/gazeta/dias/1815/02/02/pdfs/GMD-1815-14.pdf","Abrir PDF")</f>
        <v>Abrir PDF</v>
      </c>
    </row>
    <row r="19" spans="1:6" ht="31.05" customHeight="1">
      <c r="A19" s="6">
        <v>-31010</v>
      </c>
      <c r="B19" s="2" t="s">
        <v>1098</v>
      </c>
      <c r="C19" s="2" t="s">
        <v>14292</v>
      </c>
      <c r="D19" s="3">
        <v>8</v>
      </c>
      <c r="E19" s="3">
        <v>8</v>
      </c>
      <c r="F19" s="3" t="str">
        <f>HYPERLINK("https://www.boe.es/gazeta/dias/1815/02/04/pdfs/GMD-1815-15.pdf","Abrir PDF")</f>
        <v>Abrir PDF</v>
      </c>
    </row>
    <row r="20" spans="1:6" ht="31.05" customHeight="1">
      <c r="A20" s="6">
        <v>-31007</v>
      </c>
      <c r="B20" s="2" t="s">
        <v>200</v>
      </c>
      <c r="C20" s="2" t="s">
        <v>14293</v>
      </c>
      <c r="D20" s="3">
        <v>12</v>
      </c>
      <c r="E20" s="3">
        <v>27</v>
      </c>
      <c r="F20" s="3" t="str">
        <f>HYPERLINK("https://www.boe.es/gazeta/dias/1815/02/07/pdfs/GMD-1815-16.pdf","Abrir PDF")</f>
        <v>Abrir PDF</v>
      </c>
    </row>
    <row r="21" spans="1:6" ht="31.05" customHeight="1">
      <c r="A21" s="6">
        <v>-31005</v>
      </c>
      <c r="B21" s="2" t="s">
        <v>576</v>
      </c>
      <c r="C21" s="2" t="s">
        <v>14294</v>
      </c>
      <c r="D21" s="3">
        <v>8</v>
      </c>
      <c r="E21" s="3">
        <v>18</v>
      </c>
      <c r="F21" s="3" t="str">
        <f>HYPERLINK("https://www.boe.es/gazeta/dias/1815/02/09/pdfs/GMD-1815-17.pdf","Abrir PDF")</f>
        <v>Abrir PDF</v>
      </c>
    </row>
    <row r="22" spans="1:6" ht="31.05" customHeight="1">
      <c r="A22" s="6">
        <v>-31003</v>
      </c>
      <c r="B22" s="2" t="s">
        <v>405</v>
      </c>
      <c r="C22" s="2" t="s">
        <v>14295</v>
      </c>
      <c r="D22" s="3">
        <v>8</v>
      </c>
      <c r="E22" s="3">
        <v>23</v>
      </c>
      <c r="F22" s="3" t="str">
        <f>HYPERLINK("https://www.boe.es/gazeta/dias/1815/02/11/pdfs/GMD-1815-18.pdf","Abrir PDF")</f>
        <v>Abrir PDF</v>
      </c>
    </row>
    <row r="23" spans="1:6" ht="31.05" customHeight="1">
      <c r="A23" s="6">
        <v>-31000</v>
      </c>
      <c r="B23" s="2" t="s">
        <v>70</v>
      </c>
      <c r="C23" s="2" t="s">
        <v>14296</v>
      </c>
      <c r="D23" s="3">
        <v>8</v>
      </c>
      <c r="E23" s="3">
        <v>47</v>
      </c>
      <c r="F23" s="3" t="str">
        <f>HYPERLINK("https://www.boe.es/gazeta/dias/1815/02/14/pdfs/GMD-1815-19.pdf","Abrir PDF")</f>
        <v>Abrir PDF</v>
      </c>
    </row>
    <row r="24" spans="1:6" ht="31.05" customHeight="1">
      <c r="A24" s="6">
        <v>-30998</v>
      </c>
      <c r="B24" s="2" t="s">
        <v>539</v>
      </c>
      <c r="C24" s="2" t="s">
        <v>14297</v>
      </c>
      <c r="D24" s="3">
        <v>8</v>
      </c>
      <c r="E24" s="3">
        <v>22</v>
      </c>
      <c r="F24" s="3" t="str">
        <f>HYPERLINK("https://www.boe.es/gazeta/dias/1815/02/16/pdfs/GMD-1815-20.pdf","Abrir PDF")</f>
        <v>Abrir PDF</v>
      </c>
    </row>
    <row r="25" spans="1:6" ht="31.05" customHeight="1">
      <c r="A25" s="6">
        <v>-30996</v>
      </c>
      <c r="B25" s="2" t="s">
        <v>289</v>
      </c>
      <c r="C25" s="2" t="s">
        <v>14298</v>
      </c>
      <c r="D25" s="3">
        <v>8</v>
      </c>
      <c r="E25" s="3">
        <v>27</v>
      </c>
      <c r="F25" s="3" t="str">
        <f>HYPERLINK("https://www.boe.es/gazeta/dias/1815/02/18/pdfs/GMD-1815-21.pdf","Abrir PDF")</f>
        <v>Abrir PDF</v>
      </c>
    </row>
    <row r="26" spans="1:6" ht="31.05" customHeight="1">
      <c r="A26" s="6">
        <v>-30993</v>
      </c>
      <c r="B26" s="2" t="s">
        <v>66</v>
      </c>
      <c r="C26" s="2" t="s">
        <v>14299</v>
      </c>
      <c r="D26" s="3">
        <v>8</v>
      </c>
      <c r="E26" s="3">
        <v>18</v>
      </c>
      <c r="F26" s="3" t="str">
        <f>HYPERLINK("https://www.boe.es/gazeta/dias/1815/02/21/pdfs/GMD-1815-22.pdf","Abrir PDF")</f>
        <v>Abrir PDF</v>
      </c>
    </row>
    <row r="27" spans="1:6" ht="31.05" customHeight="1">
      <c r="A27" s="6">
        <v>-30991</v>
      </c>
      <c r="B27" s="2" t="s">
        <v>318</v>
      </c>
      <c r="C27" s="2" t="s">
        <v>14300</v>
      </c>
      <c r="D27" s="3">
        <v>8</v>
      </c>
      <c r="E27" s="3">
        <v>31</v>
      </c>
      <c r="F27" s="3" t="str">
        <f>HYPERLINK("https://www.boe.es/gazeta/dias/1815/02/23/pdfs/GMD-1815-23.pdf","Abrir PDF")</f>
        <v>Abrir PDF</v>
      </c>
    </row>
    <row r="28" spans="1:6" ht="31.05" customHeight="1">
      <c r="A28" s="6">
        <v>-30989</v>
      </c>
      <c r="B28" s="2" t="s">
        <v>2441</v>
      </c>
      <c r="C28" s="2" t="s">
        <v>14301</v>
      </c>
      <c r="D28" s="3">
        <v>8</v>
      </c>
      <c r="E28" s="3">
        <v>15</v>
      </c>
      <c r="F28" s="3" t="str">
        <f>HYPERLINK("https://www.boe.es/gazeta/dias/1815/02/25/pdfs/GMD-1815-24.pdf","Abrir PDF")</f>
        <v>Abrir PDF</v>
      </c>
    </row>
    <row r="29" spans="1:6" ht="31.05" customHeight="1">
      <c r="A29" s="6">
        <v>-30986</v>
      </c>
      <c r="B29" s="2" t="s">
        <v>46</v>
      </c>
      <c r="C29" s="2" t="s">
        <v>14302</v>
      </c>
      <c r="D29" s="3">
        <v>12</v>
      </c>
      <c r="E29" s="3">
        <v>24</v>
      </c>
      <c r="F29" s="3" t="str">
        <f>HYPERLINK("https://www.boe.es/gazeta/dias/1815/02/28/pdfs/GMD-1815-25.pdf","Abrir PDF")</f>
        <v>Abrir PDF</v>
      </c>
    </row>
    <row r="30" spans="1:6" ht="31.05" customHeight="1">
      <c r="A30" s="6">
        <v>-30984</v>
      </c>
      <c r="B30" s="2" t="s">
        <v>748</v>
      </c>
      <c r="C30" s="2" t="s">
        <v>14303</v>
      </c>
      <c r="D30" s="3">
        <v>8</v>
      </c>
      <c r="E30" s="3">
        <v>18</v>
      </c>
      <c r="F30" s="3" t="str">
        <f>HYPERLINK("https://www.boe.es/gazeta/dias/1815/03/02/pdfs/GMD-1815-26.pdf","Abrir PDF")</f>
        <v>Abrir PDF</v>
      </c>
    </row>
    <row r="31" spans="1:6" ht="31.05" customHeight="1">
      <c r="A31" s="6">
        <v>-30982</v>
      </c>
      <c r="B31" s="2" t="s">
        <v>220</v>
      </c>
      <c r="C31" s="2" t="s">
        <v>14304</v>
      </c>
      <c r="D31" s="3">
        <v>8</v>
      </c>
      <c r="E31" s="3">
        <v>63</v>
      </c>
      <c r="F31" s="3" t="str">
        <f>HYPERLINK("https://www.boe.es/gazeta/dias/1815/03/04/pdfs/GMD-1815-27.pdf","Abrir PDF")</f>
        <v>Abrir PDF</v>
      </c>
    </row>
    <row r="32" spans="1:6" ht="31.05" customHeight="1">
      <c r="A32" s="6">
        <v>-30979</v>
      </c>
      <c r="B32" s="2" t="s">
        <v>56</v>
      </c>
      <c r="C32" s="2" t="s">
        <v>14305</v>
      </c>
      <c r="D32" s="3">
        <v>8</v>
      </c>
      <c r="E32" s="3">
        <v>35</v>
      </c>
      <c r="F32" s="3" t="str">
        <f>HYPERLINK("https://www.boe.es/gazeta/dias/1815/03/07/pdfs/GMD-1815-28.pdf","Abrir PDF")</f>
        <v>Abrir PDF</v>
      </c>
    </row>
    <row r="33" spans="1:6" ht="31.05" customHeight="1">
      <c r="A33" s="6">
        <v>-30977</v>
      </c>
      <c r="B33" s="2" t="s">
        <v>37</v>
      </c>
      <c r="C33" s="2" t="s">
        <v>14306</v>
      </c>
      <c r="D33" s="3">
        <v>8</v>
      </c>
      <c r="E33" s="3">
        <v>48</v>
      </c>
      <c r="F33" s="3" t="str">
        <f>HYPERLINK("https://www.boe.es/gazeta/dias/1815/03/09/pdfs/GMD-1815-29.pdf","Abrir PDF")</f>
        <v>Abrir PDF</v>
      </c>
    </row>
    <row r="34" spans="1:6" ht="31.05" customHeight="1">
      <c r="A34" s="6">
        <v>-30975</v>
      </c>
      <c r="B34" s="2" t="s">
        <v>1194</v>
      </c>
      <c r="C34" s="2" t="s">
        <v>14307</v>
      </c>
      <c r="D34" s="3">
        <v>8</v>
      </c>
      <c r="E34" s="3">
        <v>28</v>
      </c>
      <c r="F34" s="3" t="str">
        <f>HYPERLINK("https://www.boe.es/gazeta/dias/1815/03/11/pdfs/GMD-1815-30.pdf","Abrir PDF")</f>
        <v>Abrir PDF</v>
      </c>
    </row>
    <row r="35" spans="1:6" ht="31.05" customHeight="1">
      <c r="A35" s="6">
        <v>-30972</v>
      </c>
      <c r="B35" s="2" t="s">
        <v>1382</v>
      </c>
      <c r="C35" s="2" t="s">
        <v>14308</v>
      </c>
      <c r="D35" s="3">
        <v>8</v>
      </c>
      <c r="E35" s="3">
        <v>23</v>
      </c>
      <c r="F35" s="3" t="str">
        <f>HYPERLINK("https://www.boe.es/gazeta/dias/1815/03/14/pdfs/GMD-1815-31.pdf","Abrir PDF")</f>
        <v>Abrir PDF</v>
      </c>
    </row>
    <row r="36" spans="1:6" ht="31.05" customHeight="1">
      <c r="A36" s="6">
        <v>-30970</v>
      </c>
      <c r="B36" s="2" t="s">
        <v>436</v>
      </c>
      <c r="C36" s="2" t="s">
        <v>14309</v>
      </c>
      <c r="D36" s="3">
        <v>8</v>
      </c>
      <c r="E36" s="3">
        <v>25</v>
      </c>
      <c r="F36" s="3" t="str">
        <f>HYPERLINK("https://www.boe.es/gazeta/dias/1815/03/16/pdfs/GMD-1815-32.pdf","Abrir PDF")</f>
        <v>Abrir PDF</v>
      </c>
    </row>
    <row r="37" spans="1:6" ht="31.05" customHeight="1">
      <c r="A37" s="6">
        <v>-30968</v>
      </c>
      <c r="B37" s="2" t="s">
        <v>2695</v>
      </c>
      <c r="C37" s="2" t="s">
        <v>14310</v>
      </c>
      <c r="D37" s="3">
        <v>12</v>
      </c>
      <c r="E37" s="3">
        <v>34</v>
      </c>
      <c r="F37" s="3" t="str">
        <f>HYPERLINK("https://www.boe.es/gazeta/dias/1815/03/18/pdfs/GMD-1815-33.pdf","Abrir PDF")</f>
        <v>Abrir PDF</v>
      </c>
    </row>
    <row r="38" spans="1:6" ht="31.05" customHeight="1">
      <c r="A38" s="6">
        <v>-30965</v>
      </c>
      <c r="B38" s="2" t="s">
        <v>1679</v>
      </c>
      <c r="C38" s="2" t="s">
        <v>14311</v>
      </c>
      <c r="D38" s="3">
        <v>8</v>
      </c>
      <c r="E38" s="3">
        <v>26</v>
      </c>
      <c r="F38" s="3" t="str">
        <f>HYPERLINK("https://www.boe.es/gazeta/dias/1815/03/21/pdfs/GMD-1815-34.pdf","Abrir PDF")</f>
        <v>Abrir PDF</v>
      </c>
    </row>
    <row r="39" spans="1:6" ht="31.05" customHeight="1">
      <c r="A39" s="6">
        <v>-30963</v>
      </c>
      <c r="B39" s="2" t="s">
        <v>879</v>
      </c>
      <c r="C39" s="2" t="s">
        <v>14312</v>
      </c>
      <c r="D39" s="3">
        <v>8</v>
      </c>
      <c r="E39" s="3">
        <v>28</v>
      </c>
      <c r="F39" s="3" t="str">
        <f>HYPERLINK("https://www.boe.es/gazeta/dias/1815/03/23/pdfs/GMD-1815-35.pdf","Abrir PDF")</f>
        <v>Abrir PDF</v>
      </c>
    </row>
    <row r="40" spans="1:6" ht="31.05" customHeight="1">
      <c r="A40" s="6">
        <v>-30961</v>
      </c>
      <c r="B40" s="2" t="s">
        <v>1176</v>
      </c>
      <c r="C40" s="2" t="s">
        <v>14313</v>
      </c>
      <c r="D40" s="3">
        <v>8</v>
      </c>
      <c r="E40" s="3">
        <v>28</v>
      </c>
      <c r="F40" s="3" t="str">
        <f>HYPERLINK("https://www.boe.es/gazeta/dias/1815/03/25/pdfs/GMD-1815-36.pdf","Abrir PDF")</f>
        <v>Abrir PDF</v>
      </c>
    </row>
    <row r="41" spans="1:6" ht="31.05" customHeight="1">
      <c r="A41" s="6">
        <v>-30958</v>
      </c>
      <c r="B41" s="2" t="s">
        <v>297</v>
      </c>
      <c r="C41" s="2" t="s">
        <v>14314</v>
      </c>
      <c r="D41" s="3">
        <v>8</v>
      </c>
      <c r="E41" s="3">
        <v>75</v>
      </c>
      <c r="F41" s="3" t="str">
        <f>HYPERLINK("https://www.boe.es/gazeta/dias/1815/03/28/pdfs/GMD-1815-37.pdf","Abrir PDF")</f>
        <v>Abrir PDF</v>
      </c>
    </row>
    <row r="42" spans="1:6" ht="31.05" customHeight="1">
      <c r="A42" s="6">
        <v>-30956</v>
      </c>
      <c r="B42" s="2" t="s">
        <v>495</v>
      </c>
      <c r="C42" s="2" t="s">
        <v>14315</v>
      </c>
      <c r="D42" s="3">
        <v>8</v>
      </c>
      <c r="E42" s="3">
        <v>9</v>
      </c>
      <c r="F42" s="3" t="str">
        <f>HYPERLINK("https://www.boe.es/gazeta/dias/1815/03/30/pdfs/GMD-1815-38.pdf","Abrir PDF")</f>
        <v>Abrir PDF</v>
      </c>
    </row>
    <row r="43" spans="1:6" ht="31.05" customHeight="1">
      <c r="A43" s="6">
        <v>-30954</v>
      </c>
      <c r="B43" s="2" t="s">
        <v>409</v>
      </c>
      <c r="C43" s="2" t="s">
        <v>14316</v>
      </c>
      <c r="D43" s="3">
        <v>8</v>
      </c>
      <c r="E43" s="3">
        <v>15</v>
      </c>
      <c r="F43" s="3" t="str">
        <f>HYPERLINK("https://www.boe.es/gazeta/dias/1815/04/01/pdfs/GMD-1815-39.pdf","Abrir PDF")</f>
        <v>Abrir PDF</v>
      </c>
    </row>
    <row r="44" spans="1:6" ht="31.05" customHeight="1">
      <c r="A44" s="6">
        <v>-30954</v>
      </c>
      <c r="B44" s="2" t="s">
        <v>9580</v>
      </c>
      <c r="C44" s="2" t="s">
        <v>14317</v>
      </c>
      <c r="D44" s="3">
        <v>2</v>
      </c>
      <c r="E44" s="3">
        <v>5</v>
      </c>
      <c r="F44" s="3" t="str">
        <f>HYPERLINK("https://www.boe.es/gazeta/dias/1815/04/01/pdfs/GMD-1815-40E.pdf","Abrir PDF")</f>
        <v>Abrir PDF</v>
      </c>
    </row>
    <row r="45" spans="1:6" ht="31.05" customHeight="1">
      <c r="A45" s="6">
        <v>-30951</v>
      </c>
      <c r="B45" s="2" t="s">
        <v>87</v>
      </c>
      <c r="C45" s="2" t="s">
        <v>14318</v>
      </c>
      <c r="D45" s="3">
        <v>12</v>
      </c>
      <c r="E45" s="3">
        <v>35</v>
      </c>
      <c r="F45" s="3" t="str">
        <f>HYPERLINK("https://www.boe.es/gazeta/dias/1815/04/04/pdfs/GMD-1815-41.pdf","Abrir PDF")</f>
        <v>Abrir PDF</v>
      </c>
    </row>
    <row r="46" spans="1:6" ht="31.05" customHeight="1">
      <c r="A46" s="6">
        <v>-30949</v>
      </c>
      <c r="B46" s="2" t="s">
        <v>420</v>
      </c>
      <c r="C46" s="2" t="s">
        <v>14319</v>
      </c>
      <c r="D46" s="3">
        <v>8</v>
      </c>
      <c r="E46" s="3">
        <v>46</v>
      </c>
      <c r="F46" s="3" t="str">
        <f>HYPERLINK("https://www.boe.es/gazeta/dias/1815/04/06/pdfs/GMD-1815-42.pdf","Abrir PDF")</f>
        <v>Abrir PDF</v>
      </c>
    </row>
    <row r="47" spans="1:6" ht="31.05" customHeight="1">
      <c r="A47" s="6">
        <v>-30947</v>
      </c>
      <c r="B47" s="2" t="s">
        <v>159</v>
      </c>
      <c r="C47" s="2" t="s">
        <v>14320</v>
      </c>
      <c r="D47" s="3">
        <v>8</v>
      </c>
      <c r="E47" s="3">
        <v>11</v>
      </c>
      <c r="F47" s="3" t="str">
        <f>HYPERLINK("https://www.boe.es/gazeta/dias/1815/04/08/pdfs/GMD-1815-43.pdf","Abrir PDF")</f>
        <v>Abrir PDF</v>
      </c>
    </row>
    <row r="48" spans="1:6" ht="31.05" customHeight="1">
      <c r="A48" s="6">
        <v>-30944</v>
      </c>
      <c r="B48" s="2" t="s">
        <v>412</v>
      </c>
      <c r="C48" s="2" t="s">
        <v>14321</v>
      </c>
      <c r="D48" s="3">
        <v>8</v>
      </c>
      <c r="E48" s="3">
        <v>29</v>
      </c>
      <c r="F48" s="3" t="str">
        <f>HYPERLINK("https://www.boe.es/gazeta/dias/1815/04/11/pdfs/GMD-1815-44.pdf","Abrir PDF")</f>
        <v>Abrir PDF</v>
      </c>
    </row>
    <row r="49" spans="1:6" ht="31.05" customHeight="1">
      <c r="A49" s="6">
        <v>-30942</v>
      </c>
      <c r="B49" s="2" t="s">
        <v>730</v>
      </c>
      <c r="C49" s="2" t="s">
        <v>14322</v>
      </c>
      <c r="D49" s="3">
        <v>8</v>
      </c>
      <c r="E49" s="3">
        <v>58</v>
      </c>
      <c r="F49" s="3" t="str">
        <f>HYPERLINK("https://www.boe.es/gazeta/dias/1815/04/13/pdfs/GMD-1815-45.pdf","Abrir PDF")</f>
        <v>Abrir PDF</v>
      </c>
    </row>
    <row r="50" spans="1:6" ht="31.05" customHeight="1">
      <c r="A50" s="6">
        <v>-30940</v>
      </c>
      <c r="B50" s="2" t="s">
        <v>610</v>
      </c>
      <c r="C50" s="2" t="s">
        <v>14323</v>
      </c>
      <c r="D50" s="3">
        <v>8</v>
      </c>
      <c r="E50" s="3">
        <v>25</v>
      </c>
      <c r="F50" s="3" t="str">
        <f>HYPERLINK("https://www.boe.es/gazeta/dias/1815/04/15/pdfs/GMD-1815-46.pdf","Abrir PDF")</f>
        <v>Abrir PDF</v>
      </c>
    </row>
    <row r="51" spans="1:6" ht="31.05" customHeight="1">
      <c r="A51" s="6">
        <v>-30937</v>
      </c>
      <c r="B51" s="2" t="s">
        <v>322</v>
      </c>
      <c r="C51" s="2" t="s">
        <v>14324</v>
      </c>
      <c r="D51" s="3">
        <v>8</v>
      </c>
      <c r="E51" s="3">
        <v>40</v>
      </c>
      <c r="F51" s="3" t="str">
        <f>HYPERLINK("https://www.boe.es/gazeta/dias/1815/04/18/pdfs/GMD-1815-47.pdf","Abrir PDF")</f>
        <v>Abrir PDF</v>
      </c>
    </row>
    <row r="52" spans="1:6" ht="31.05" customHeight="1">
      <c r="A52" s="6">
        <v>-30935</v>
      </c>
      <c r="B52" s="2" t="s">
        <v>519</v>
      </c>
      <c r="C52" s="2" t="s">
        <v>14325</v>
      </c>
      <c r="D52" s="3">
        <v>8</v>
      </c>
      <c r="E52" s="3">
        <v>18</v>
      </c>
      <c r="F52" s="3" t="str">
        <f>HYPERLINK("https://www.boe.es/gazeta/dias/1815/04/20/pdfs/GMD-1815-48.pdf","Abrir PDF")</f>
        <v>Abrir PDF</v>
      </c>
    </row>
    <row r="53" spans="1:6" ht="31.05" customHeight="1">
      <c r="A53" s="6">
        <v>-30933</v>
      </c>
      <c r="B53" s="2" t="s">
        <v>725</v>
      </c>
      <c r="C53" s="2" t="s">
        <v>14326</v>
      </c>
      <c r="D53" s="3">
        <v>8</v>
      </c>
      <c r="E53" s="3">
        <v>26</v>
      </c>
      <c r="F53" s="3" t="str">
        <f>HYPERLINK("https://www.boe.es/gazeta/dias/1815/04/22/pdfs/GMD-1815-49.pdf","Abrir PDF")</f>
        <v>Abrir PDF</v>
      </c>
    </row>
    <row r="54" spans="1:6" ht="31.05" customHeight="1">
      <c r="A54" s="6">
        <v>-30930</v>
      </c>
      <c r="B54" s="2" t="s">
        <v>51</v>
      </c>
      <c r="C54" s="2" t="s">
        <v>14327</v>
      </c>
      <c r="D54" s="3">
        <v>12</v>
      </c>
      <c r="E54" s="3">
        <v>18</v>
      </c>
      <c r="F54" s="3" t="str">
        <f>HYPERLINK("https://www.boe.es/gazeta/dias/1815/04/25/pdfs/GMD-1815-50.pdf","Abrir PDF")</f>
        <v>Abrir PDF</v>
      </c>
    </row>
    <row r="55" spans="1:6" ht="31.05" customHeight="1">
      <c r="A55" s="6">
        <v>-30928</v>
      </c>
      <c r="B55" s="2" t="s">
        <v>330</v>
      </c>
      <c r="C55" s="2" t="s">
        <v>14328</v>
      </c>
      <c r="D55" s="3">
        <v>8</v>
      </c>
      <c r="E55" s="3">
        <v>42</v>
      </c>
      <c r="F55" s="3" t="str">
        <f>HYPERLINK("https://www.boe.es/gazeta/dias/1815/04/27/pdfs/GMD-1815-51.pdf","Abrir PDF")</f>
        <v>Abrir PDF</v>
      </c>
    </row>
    <row r="56" spans="1:6" ht="31.05" customHeight="1">
      <c r="A56" s="6">
        <v>-30926</v>
      </c>
      <c r="B56" s="2" t="s">
        <v>2018</v>
      </c>
      <c r="C56" s="2" t="s">
        <v>14329</v>
      </c>
      <c r="D56" s="3">
        <v>8</v>
      </c>
      <c r="E56" s="3">
        <v>7</v>
      </c>
      <c r="F56" s="3" t="str">
        <f>HYPERLINK("https://www.boe.es/gazeta/dias/1815/04/29/pdfs/GMD-1815-52.pdf","Abrir PDF")</f>
        <v>Abrir PDF</v>
      </c>
    </row>
    <row r="57" spans="1:6" ht="31.05" customHeight="1">
      <c r="A57" s="6">
        <v>-30923</v>
      </c>
      <c r="B57" s="2" t="s">
        <v>524</v>
      </c>
      <c r="C57" s="2" t="s">
        <v>14330</v>
      </c>
      <c r="D57" s="3">
        <v>12</v>
      </c>
      <c r="E57" s="3">
        <v>47</v>
      </c>
      <c r="F57" s="3" t="str">
        <f>HYPERLINK("https://www.boe.es/gazeta/dias/1815/05/02/pdfs/GMD-1815-53.pdf","Abrir PDF")</f>
        <v>Abrir PDF</v>
      </c>
    </row>
    <row r="58" spans="1:6" ht="31.05" customHeight="1">
      <c r="A58" s="6">
        <v>-30921</v>
      </c>
      <c r="B58" s="2" t="s">
        <v>191</v>
      </c>
      <c r="C58" s="2" t="s">
        <v>14331</v>
      </c>
      <c r="D58" s="3">
        <v>8</v>
      </c>
      <c r="E58" s="3">
        <v>41</v>
      </c>
      <c r="F58" s="3" t="str">
        <f>HYPERLINK("https://www.boe.es/gazeta/dias/1815/05/04/pdfs/GMD-1815-54.pdf","Abrir PDF")</f>
        <v>Abrir PDF</v>
      </c>
    </row>
    <row r="59" spans="1:6" ht="31.05" customHeight="1">
      <c r="A59" s="6">
        <v>-30919</v>
      </c>
      <c r="B59" s="2" t="s">
        <v>792</v>
      </c>
      <c r="C59" s="2" t="s">
        <v>14332</v>
      </c>
      <c r="D59" s="3">
        <v>8</v>
      </c>
      <c r="E59" s="3">
        <v>16</v>
      </c>
      <c r="F59" s="3" t="str">
        <f>HYPERLINK("https://www.boe.es/gazeta/dias/1815/05/06/pdfs/GMD-1815-55.pdf","Abrir PDF")</f>
        <v>Abrir PDF</v>
      </c>
    </row>
    <row r="60" spans="1:6" ht="31.05" customHeight="1">
      <c r="A60" s="6">
        <v>-30916</v>
      </c>
      <c r="B60" s="2" t="s">
        <v>147</v>
      </c>
      <c r="C60" s="2" t="s">
        <v>14333</v>
      </c>
      <c r="D60" s="3">
        <v>12</v>
      </c>
      <c r="E60" s="3">
        <v>141</v>
      </c>
      <c r="F60" s="3" t="str">
        <f>HYPERLINK("https://www.boe.es/gazeta/dias/1815/05/09/pdfs/GMD-1815-56.pdf","Abrir PDF")</f>
        <v>Abrir PDF</v>
      </c>
    </row>
    <row r="61" spans="1:6" ht="31.05" customHeight="1">
      <c r="A61" s="6">
        <v>-30914</v>
      </c>
      <c r="B61" s="2" t="s">
        <v>338</v>
      </c>
      <c r="C61" s="2" t="s">
        <v>14334</v>
      </c>
      <c r="D61" s="3">
        <v>12</v>
      </c>
      <c r="E61" s="3">
        <v>43</v>
      </c>
      <c r="F61" s="3" t="str">
        <f>HYPERLINK("https://www.boe.es/gazeta/dias/1815/05/11/pdfs/GMD-1815-57.pdf","Abrir PDF")</f>
        <v>Abrir PDF</v>
      </c>
    </row>
    <row r="62" spans="1:6" ht="31.05" customHeight="1">
      <c r="A62" s="6">
        <v>-30912</v>
      </c>
      <c r="B62" s="2" t="s">
        <v>579</v>
      </c>
      <c r="C62" s="2" t="s">
        <v>14335</v>
      </c>
      <c r="D62" s="3">
        <v>8</v>
      </c>
      <c r="E62" s="3">
        <v>14</v>
      </c>
      <c r="F62" s="3" t="str">
        <f>HYPERLINK("https://www.boe.es/gazeta/dias/1815/05/13/pdfs/GMD-1815-58.pdf","Abrir PDF")</f>
        <v>Abrir PDF</v>
      </c>
    </row>
    <row r="63" spans="1:6" ht="31.05" customHeight="1">
      <c r="A63" s="6">
        <v>-30909</v>
      </c>
      <c r="B63" s="2" t="s">
        <v>581</v>
      </c>
      <c r="C63" s="2" t="s">
        <v>14336</v>
      </c>
      <c r="D63" s="3">
        <v>8</v>
      </c>
      <c r="E63" s="3">
        <v>20</v>
      </c>
      <c r="F63" s="3" t="str">
        <f>HYPERLINK("https://www.boe.es/gazeta/dias/1815/05/16/pdfs/GMD-1815-59.pdf","Abrir PDF")</f>
        <v>Abrir PDF</v>
      </c>
    </row>
    <row r="64" spans="1:6" ht="31.05" customHeight="1">
      <c r="A64" s="6">
        <v>-30907</v>
      </c>
      <c r="B64" s="2" t="s">
        <v>301</v>
      </c>
      <c r="C64" s="2" t="s">
        <v>14337</v>
      </c>
      <c r="D64" s="3">
        <v>8</v>
      </c>
      <c r="E64" s="3">
        <v>39</v>
      </c>
      <c r="F64" s="3" t="str">
        <f>HYPERLINK("https://www.boe.es/gazeta/dias/1815/05/18/pdfs/GMD-1815-60.pdf","Abrir PDF")</f>
        <v>Abrir PDF</v>
      </c>
    </row>
    <row r="65" spans="1:6" ht="31.05" customHeight="1">
      <c r="A65" s="6">
        <v>-30905</v>
      </c>
      <c r="B65" s="2" t="s">
        <v>901</v>
      </c>
      <c r="C65" s="2" t="s">
        <v>14338</v>
      </c>
      <c r="D65" s="3">
        <v>8</v>
      </c>
      <c r="E65" s="3">
        <v>32</v>
      </c>
      <c r="F65" s="3" t="str">
        <f>HYPERLINK("https://www.boe.es/gazeta/dias/1815/05/20/pdfs/GMD-1815-61.pdf","Abrir PDF")</f>
        <v>Abrir PDF</v>
      </c>
    </row>
    <row r="66" spans="1:6" ht="31.05" customHeight="1">
      <c r="A66" s="6">
        <v>-30902</v>
      </c>
      <c r="B66" s="2" t="s">
        <v>648</v>
      </c>
      <c r="C66" s="2" t="s">
        <v>14339</v>
      </c>
      <c r="D66" s="3">
        <v>8</v>
      </c>
      <c r="E66" s="3">
        <v>21</v>
      </c>
      <c r="F66" s="3" t="str">
        <f>HYPERLINK("https://www.boe.es/gazeta/dias/1815/05/23/pdfs/GMD-1815-62.pdf","Abrir PDF")</f>
        <v>Abrir PDF</v>
      </c>
    </row>
    <row r="67" spans="1:6" ht="31.05" customHeight="1">
      <c r="A67" s="6">
        <v>-30900</v>
      </c>
      <c r="B67" s="2" t="s">
        <v>921</v>
      </c>
      <c r="C67" s="2" t="s">
        <v>14340</v>
      </c>
      <c r="D67" s="3">
        <v>12</v>
      </c>
      <c r="E67" s="3">
        <v>36</v>
      </c>
      <c r="F67" s="3" t="str">
        <f>HYPERLINK("https://www.boe.es/gazeta/dias/1815/05/25/pdfs/GMD-1815-63.pdf","Abrir PDF")</f>
        <v>Abrir PDF</v>
      </c>
    </row>
    <row r="68" spans="1:6" ht="31.05" customHeight="1">
      <c r="A68" s="6">
        <v>-30898</v>
      </c>
      <c r="B68" s="2" t="s">
        <v>212</v>
      </c>
      <c r="C68" s="2" t="s">
        <v>14341</v>
      </c>
      <c r="D68" s="3">
        <v>8</v>
      </c>
      <c r="E68" s="3">
        <v>27</v>
      </c>
      <c r="F68" s="3" t="str">
        <f>HYPERLINK("https://www.boe.es/gazeta/dias/1815/05/27/pdfs/GMD-1815-64.pdf","Abrir PDF")</f>
        <v>Abrir PDF</v>
      </c>
    </row>
    <row r="69" spans="1:6" ht="31.05" customHeight="1">
      <c r="A69" s="6">
        <v>-30895</v>
      </c>
      <c r="B69" s="2" t="s">
        <v>176</v>
      </c>
      <c r="C69" s="2" t="s">
        <v>14342</v>
      </c>
      <c r="D69" s="3">
        <v>8</v>
      </c>
      <c r="E69" s="3">
        <v>5</v>
      </c>
      <c r="F69" s="3" t="str">
        <f>HYPERLINK("https://www.boe.es/gazeta/dias/1815/05/30/pdfs/GMD-1815-65.pdf","Abrir PDF")</f>
        <v>Abrir PDF</v>
      </c>
    </row>
    <row r="70" spans="1:6" ht="31.05" customHeight="1">
      <c r="A70" s="6">
        <v>-30893</v>
      </c>
      <c r="B70" s="2" t="s">
        <v>132</v>
      </c>
      <c r="C70" s="2" t="s">
        <v>14343</v>
      </c>
      <c r="D70" s="3">
        <v>8</v>
      </c>
      <c r="E70" s="3">
        <v>73</v>
      </c>
      <c r="F70" s="3" t="str">
        <f>HYPERLINK("https://www.boe.es/gazeta/dias/1815/06/01/pdfs/GMD-1815-66.pdf","Abrir PDF")</f>
        <v>Abrir PDF</v>
      </c>
    </row>
    <row r="71" spans="1:6" ht="31.05" customHeight="1">
      <c r="A71" s="6">
        <v>-30891</v>
      </c>
      <c r="B71" s="2" t="s">
        <v>498</v>
      </c>
      <c r="C71" s="2" t="s">
        <v>14344</v>
      </c>
      <c r="D71" s="3">
        <v>8</v>
      </c>
      <c r="E71" s="3">
        <v>62</v>
      </c>
      <c r="F71" s="3" t="str">
        <f>HYPERLINK("https://www.boe.es/gazeta/dias/1815/06/03/pdfs/GMD-1815-67.pdf","Abrir PDF")</f>
        <v>Abrir PDF</v>
      </c>
    </row>
    <row r="72" spans="1:6" ht="31.05" customHeight="1">
      <c r="A72" s="6">
        <v>-30888</v>
      </c>
      <c r="B72" s="2" t="s">
        <v>368</v>
      </c>
      <c r="C72" s="2" t="s">
        <v>14345</v>
      </c>
      <c r="D72" s="3">
        <v>12</v>
      </c>
      <c r="E72" s="3">
        <v>100</v>
      </c>
      <c r="F72" s="3" t="str">
        <f>HYPERLINK("https://www.boe.es/gazeta/dias/1815/06/06/pdfs/GMD-1815-68.pdf","Abrir PDF")</f>
        <v>Abrir PDF</v>
      </c>
    </row>
    <row r="73" spans="1:6" ht="31.05" customHeight="1">
      <c r="A73" s="6">
        <v>-30886</v>
      </c>
      <c r="B73" s="2" t="s">
        <v>140</v>
      </c>
      <c r="C73" s="2" t="s">
        <v>14346</v>
      </c>
      <c r="D73" s="3">
        <v>12</v>
      </c>
      <c r="E73" s="3">
        <v>225</v>
      </c>
      <c r="F73" s="3" t="str">
        <f>HYPERLINK("https://www.boe.es/gazeta/dias/1815/06/08/pdfs/GMD-1815-69.pdf","Abrir PDF")</f>
        <v>Abrir PDF</v>
      </c>
    </row>
    <row r="74" spans="1:6" ht="31.05" customHeight="1">
      <c r="A74" s="6">
        <v>-30884</v>
      </c>
      <c r="B74" s="2" t="s">
        <v>136</v>
      </c>
      <c r="C74" s="2" t="s">
        <v>14347</v>
      </c>
      <c r="D74" s="3">
        <v>8</v>
      </c>
      <c r="E74" s="3">
        <v>23</v>
      </c>
      <c r="F74" s="3" t="str">
        <f>HYPERLINK("https://www.boe.es/gazeta/dias/1815/06/10/pdfs/GMD-1815-70.pdf","Abrir PDF")</f>
        <v>Abrir PDF</v>
      </c>
    </row>
    <row r="75" spans="1:6" ht="31.05" customHeight="1">
      <c r="A75" s="6">
        <v>-30881</v>
      </c>
      <c r="B75" s="2" t="s">
        <v>446</v>
      </c>
      <c r="C75" s="2" t="s">
        <v>14348</v>
      </c>
      <c r="D75" s="3">
        <v>12</v>
      </c>
      <c r="E75" s="3">
        <v>15</v>
      </c>
      <c r="F75" s="3" t="str">
        <f>HYPERLINK("https://www.boe.es/gazeta/dias/1815/06/13/pdfs/GMD-1815-71.pdf","Abrir PDF")</f>
        <v>Abrir PDF</v>
      </c>
    </row>
    <row r="76" spans="1:6" ht="31.05" customHeight="1">
      <c r="A76" s="6">
        <v>-30879</v>
      </c>
      <c r="B76" s="2" t="s">
        <v>754</v>
      </c>
      <c r="C76" s="2" t="s">
        <v>14349</v>
      </c>
      <c r="D76" s="3">
        <v>12</v>
      </c>
      <c r="E76" s="3">
        <v>40</v>
      </c>
      <c r="F76" s="3" t="str">
        <f>HYPERLINK("https://www.boe.es/gazeta/dias/1815/06/15/pdfs/GMD-1815-72.pdf","Abrir PDF")</f>
        <v>Abrir PDF</v>
      </c>
    </row>
    <row r="77" spans="1:6" ht="31.05" customHeight="1">
      <c r="A77" s="6">
        <v>-30877</v>
      </c>
      <c r="B77" s="2" t="s">
        <v>548</v>
      </c>
      <c r="C77" s="2" t="s">
        <v>14350</v>
      </c>
      <c r="D77" s="3">
        <v>12</v>
      </c>
      <c r="E77" s="3">
        <v>29</v>
      </c>
      <c r="F77" s="3" t="str">
        <f>HYPERLINK("https://www.boe.es/gazeta/dias/1815/06/17/pdfs/GMD-1815-73.pdf","Abrir PDF")</f>
        <v>Abrir PDF</v>
      </c>
    </row>
    <row r="78" spans="1:6" ht="31.05" customHeight="1">
      <c r="A78" s="6">
        <v>-30874</v>
      </c>
      <c r="B78" s="2" t="s">
        <v>208</v>
      </c>
      <c r="C78" s="2" t="s">
        <v>14351</v>
      </c>
      <c r="D78" s="3">
        <v>12</v>
      </c>
      <c r="E78" s="3">
        <v>117</v>
      </c>
      <c r="F78" s="3" t="str">
        <f>HYPERLINK("https://www.boe.es/gazeta/dias/1815/06/20/pdfs/GMD-1815-74.pdf","Abrir PDF")</f>
        <v>Abrir PDF</v>
      </c>
    </row>
    <row r="79" spans="1:6" ht="31.05" customHeight="1">
      <c r="A79" s="6">
        <v>-30872</v>
      </c>
      <c r="B79" s="2" t="s">
        <v>167</v>
      </c>
      <c r="C79" s="2" t="s">
        <v>14352</v>
      </c>
      <c r="D79" s="3">
        <v>12</v>
      </c>
      <c r="E79" s="3">
        <v>103</v>
      </c>
      <c r="F79" s="3" t="str">
        <f>HYPERLINK("https://www.boe.es/gazeta/dias/1815/06/22/pdfs/GMD-1815-75.pdf","Abrir PDF")</f>
        <v>Abrir PDF</v>
      </c>
    </row>
    <row r="80" spans="1:6" ht="31.05" customHeight="1">
      <c r="A80" s="6">
        <v>-30870</v>
      </c>
      <c r="B80" s="2" t="s">
        <v>122</v>
      </c>
      <c r="C80" s="2" t="s">
        <v>14353</v>
      </c>
      <c r="D80" s="3">
        <v>12</v>
      </c>
      <c r="E80" s="3">
        <v>121</v>
      </c>
      <c r="F80" s="3" t="str">
        <f>HYPERLINK("https://www.boe.es/gazeta/dias/1815/06/24/pdfs/GMD-1815-76.pdf","Abrir PDF")</f>
        <v>Abrir PDF</v>
      </c>
    </row>
    <row r="81" spans="1:6" ht="31.05" customHeight="1">
      <c r="A81" s="6">
        <v>-30867</v>
      </c>
      <c r="B81" s="2" t="s">
        <v>3179</v>
      </c>
      <c r="C81" s="2" t="s">
        <v>14354</v>
      </c>
      <c r="D81" s="3">
        <v>8</v>
      </c>
      <c r="E81" s="3">
        <v>16</v>
      </c>
      <c r="F81" s="3" t="str">
        <f>HYPERLINK("https://www.boe.es/gazeta/dias/1815/06/27/pdfs/GMD-1815-77.pdf","Abrir PDF")</f>
        <v>Abrir PDF</v>
      </c>
    </row>
    <row r="82" spans="1:6" ht="31.05" customHeight="1">
      <c r="A82" s="6">
        <v>-30865</v>
      </c>
      <c r="B82" s="2" t="s">
        <v>163</v>
      </c>
      <c r="C82" s="2" t="s">
        <v>14355</v>
      </c>
      <c r="D82" s="3">
        <v>12</v>
      </c>
      <c r="E82" s="3">
        <v>223</v>
      </c>
      <c r="F82" s="3" t="str">
        <f>HYPERLINK("https://www.boe.es/gazeta/dias/1815/06/29/pdfs/GMD-1815-78.pdf","Abrir PDF")</f>
        <v>Abrir PDF</v>
      </c>
    </row>
    <row r="83" spans="1:6" ht="31.05" customHeight="1">
      <c r="A83" s="6">
        <v>-30863</v>
      </c>
      <c r="B83" s="2" t="s">
        <v>110</v>
      </c>
      <c r="C83" s="2" t="s">
        <v>14356</v>
      </c>
      <c r="D83" s="3">
        <v>12</v>
      </c>
      <c r="E83" s="3">
        <v>130</v>
      </c>
      <c r="F83" s="3" t="str">
        <f>HYPERLINK("https://www.boe.es/gazeta/dias/1815/07/01/pdfs/GMD-1815-79.pdf","Abrir PDF")</f>
        <v>Abrir PDF</v>
      </c>
    </row>
    <row r="84" spans="1:6" ht="31.05" customHeight="1">
      <c r="A84" s="6">
        <v>-30863</v>
      </c>
      <c r="B84" s="2" t="s">
        <v>2024</v>
      </c>
      <c r="C84" s="2" t="s">
        <v>14357</v>
      </c>
      <c r="D84" s="3">
        <v>6</v>
      </c>
      <c r="E84" s="3">
        <v>21</v>
      </c>
      <c r="F84" s="3" t="str">
        <f>HYPERLINK("https://www.boe.es/gazeta/dias/1815/07/01/pdfs/GMD-1815-80E.pdf","Abrir PDF")</f>
        <v>Abrir PDF</v>
      </c>
    </row>
    <row r="85" spans="1:6" ht="31.05" customHeight="1">
      <c r="A85" s="6">
        <v>-30860</v>
      </c>
      <c r="B85" s="2" t="s">
        <v>184</v>
      </c>
      <c r="C85" s="2" t="s">
        <v>14358</v>
      </c>
      <c r="D85" s="3">
        <v>8</v>
      </c>
      <c r="E85" s="3">
        <v>59</v>
      </c>
      <c r="F85" s="3" t="str">
        <f>HYPERLINK("https://www.boe.es/gazeta/dias/1815/07/04/pdfs/GMD-1815-81.pdf","Abrir PDF")</f>
        <v>Abrir PDF</v>
      </c>
    </row>
    <row r="86" spans="1:6" ht="31.05" customHeight="1">
      <c r="A86" s="6">
        <v>-30860</v>
      </c>
      <c r="B86" s="2" t="s">
        <v>180</v>
      </c>
      <c r="C86" s="2" t="s">
        <v>14359</v>
      </c>
      <c r="D86" s="3">
        <v>8</v>
      </c>
      <c r="E86" s="3">
        <v>47</v>
      </c>
      <c r="F86" s="3" t="str">
        <f>HYPERLINK("https://www.boe.es/gazeta/dias/1815/07/04/pdfs/GMD-1815-82E.pdf","Abrir PDF")</f>
        <v>Abrir PDF</v>
      </c>
    </row>
    <row r="87" spans="1:6" ht="31.05" customHeight="1">
      <c r="A87" s="6">
        <v>-30858</v>
      </c>
      <c r="B87" s="2" t="s">
        <v>1928</v>
      </c>
      <c r="C87" s="2" t="s">
        <v>14360</v>
      </c>
      <c r="D87" s="3">
        <v>8</v>
      </c>
      <c r="E87" s="3">
        <v>24</v>
      </c>
      <c r="F87" s="3" t="str">
        <f>HYPERLINK("https://www.boe.es/gazeta/dias/1815/07/06/pdfs/GMD-1815-83.pdf","Abrir PDF")</f>
        <v>Abrir PDF</v>
      </c>
    </row>
    <row r="88" spans="1:6" ht="31.05" customHeight="1">
      <c r="A88" s="6">
        <v>-30856</v>
      </c>
      <c r="B88" s="2" t="s">
        <v>92</v>
      </c>
      <c r="C88" s="2" t="s">
        <v>14361</v>
      </c>
      <c r="D88" s="3">
        <v>8</v>
      </c>
      <c r="E88" s="3">
        <v>12</v>
      </c>
      <c r="F88" s="3" t="str">
        <f>HYPERLINK("https://www.boe.es/gazeta/dias/1815/07/08/pdfs/GMD-1815-84.pdf","Abrir PDF")</f>
        <v>Abrir PDF</v>
      </c>
    </row>
    <row r="89" spans="1:6" ht="31.05" customHeight="1">
      <c r="A89" s="6">
        <v>-30853</v>
      </c>
      <c r="B89" s="2" t="s">
        <v>1473</v>
      </c>
      <c r="C89" s="2" t="s">
        <v>14362</v>
      </c>
      <c r="D89" s="3">
        <v>8</v>
      </c>
      <c r="E89" s="3">
        <v>15</v>
      </c>
      <c r="F89" s="3" t="str">
        <f>HYPERLINK("https://www.boe.es/gazeta/dias/1815/07/11/pdfs/GMD-1815-85.pdf","Abrir PDF")</f>
        <v>Abrir PDF</v>
      </c>
    </row>
    <row r="90" spans="1:6" ht="31.05" customHeight="1">
      <c r="A90" s="6">
        <v>-30851</v>
      </c>
      <c r="B90" s="2" t="s">
        <v>442</v>
      </c>
      <c r="C90" s="2" t="s">
        <v>14363</v>
      </c>
      <c r="D90" s="3">
        <v>8</v>
      </c>
      <c r="E90" s="3">
        <v>25</v>
      </c>
      <c r="F90" s="3" t="str">
        <f>HYPERLINK("https://www.boe.es/gazeta/dias/1815/07/13/pdfs/GMD-1815-86.pdf","Abrir PDF")</f>
        <v>Abrir PDF</v>
      </c>
    </row>
    <row r="91" spans="1:6" ht="31.05" customHeight="1">
      <c r="A91" s="6">
        <v>-30849</v>
      </c>
      <c r="B91" s="2" t="s">
        <v>501</v>
      </c>
      <c r="C91" s="2" t="s">
        <v>14364</v>
      </c>
      <c r="D91" s="3">
        <v>12</v>
      </c>
      <c r="E91" s="3">
        <v>69</v>
      </c>
      <c r="F91" s="3" t="str">
        <f>HYPERLINK("https://www.boe.es/gazeta/dias/1815/07/15/pdfs/GMD-1815-87.pdf","Abrir PDF")</f>
        <v>Abrir PDF</v>
      </c>
    </row>
    <row r="92" spans="1:6" ht="31.05" customHeight="1">
      <c r="A92" s="6">
        <v>-30846</v>
      </c>
      <c r="B92" s="2" t="s">
        <v>858</v>
      </c>
      <c r="C92" s="2" t="s">
        <v>14365</v>
      </c>
      <c r="D92" s="3">
        <v>8</v>
      </c>
      <c r="E92" s="3">
        <v>27</v>
      </c>
      <c r="F92" s="3" t="str">
        <f>HYPERLINK("https://www.boe.es/gazeta/dias/1815/07/18/pdfs/GMD-1815-88.pdf","Abrir PDF")</f>
        <v>Abrir PDF</v>
      </c>
    </row>
    <row r="93" spans="1:6" ht="31.05" customHeight="1">
      <c r="A93" s="6">
        <v>-30844</v>
      </c>
      <c r="B93" s="2" t="s">
        <v>114</v>
      </c>
      <c r="C93" s="2" t="s">
        <v>14366</v>
      </c>
      <c r="D93" s="3">
        <v>8</v>
      </c>
      <c r="E93" s="3">
        <v>49</v>
      </c>
      <c r="F93" s="3" t="str">
        <f>HYPERLINK("https://www.boe.es/gazeta/dias/1815/07/20/pdfs/GMD-1815-89.pdf","Abrir PDF")</f>
        <v>Abrir PDF</v>
      </c>
    </row>
    <row r="94" spans="1:6" ht="31.05" customHeight="1">
      <c r="A94" s="6">
        <v>-30842</v>
      </c>
      <c r="B94" s="2" t="s">
        <v>126</v>
      </c>
      <c r="C94" s="2" t="s">
        <v>14367</v>
      </c>
      <c r="D94" s="3">
        <v>12</v>
      </c>
      <c r="E94" s="3">
        <v>67</v>
      </c>
      <c r="F94" s="3" t="str">
        <f>HYPERLINK("https://www.boe.es/gazeta/dias/1815/07/22/pdfs/GMD-1815-90.pdf","Abrir PDF")</f>
        <v>Abrir PDF</v>
      </c>
    </row>
    <row r="95" spans="1:6" ht="31.05" customHeight="1">
      <c r="A95" s="6">
        <v>-30839</v>
      </c>
      <c r="B95" s="2" t="s">
        <v>616</v>
      </c>
      <c r="C95" s="2" t="s">
        <v>14368</v>
      </c>
      <c r="D95" s="3">
        <v>8</v>
      </c>
      <c r="E95" s="3">
        <v>62</v>
      </c>
      <c r="F95" s="3" t="str">
        <f>HYPERLINK("https://www.boe.es/gazeta/dias/1815/07/25/pdfs/GMD-1815-91.pdf","Abrir PDF")</f>
        <v>Abrir PDF</v>
      </c>
    </row>
    <row r="96" spans="1:6" ht="31.05" customHeight="1">
      <c r="A96" s="6">
        <v>-30837</v>
      </c>
      <c r="B96" s="2" t="s">
        <v>2256</v>
      </c>
      <c r="C96" s="2" t="s">
        <v>14369</v>
      </c>
      <c r="D96" s="3">
        <v>8</v>
      </c>
      <c r="E96" s="3">
        <v>13</v>
      </c>
      <c r="F96" s="3" t="str">
        <f>HYPERLINK("https://www.boe.es/gazeta/dias/1815/07/27/pdfs/GMD-1815-92.pdf","Abrir PDF")</f>
        <v>Abrir PDF</v>
      </c>
    </row>
    <row r="97" spans="1:6" ht="31.05" customHeight="1">
      <c r="A97" s="6">
        <v>-30835</v>
      </c>
      <c r="B97" s="2" t="s">
        <v>544</v>
      </c>
      <c r="C97" s="2" t="s">
        <v>14370</v>
      </c>
      <c r="D97" s="3">
        <v>12</v>
      </c>
      <c r="E97" s="3">
        <v>45</v>
      </c>
      <c r="F97" s="3" t="str">
        <f>HYPERLINK("https://www.boe.es/gazeta/dias/1815/07/29/pdfs/GMD-1815-93.pdf","Abrir PDF")</f>
        <v>Abrir PDF</v>
      </c>
    </row>
    <row r="98" spans="1:6" ht="31.05" customHeight="1">
      <c r="A98" s="6">
        <v>-30832</v>
      </c>
      <c r="B98" s="2" t="s">
        <v>266</v>
      </c>
      <c r="C98" s="2" t="s">
        <v>14371</v>
      </c>
      <c r="D98" s="3">
        <v>12</v>
      </c>
      <c r="E98" s="3">
        <v>59</v>
      </c>
      <c r="F98" s="3" t="str">
        <f>HYPERLINK("https://www.boe.es/gazeta/dias/1815/08/01/pdfs/GMD-1815-94.pdf","Abrir PDF")</f>
        <v>Abrir PDF</v>
      </c>
    </row>
    <row r="99" spans="1:6" ht="31.05" customHeight="1">
      <c r="A99" s="6">
        <v>-30830</v>
      </c>
      <c r="B99" s="2" t="s">
        <v>33</v>
      </c>
      <c r="C99" s="2" t="s">
        <v>14372</v>
      </c>
      <c r="D99" s="3">
        <v>12</v>
      </c>
      <c r="E99" s="3">
        <v>46</v>
      </c>
      <c r="F99" s="3" t="str">
        <f>HYPERLINK("https://www.boe.es/gazeta/dias/1815/08/03/pdfs/GMD-1815-95.pdf","Abrir PDF")</f>
        <v>Abrir PDF</v>
      </c>
    </row>
    <row r="100" spans="1:6" ht="31.05" customHeight="1">
      <c r="A100" s="6">
        <v>-30828</v>
      </c>
      <c r="B100" s="2" t="s">
        <v>1402</v>
      </c>
      <c r="C100" s="2" t="s">
        <v>14373</v>
      </c>
      <c r="D100" s="3">
        <v>8</v>
      </c>
      <c r="E100" s="3">
        <v>15</v>
      </c>
      <c r="F100" s="3" t="str">
        <f>HYPERLINK("https://www.boe.es/gazeta/dias/1815/08/05/pdfs/GMD-1815-96.pdf","Abrir PDF")</f>
        <v>Abrir PDF</v>
      </c>
    </row>
    <row r="101" spans="1:6" ht="31.05" customHeight="1">
      <c r="A101" s="6">
        <v>-30825</v>
      </c>
      <c r="B101" s="2" t="s">
        <v>669</v>
      </c>
      <c r="C101" s="2" t="s">
        <v>14374</v>
      </c>
      <c r="D101" s="3">
        <v>12</v>
      </c>
      <c r="E101" s="3">
        <v>52</v>
      </c>
      <c r="F101" s="3" t="str">
        <f>HYPERLINK("https://www.boe.es/gazeta/dias/1815/08/08/pdfs/GMD-1815-97.pdf","Abrir PDF")</f>
        <v>Abrir PDF</v>
      </c>
    </row>
    <row r="102" spans="1:6" ht="31.05" customHeight="1">
      <c r="A102" s="6">
        <v>-30823</v>
      </c>
      <c r="B102" s="2" t="s">
        <v>305</v>
      </c>
      <c r="C102" s="2" t="s">
        <v>14375</v>
      </c>
      <c r="D102" s="3">
        <v>12</v>
      </c>
      <c r="E102" s="3">
        <v>82</v>
      </c>
      <c r="F102" s="3" t="str">
        <f>HYPERLINK("https://www.boe.es/gazeta/dias/1815/08/10/pdfs/GMD-1815-98.pdf","Abrir PDF")</f>
        <v>Abrir PDF</v>
      </c>
    </row>
    <row r="103" spans="1:6" ht="31.05" customHeight="1">
      <c r="A103" s="6">
        <v>-30821</v>
      </c>
      <c r="B103" s="2" t="s">
        <v>915</v>
      </c>
      <c r="C103" s="2" t="s">
        <v>14376</v>
      </c>
      <c r="D103" s="3">
        <v>8</v>
      </c>
      <c r="E103" s="3">
        <v>37</v>
      </c>
      <c r="F103" s="3" t="str">
        <f>HYPERLINK("https://www.boe.es/gazeta/dias/1815/08/12/pdfs/GMD-1815-99.pdf","Abrir PDF")</f>
        <v>Abrir PDF</v>
      </c>
    </row>
    <row r="104" spans="1:6" ht="31.05" customHeight="1">
      <c r="A104" s="6">
        <v>-30818</v>
      </c>
      <c r="B104" s="2" t="s">
        <v>334</v>
      </c>
      <c r="C104" s="2" t="s">
        <v>14377</v>
      </c>
      <c r="D104" s="3">
        <v>12</v>
      </c>
      <c r="E104" s="3">
        <v>123</v>
      </c>
      <c r="F104" s="3" t="str">
        <f>HYPERLINK("https://www.boe.es/gazeta/dias/1815/08/15/pdfs/GMD-1815-100.pdf","Abrir PDF")</f>
        <v>Abrir PDF</v>
      </c>
    </row>
    <row r="105" spans="1:6" ht="31.05" customHeight="1">
      <c r="A105" s="6">
        <v>-30816</v>
      </c>
      <c r="B105" s="2" t="s">
        <v>1253</v>
      </c>
      <c r="C105" s="2" t="s">
        <v>14378</v>
      </c>
      <c r="D105" s="3">
        <v>12</v>
      </c>
      <c r="E105" s="3">
        <v>33</v>
      </c>
      <c r="F105" s="3" t="str">
        <f>HYPERLINK("https://www.boe.es/gazeta/dias/1815/08/17/pdfs/GMD-1815-101.pdf","Abrir PDF")</f>
        <v>Abrir PDF</v>
      </c>
    </row>
    <row r="106" spans="1:6" ht="31.05" customHeight="1">
      <c r="A106" s="6">
        <v>-30814</v>
      </c>
      <c r="B106" s="2" t="s">
        <v>644</v>
      </c>
      <c r="C106" s="2" t="s">
        <v>14379</v>
      </c>
      <c r="D106" s="3">
        <v>8</v>
      </c>
      <c r="E106" s="3">
        <v>15</v>
      </c>
      <c r="F106" s="3" t="str">
        <f>HYPERLINK("https://www.boe.es/gazeta/dias/1815/08/19/pdfs/GMD-1815-102.pdf","Abrir PDF")</f>
        <v>Abrir PDF</v>
      </c>
    </row>
    <row r="107" spans="1:6" ht="31.05" customHeight="1">
      <c r="A107" s="6">
        <v>-30811</v>
      </c>
      <c r="B107" s="2" t="s">
        <v>293</v>
      </c>
      <c r="C107" s="2" t="s">
        <v>14380</v>
      </c>
      <c r="D107" s="3">
        <v>8</v>
      </c>
      <c r="E107" s="3">
        <v>24</v>
      </c>
      <c r="F107" s="3" t="str">
        <f>HYPERLINK("https://www.boe.es/gazeta/dias/1815/08/22/pdfs/GMD-1815-103.pdf","Abrir PDF")</f>
        <v>Abrir PDF</v>
      </c>
    </row>
    <row r="108" spans="1:6" ht="31.05" customHeight="1">
      <c r="A108" s="6">
        <v>-30809</v>
      </c>
      <c r="B108" s="2" t="s">
        <v>82</v>
      </c>
      <c r="C108" s="2" t="s">
        <v>14381</v>
      </c>
      <c r="D108" s="3">
        <v>8</v>
      </c>
      <c r="E108" s="3">
        <v>12</v>
      </c>
      <c r="F108" s="3" t="str">
        <f>HYPERLINK("https://www.boe.es/gazeta/dias/1815/08/24/pdfs/GMD-1815-104.pdf","Abrir PDF")</f>
        <v>Abrir PDF</v>
      </c>
    </row>
    <row r="109" spans="1:6" ht="31.05" customHeight="1">
      <c r="A109" s="6">
        <v>-30807</v>
      </c>
      <c r="B109" s="2" t="s">
        <v>586</v>
      </c>
      <c r="C109" s="2" t="s">
        <v>14382</v>
      </c>
      <c r="D109" s="3">
        <v>8</v>
      </c>
      <c r="E109" s="3">
        <v>27</v>
      </c>
      <c r="F109" s="3" t="str">
        <f>HYPERLINK("https://www.boe.es/gazeta/dias/1815/08/26/pdfs/GMD-1815-105.pdf","Abrir PDF")</f>
        <v>Abrir PDF</v>
      </c>
    </row>
    <row r="110" spans="1:6" ht="31.05" customHeight="1">
      <c r="A110" s="6">
        <v>-30804</v>
      </c>
      <c r="B110" s="2" t="s">
        <v>891</v>
      </c>
      <c r="C110" s="2" t="s">
        <v>14383</v>
      </c>
      <c r="D110" s="3">
        <v>8</v>
      </c>
      <c r="E110" s="3">
        <v>23</v>
      </c>
      <c r="F110" s="3" t="str">
        <f>HYPERLINK("https://www.boe.es/gazeta/dias/1815/08/29/pdfs/GMD-1815-106.pdf","Abrir PDF")</f>
        <v>Abrir PDF</v>
      </c>
    </row>
    <row r="111" spans="1:6" ht="31.05" customHeight="1">
      <c r="A111" s="6">
        <v>-30802</v>
      </c>
      <c r="B111" s="2" t="s">
        <v>1393</v>
      </c>
      <c r="C111" s="2" t="s">
        <v>14384</v>
      </c>
      <c r="D111" s="3">
        <v>8</v>
      </c>
      <c r="E111" s="3">
        <v>10</v>
      </c>
      <c r="F111" s="3" t="str">
        <f>HYPERLINK("https://www.boe.es/gazeta/dias/1815/08/31/pdfs/GMD-1815-107.pdf","Abrir PDF")</f>
        <v>Abrir PDF</v>
      </c>
    </row>
    <row r="112" spans="1:6" ht="31.05" customHeight="1">
      <c r="A112" s="6">
        <v>-30801</v>
      </c>
      <c r="B112" s="2" t="s">
        <v>4575</v>
      </c>
      <c r="C112" s="2" t="s">
        <v>14385</v>
      </c>
      <c r="D112" s="3">
        <v>4</v>
      </c>
      <c r="E112" s="3">
        <v>7</v>
      </c>
      <c r="F112" s="3" t="str">
        <f>HYPERLINK("https://www.boe.es/gazeta/dias/1815/09/01/pdfs/GMD-1815-108E.pdf","Abrir PDF")</f>
        <v>Abrir PDF</v>
      </c>
    </row>
    <row r="113" spans="1:6" ht="31.05" customHeight="1">
      <c r="A113" s="6">
        <v>-30800</v>
      </c>
      <c r="B113" s="2" t="s">
        <v>26</v>
      </c>
      <c r="C113" s="2" t="s">
        <v>14386</v>
      </c>
      <c r="D113" s="3">
        <v>8</v>
      </c>
      <c r="E113" s="3">
        <v>16</v>
      </c>
      <c r="F113" s="3" t="str">
        <f>HYPERLINK("https://www.boe.es/gazeta/dias/1815/09/02/pdfs/GMD-1815-109.pdf","Abrir PDF")</f>
        <v>Abrir PDF</v>
      </c>
    </row>
    <row r="114" spans="1:6" ht="31.05" customHeight="1">
      <c r="A114" s="6">
        <v>-30797</v>
      </c>
      <c r="B114" s="2" t="s">
        <v>248</v>
      </c>
      <c r="C114" s="2" t="s">
        <v>14387</v>
      </c>
      <c r="D114" s="3">
        <v>8</v>
      </c>
      <c r="E114" s="3">
        <v>17</v>
      </c>
      <c r="F114" s="3" t="str">
        <f>HYPERLINK("https://www.boe.es/gazeta/dias/1815/09/05/pdfs/GMD-1815-110.pdf","Abrir PDF")</f>
        <v>Abrir PDF</v>
      </c>
    </row>
    <row r="115" spans="1:6" ht="31.05" customHeight="1">
      <c r="A115" s="6">
        <v>-30795</v>
      </c>
      <c r="B115" s="2" t="s">
        <v>172</v>
      </c>
      <c r="C115" s="2" t="s">
        <v>14388</v>
      </c>
      <c r="D115" s="3">
        <v>12</v>
      </c>
      <c r="E115" s="3">
        <v>28</v>
      </c>
      <c r="F115" s="3" t="str">
        <f>HYPERLINK("https://www.boe.es/gazeta/dias/1815/09/07/pdfs/GMD-1815-111.pdf","Abrir PDF")</f>
        <v>Abrir PDF</v>
      </c>
    </row>
    <row r="116" spans="1:6" ht="31.05" customHeight="1">
      <c r="A116" s="6">
        <v>-30793</v>
      </c>
      <c r="B116" s="2" t="s">
        <v>1704</v>
      </c>
      <c r="C116" s="2" t="s">
        <v>14389</v>
      </c>
      <c r="D116" s="3">
        <v>8</v>
      </c>
      <c r="E116" s="3">
        <v>13</v>
      </c>
      <c r="F116" s="3" t="str">
        <f>HYPERLINK("https://www.boe.es/gazeta/dias/1815/09/09/pdfs/GMD-1815-112.pdf","Abrir PDF")</f>
        <v>Abrir PDF</v>
      </c>
    </row>
    <row r="117" spans="1:6" ht="31.05" customHeight="1">
      <c r="A117" s="6">
        <v>-30790</v>
      </c>
      <c r="B117" s="2" t="s">
        <v>285</v>
      </c>
      <c r="C117" s="2" t="s">
        <v>14390</v>
      </c>
      <c r="D117" s="3">
        <v>8</v>
      </c>
      <c r="E117" s="3">
        <v>31</v>
      </c>
      <c r="F117" s="3" t="str">
        <f>HYPERLINK("https://www.boe.es/gazeta/dias/1815/09/12/pdfs/GMD-1815-113.pdf","Abrir PDF")</f>
        <v>Abrir PDF</v>
      </c>
    </row>
    <row r="118" spans="1:6" ht="31.05" customHeight="1">
      <c r="A118" s="6">
        <v>-30788</v>
      </c>
      <c r="B118" s="2" t="s">
        <v>96</v>
      </c>
      <c r="C118" s="2" t="s">
        <v>14391</v>
      </c>
      <c r="D118" s="3">
        <v>8</v>
      </c>
      <c r="E118" s="3">
        <v>26</v>
      </c>
      <c r="F118" s="3" t="str">
        <f>HYPERLINK("https://www.boe.es/gazeta/dias/1815/09/14/pdfs/GMD-1815-114.pdf","Abrir PDF")</f>
        <v>Abrir PDF</v>
      </c>
    </row>
    <row r="119" spans="1:6" ht="31.05" customHeight="1">
      <c r="A119" s="6">
        <v>-30786</v>
      </c>
      <c r="B119" s="2" t="s">
        <v>558</v>
      </c>
      <c r="C119" s="2" t="s">
        <v>14392</v>
      </c>
      <c r="D119" s="3">
        <v>8</v>
      </c>
      <c r="E119" s="3">
        <v>15</v>
      </c>
      <c r="F119" s="3" t="str">
        <f>HYPERLINK("https://www.boe.es/gazeta/dias/1815/09/16/pdfs/GMD-1815-115.pdf","Abrir PDF")</f>
        <v>Abrir PDF</v>
      </c>
    </row>
    <row r="120" spans="1:6" ht="31.05" customHeight="1">
      <c r="A120" s="6">
        <v>-30783</v>
      </c>
      <c r="B120" s="2" t="s">
        <v>423</v>
      </c>
      <c r="C120" s="2" t="s">
        <v>14393</v>
      </c>
      <c r="D120" s="3">
        <v>8</v>
      </c>
      <c r="E120" s="3">
        <v>23</v>
      </c>
      <c r="F120" s="3" t="str">
        <f>HYPERLINK("https://www.boe.es/gazeta/dias/1815/09/19/pdfs/GMD-1815-116.pdf","Abrir PDF")</f>
        <v>Abrir PDF</v>
      </c>
    </row>
    <row r="121" spans="1:6" ht="31.05" customHeight="1">
      <c r="A121" s="6">
        <v>-30781</v>
      </c>
      <c r="B121" s="2" t="s">
        <v>685</v>
      </c>
      <c r="C121" s="2" t="s">
        <v>14394</v>
      </c>
      <c r="D121" s="3">
        <v>8</v>
      </c>
      <c r="E121" s="3">
        <v>36</v>
      </c>
      <c r="F121" s="3" t="str">
        <f>HYPERLINK("https://www.boe.es/gazeta/dias/1815/09/21/pdfs/GMD-1815-117.pdf","Abrir PDF")</f>
        <v>Abrir PDF</v>
      </c>
    </row>
    <row r="122" spans="1:6" ht="31.05" customHeight="1">
      <c r="A122" s="6">
        <v>-30779</v>
      </c>
      <c r="B122" s="2" t="s">
        <v>1426</v>
      </c>
      <c r="C122" s="2" t="s">
        <v>14395</v>
      </c>
      <c r="D122" s="3">
        <v>8</v>
      </c>
      <c r="E122" s="3">
        <v>9</v>
      </c>
      <c r="F122" s="3" t="str">
        <f>HYPERLINK("https://www.boe.es/gazeta/dias/1815/09/23/pdfs/GMD-1815-118.pdf","Abrir PDF")</f>
        <v>Abrir PDF</v>
      </c>
    </row>
    <row r="123" spans="1:6" ht="31.05" customHeight="1">
      <c r="A123" s="6">
        <v>-30776</v>
      </c>
      <c r="B123" s="2" t="s">
        <v>118</v>
      </c>
      <c r="C123" s="2" t="s">
        <v>14396</v>
      </c>
      <c r="D123" s="3">
        <v>8</v>
      </c>
      <c r="E123" s="3">
        <v>17</v>
      </c>
      <c r="F123" s="3" t="str">
        <f>HYPERLINK("https://www.boe.es/gazeta/dias/1815/09/26/pdfs/GMD-1815-119.pdf","Abrir PDF")</f>
        <v>Abrir PDF</v>
      </c>
    </row>
    <row r="124" spans="1:6" ht="31.05" customHeight="1">
      <c r="A124" s="6">
        <v>-30775</v>
      </c>
      <c r="B124" s="2" t="s">
        <v>2741</v>
      </c>
      <c r="C124" s="2" t="s">
        <v>14397</v>
      </c>
      <c r="D124" s="3">
        <v>1</v>
      </c>
      <c r="E124" s="3">
        <v>4</v>
      </c>
      <c r="F124" s="3" t="str">
        <f>HYPERLINK("https://www.boe.es/gazeta/dias/1815/09/27/pdfs/GMD-1815-120E.pdf","Abrir PDF")</f>
        <v>Abrir PDF</v>
      </c>
    </row>
    <row r="125" spans="1:6" ht="31.05" customHeight="1">
      <c r="A125" s="6">
        <v>-30774</v>
      </c>
      <c r="B125" s="2" t="s">
        <v>1143</v>
      </c>
      <c r="C125" s="2" t="s">
        <v>14398</v>
      </c>
      <c r="D125" s="3">
        <v>8</v>
      </c>
      <c r="E125" s="3">
        <v>30</v>
      </c>
      <c r="F125" s="3" t="str">
        <f>HYPERLINK("https://www.boe.es/gazeta/dias/1815/09/28/pdfs/GMD-1815-121.pdf","Abrir PDF")</f>
        <v>Abrir PDF</v>
      </c>
    </row>
    <row r="126" spans="1:6" ht="31.05" customHeight="1">
      <c r="A126" s="6">
        <v>-30773</v>
      </c>
      <c r="B126" s="2" t="s">
        <v>6571</v>
      </c>
      <c r="C126" s="2" t="s">
        <v>14399</v>
      </c>
      <c r="D126" s="3">
        <v>1</v>
      </c>
      <c r="E126" s="3">
        <v>4</v>
      </c>
      <c r="F126" s="3" t="str">
        <f>HYPERLINK("https://www.boe.es/gazeta/dias/1815/09/29/pdfs/GMD-1815-122E.pdf","Abrir PDF")</f>
        <v>Abrir PDF</v>
      </c>
    </row>
    <row r="127" spans="1:6" ht="31.05" customHeight="1">
      <c r="A127" s="6">
        <v>-30772</v>
      </c>
      <c r="B127" s="2" t="s">
        <v>216</v>
      </c>
      <c r="C127" s="2" t="s">
        <v>14400</v>
      </c>
      <c r="D127" s="3">
        <v>8</v>
      </c>
      <c r="E127" s="3">
        <v>33</v>
      </c>
      <c r="F127" s="3" t="str">
        <f>HYPERLINK("https://www.boe.es/gazeta/dias/1815/09/30/pdfs/GMD-1815-123.pdf","Abrir PDF")</f>
        <v>Abrir PDF</v>
      </c>
    </row>
    <row r="128" spans="1:6" ht="31.05" customHeight="1">
      <c r="A128" s="6">
        <v>-30769</v>
      </c>
      <c r="B128" s="2" t="s">
        <v>1641</v>
      </c>
      <c r="C128" s="2" t="s">
        <v>14401</v>
      </c>
      <c r="D128" s="3">
        <v>8</v>
      </c>
      <c r="E128" s="3">
        <v>13</v>
      </c>
      <c r="F128" s="3" t="str">
        <f>HYPERLINK("https://www.boe.es/gazeta/dias/1815/10/03/pdfs/GMD-1815-124.pdf","Abrir PDF")</f>
        <v>Abrir PDF</v>
      </c>
    </row>
    <row r="129" spans="1:6" ht="31.05" customHeight="1">
      <c r="A129" s="6">
        <v>-30767</v>
      </c>
      <c r="B129" s="2" t="s">
        <v>228</v>
      </c>
      <c r="C129" s="2" t="s">
        <v>14402</v>
      </c>
      <c r="D129" s="3">
        <v>12</v>
      </c>
      <c r="E129" s="3">
        <v>118</v>
      </c>
      <c r="F129" s="3" t="str">
        <f>HYPERLINK("https://www.boe.es/gazeta/dias/1815/10/05/pdfs/GMD-1815-125.pdf","Abrir PDF")</f>
        <v>Abrir PDF</v>
      </c>
    </row>
    <row r="130" spans="1:6" ht="31.05" customHeight="1">
      <c r="A130" s="6">
        <v>-30765</v>
      </c>
      <c r="B130" s="2" t="s">
        <v>2150</v>
      </c>
      <c r="C130" s="2" t="s">
        <v>14403</v>
      </c>
      <c r="D130" s="3">
        <v>8</v>
      </c>
      <c r="E130" s="3">
        <v>18</v>
      </c>
      <c r="F130" s="3" t="str">
        <f>HYPERLINK("https://www.boe.es/gazeta/dias/1815/10/07/pdfs/GMD-1815-126.pdf","Abrir PDF")</f>
        <v>Abrir PDF</v>
      </c>
    </row>
    <row r="131" spans="1:6" ht="31.05" customHeight="1">
      <c r="A131" s="6">
        <v>-30762</v>
      </c>
      <c r="B131" s="2" t="s">
        <v>19</v>
      </c>
      <c r="C131" s="2" t="s">
        <v>14404</v>
      </c>
      <c r="D131" s="3">
        <v>8</v>
      </c>
      <c r="E131" s="3">
        <v>18</v>
      </c>
      <c r="F131" s="3" t="str">
        <f>HYPERLINK("https://www.boe.es/gazeta/dias/1815/10/10/pdfs/GMD-1815-127.pdf","Abrir PDF")</f>
        <v>Abrir PDF</v>
      </c>
    </row>
    <row r="132" spans="1:6" ht="31.05" customHeight="1">
      <c r="A132" s="6">
        <v>-30760</v>
      </c>
      <c r="B132" s="2" t="s">
        <v>349</v>
      </c>
      <c r="C132" s="2" t="s">
        <v>14405</v>
      </c>
      <c r="D132" s="3">
        <v>8</v>
      </c>
      <c r="E132" s="3">
        <v>20</v>
      </c>
      <c r="F132" s="3" t="str">
        <f>HYPERLINK("https://www.boe.es/gazeta/dias/1815/10/12/pdfs/GMD-1815-128.pdf","Abrir PDF")</f>
        <v>Abrir PDF</v>
      </c>
    </row>
    <row r="133" spans="1:6" ht="31.05" customHeight="1">
      <c r="A133" s="6">
        <v>-30758</v>
      </c>
      <c r="B133" s="2" t="s">
        <v>1964</v>
      </c>
      <c r="C133" s="2" t="s">
        <v>14406</v>
      </c>
      <c r="D133" s="3">
        <v>8</v>
      </c>
      <c r="E133" s="3">
        <v>10</v>
      </c>
      <c r="F133" s="3" t="str">
        <f>HYPERLINK("https://www.boe.es/gazeta/dias/1815/10/14/pdfs/GMD-1815-129.pdf","Abrir PDF")</f>
        <v>Abrir PDF</v>
      </c>
    </row>
    <row r="134" spans="1:6" ht="31.05" customHeight="1">
      <c r="A134" s="6">
        <v>-30755</v>
      </c>
      <c r="B134" s="2" t="s">
        <v>598</v>
      </c>
      <c r="C134" s="2" t="s">
        <v>14407</v>
      </c>
      <c r="D134" s="3">
        <v>12</v>
      </c>
      <c r="E134" s="3">
        <v>10</v>
      </c>
      <c r="F134" s="3" t="str">
        <f>HYPERLINK("https://www.boe.es/gazeta/dias/1815/10/17/pdfs/GMD-1815-130.pdf","Abrir PDF")</f>
        <v>Abrir PDF</v>
      </c>
    </row>
    <row r="135" spans="1:6" ht="31.05" customHeight="1">
      <c r="A135" s="6">
        <v>-30753</v>
      </c>
      <c r="B135" s="2" t="s">
        <v>1635</v>
      </c>
      <c r="C135" s="2" t="s">
        <v>14408</v>
      </c>
      <c r="D135" s="3">
        <v>8</v>
      </c>
      <c r="E135" s="3">
        <v>11</v>
      </c>
      <c r="F135" s="3" t="str">
        <f>HYPERLINK("https://www.boe.es/gazeta/dias/1815/10/19/pdfs/GMD-1815-131.pdf","Abrir PDF")</f>
        <v>Abrir PDF</v>
      </c>
    </row>
    <row r="136" spans="1:6" ht="31.05" customHeight="1">
      <c r="A136" s="6">
        <v>-30751</v>
      </c>
      <c r="B136" s="2" t="s">
        <v>819</v>
      </c>
      <c r="C136" s="2" t="s">
        <v>14409</v>
      </c>
      <c r="D136" s="3">
        <v>8</v>
      </c>
      <c r="E136" s="3">
        <v>30</v>
      </c>
      <c r="F136" s="3" t="str">
        <f>HYPERLINK("https://www.boe.es/gazeta/dias/1815/10/21/pdfs/GMD-1815-132.pdf","Abrir PDF")</f>
        <v>Abrir PDF</v>
      </c>
    </row>
    <row r="137" spans="1:6" ht="31.05" customHeight="1">
      <c r="A137" s="6">
        <v>-30748</v>
      </c>
      <c r="B137" s="2" t="s">
        <v>2077</v>
      </c>
      <c r="C137" s="2" t="s">
        <v>14410</v>
      </c>
      <c r="D137" s="3">
        <v>8</v>
      </c>
      <c r="E137" s="3">
        <v>14</v>
      </c>
      <c r="F137" s="3" t="str">
        <f>HYPERLINK("https://www.boe.es/gazeta/dias/1815/10/24/pdfs/GMD-1815-133.pdf","Abrir PDF")</f>
        <v>Abrir PDF</v>
      </c>
    </row>
    <row r="138" spans="1:6" ht="31.05" customHeight="1">
      <c r="A138" s="6">
        <v>-30746</v>
      </c>
      <c r="B138" s="2" t="s">
        <v>3203</v>
      </c>
      <c r="C138" s="2" t="s">
        <v>14411</v>
      </c>
      <c r="D138" s="3">
        <v>8</v>
      </c>
      <c r="E138" s="3">
        <v>9</v>
      </c>
      <c r="F138" s="3" t="str">
        <f>HYPERLINK("https://www.boe.es/gazeta/dias/1815/10/26/pdfs/GMD-1815-134.pdf","Abrir PDF")</f>
        <v>Abrir PDF</v>
      </c>
    </row>
    <row r="139" spans="1:6" ht="31.05" customHeight="1">
      <c r="A139" s="6">
        <v>-30744</v>
      </c>
      <c r="B139" s="2" t="s">
        <v>391</v>
      </c>
      <c r="C139" s="2" t="s">
        <v>14412</v>
      </c>
      <c r="D139" s="3">
        <v>8</v>
      </c>
      <c r="E139" s="3">
        <v>30</v>
      </c>
      <c r="F139" s="3" t="str">
        <f>HYPERLINK("https://www.boe.es/gazeta/dias/1815/10/28/pdfs/GMD-1815-135.pdf","Abrir PDF")</f>
        <v>Abrir PDF</v>
      </c>
    </row>
    <row r="140" spans="1:6" ht="31.05" customHeight="1">
      <c r="A140" s="6">
        <v>-30741</v>
      </c>
      <c r="B140" s="2" t="s">
        <v>1000</v>
      </c>
      <c r="C140" s="2" t="s">
        <v>14413</v>
      </c>
      <c r="D140" s="3">
        <v>8</v>
      </c>
      <c r="E140" s="3">
        <v>34</v>
      </c>
      <c r="F140" s="3" t="str">
        <f>HYPERLINK("https://www.boe.es/gazeta/dias/1815/10/31/pdfs/GMD-1815-136.pdf","Abrir PDF")</f>
        <v>Abrir PDF</v>
      </c>
    </row>
    <row r="141" spans="1:6" ht="31.05" customHeight="1">
      <c r="A141" s="6">
        <v>-30739</v>
      </c>
      <c r="B141" s="2" t="s">
        <v>254</v>
      </c>
      <c r="C141" s="2" t="s">
        <v>14414</v>
      </c>
      <c r="D141" s="3">
        <v>12</v>
      </c>
      <c r="E141" s="3">
        <v>69</v>
      </c>
      <c r="F141" s="3" t="str">
        <f>HYPERLINK("https://www.boe.es/gazeta/dias/1815/11/02/pdfs/GMD-1815-137.pdf","Abrir PDF")</f>
        <v>Abrir PDF</v>
      </c>
    </row>
    <row r="142" spans="1:6" ht="31.05" customHeight="1">
      <c r="A142" s="6">
        <v>-30737</v>
      </c>
      <c r="B142" s="2" t="s">
        <v>1932</v>
      </c>
      <c r="C142" s="2" t="s">
        <v>14415</v>
      </c>
      <c r="D142" s="3">
        <v>8</v>
      </c>
      <c r="E142" s="3">
        <v>25</v>
      </c>
      <c r="F142" s="3" t="str">
        <f>HYPERLINK("https://www.boe.es/gazeta/dias/1815/11/04/pdfs/GMD-1815-138.pdf","Abrir PDF")</f>
        <v>Abrir PDF</v>
      </c>
    </row>
    <row r="143" spans="1:6" ht="31.05" customHeight="1">
      <c r="A143" s="6">
        <v>-30734</v>
      </c>
      <c r="B143" s="2" t="s">
        <v>376</v>
      </c>
      <c r="C143" s="2" t="s">
        <v>14416</v>
      </c>
      <c r="D143" s="3">
        <v>8</v>
      </c>
      <c r="E143" s="3">
        <v>26</v>
      </c>
      <c r="F143" s="3" t="str">
        <f>HYPERLINK("https://www.boe.es/gazeta/dias/1815/11/07/pdfs/GMD-1815-139.pdf","Abrir PDF")</f>
        <v>Abrir PDF</v>
      </c>
    </row>
    <row r="144" spans="1:6" ht="31.05" customHeight="1">
      <c r="A144" s="6">
        <v>-30732</v>
      </c>
      <c r="B144" s="2" t="s">
        <v>554</v>
      </c>
      <c r="C144" s="2" t="s">
        <v>14417</v>
      </c>
      <c r="D144" s="3">
        <v>8</v>
      </c>
      <c r="E144" s="3">
        <v>24</v>
      </c>
      <c r="F144" s="3" t="str">
        <f>HYPERLINK("https://www.boe.es/gazeta/dias/1815/11/09/pdfs/GMD-1815-140.pdf","Abrir PDF")</f>
        <v>Abrir PDF</v>
      </c>
    </row>
    <row r="145" spans="1:6" ht="31.05" customHeight="1">
      <c r="A145" s="6">
        <v>-30730</v>
      </c>
      <c r="B145" s="2" t="s">
        <v>953</v>
      </c>
      <c r="C145" s="2" t="s">
        <v>14418</v>
      </c>
      <c r="D145" s="3">
        <v>8</v>
      </c>
      <c r="E145" s="3">
        <v>13</v>
      </c>
      <c r="F145" s="3" t="str">
        <f>HYPERLINK("https://www.boe.es/gazeta/dias/1815/11/11/pdfs/GMD-1815-141.pdf","Abrir PDF")</f>
        <v>Abrir PDF</v>
      </c>
    </row>
    <row r="146" spans="1:6" ht="31.05" customHeight="1">
      <c r="A146" s="6">
        <v>-30727</v>
      </c>
      <c r="B146" s="2" t="s">
        <v>262</v>
      </c>
      <c r="C146" s="2" t="s">
        <v>14419</v>
      </c>
      <c r="D146" s="3">
        <v>8</v>
      </c>
      <c r="E146" s="3">
        <v>29</v>
      </c>
      <c r="F146" s="3" t="str">
        <f>HYPERLINK("https://www.boe.es/gazeta/dias/1815/11/14/pdfs/GMD-1815-142.pdf","Abrir PDF")</f>
        <v>Abrir PDF</v>
      </c>
    </row>
    <row r="147" spans="1:6" ht="31.05" customHeight="1">
      <c r="A147" s="6">
        <v>-30725</v>
      </c>
      <c r="B147" s="2" t="s">
        <v>1535</v>
      </c>
      <c r="C147" s="2" t="s">
        <v>14420</v>
      </c>
      <c r="D147" s="3">
        <v>8</v>
      </c>
      <c r="E147" s="3">
        <v>27</v>
      </c>
      <c r="F147" s="3" t="str">
        <f>HYPERLINK("https://www.boe.es/gazeta/dias/1815/11/16/pdfs/GMD-1815-143.pdf","Abrir PDF")</f>
        <v>Abrir PDF</v>
      </c>
    </row>
    <row r="148" spans="1:6" ht="31.05" customHeight="1">
      <c r="A148" s="6">
        <v>-30723</v>
      </c>
      <c r="B148" s="2" t="s">
        <v>77</v>
      </c>
      <c r="C148" s="2" t="s">
        <v>14421</v>
      </c>
      <c r="D148" s="3">
        <v>8</v>
      </c>
      <c r="E148" s="3">
        <v>24</v>
      </c>
      <c r="F148" s="3" t="str">
        <f>HYPERLINK("https://www.boe.es/gazeta/dias/1815/11/18/pdfs/GMD-1815-144.pdf","Abrir PDF")</f>
        <v>Abrir PDF</v>
      </c>
    </row>
    <row r="149" spans="1:6" ht="31.05" customHeight="1">
      <c r="A149" s="6">
        <v>-30720</v>
      </c>
      <c r="B149" s="2" t="s">
        <v>373</v>
      </c>
      <c r="C149" s="2" t="s">
        <v>14422</v>
      </c>
      <c r="D149" s="3">
        <v>12</v>
      </c>
      <c r="E149" s="3">
        <v>45</v>
      </c>
      <c r="F149" s="3" t="str">
        <f>HYPERLINK("https://www.boe.es/gazeta/dias/1815/11/21/pdfs/GMD-1815-145.pdf","Abrir PDF")</f>
        <v>Abrir PDF</v>
      </c>
    </row>
    <row r="150" spans="1:6" ht="31.05" customHeight="1">
      <c r="A150" s="6">
        <v>-30718</v>
      </c>
      <c r="B150" s="2" t="s">
        <v>3115</v>
      </c>
      <c r="C150" s="2" t="s">
        <v>14423</v>
      </c>
      <c r="D150" s="3">
        <v>8</v>
      </c>
      <c r="E150" s="3">
        <v>18</v>
      </c>
      <c r="F150" s="3" t="str">
        <f>HYPERLINK("https://www.boe.es/gazeta/dias/1815/11/23/pdfs/GMD-1815-146.pdf","Abrir PDF")</f>
        <v>Abrir PDF</v>
      </c>
    </row>
    <row r="151" spans="1:6" ht="31.05" customHeight="1">
      <c r="A151" s="6">
        <v>-30716</v>
      </c>
      <c r="B151" s="2" t="s">
        <v>589</v>
      </c>
      <c r="C151" s="2" t="s">
        <v>14424</v>
      </c>
      <c r="D151" s="3">
        <v>8</v>
      </c>
      <c r="E151" s="3">
        <v>49</v>
      </c>
      <c r="F151" s="3" t="str">
        <f>HYPERLINK("https://www.boe.es/gazeta/dias/1815/11/25/pdfs/GMD-1815-147.pdf","Abrir PDF")</f>
        <v>Abrir PDF</v>
      </c>
    </row>
    <row r="152" spans="1:6" ht="31.05" customHeight="1">
      <c r="A152" s="6">
        <v>-30713</v>
      </c>
      <c r="B152" s="2" t="s">
        <v>895</v>
      </c>
      <c r="C152" s="2" t="s">
        <v>14425</v>
      </c>
      <c r="D152" s="3">
        <v>8</v>
      </c>
      <c r="E152" s="3">
        <v>27</v>
      </c>
      <c r="F152" s="3" t="str">
        <f>HYPERLINK("https://www.boe.es/gazeta/dias/1815/11/28/pdfs/GMD-1815-148.pdf","Abrir PDF")</f>
        <v>Abrir PDF</v>
      </c>
    </row>
    <row r="153" spans="1:6" ht="31.05" customHeight="1">
      <c r="A153" s="6">
        <v>-30711</v>
      </c>
      <c r="B153" s="2" t="s">
        <v>438</v>
      </c>
      <c r="C153" s="2" t="s">
        <v>14426</v>
      </c>
      <c r="D153" s="3">
        <v>8</v>
      </c>
      <c r="E153" s="3">
        <v>22</v>
      </c>
      <c r="F153" s="3" t="str">
        <f>HYPERLINK("https://www.boe.es/gazeta/dias/1815/11/30/pdfs/GMD-1815-149.pdf","Abrir PDF")</f>
        <v>Abrir PDF</v>
      </c>
    </row>
    <row r="154" spans="1:6" ht="31.05" customHeight="1">
      <c r="A154" s="6">
        <v>-30709</v>
      </c>
      <c r="B154" s="2" t="s">
        <v>314</v>
      </c>
      <c r="C154" s="2" t="s">
        <v>14427</v>
      </c>
      <c r="D154" s="3">
        <v>8</v>
      </c>
      <c r="E154" s="3">
        <v>14</v>
      </c>
      <c r="F154" s="3" t="str">
        <f>HYPERLINK("https://www.boe.es/gazeta/dias/1815/12/02/pdfs/GMD-1815-150.pdf","Abrir PDF")</f>
        <v>Abrir PDF</v>
      </c>
    </row>
    <row r="155" spans="1:6" ht="31.05" customHeight="1">
      <c r="A155" s="6">
        <v>-30706</v>
      </c>
      <c r="B155" s="2" t="s">
        <v>2478</v>
      </c>
      <c r="C155" s="2" t="s">
        <v>14428</v>
      </c>
      <c r="D155" s="3">
        <v>8</v>
      </c>
      <c r="E155" s="3">
        <v>5</v>
      </c>
      <c r="F155" s="3" t="str">
        <f>HYPERLINK("https://www.boe.es/gazeta/dias/1815/12/05/pdfs/GMD-1815-151.pdf","Abrir PDF")</f>
        <v>Abrir PDF</v>
      </c>
    </row>
    <row r="156" spans="1:6" ht="31.05" customHeight="1">
      <c r="A156" s="6">
        <v>-30704</v>
      </c>
      <c r="B156" s="2" t="s">
        <v>1276</v>
      </c>
      <c r="C156" s="2" t="s">
        <v>14429</v>
      </c>
      <c r="D156" s="3">
        <v>8</v>
      </c>
      <c r="E156" s="3">
        <v>9</v>
      </c>
      <c r="F156" s="3" t="str">
        <f>HYPERLINK("https://www.boe.es/gazeta/dias/1815/12/07/pdfs/GMD-1815-152.pdf","Abrir PDF")</f>
        <v>Abrir PDF</v>
      </c>
    </row>
    <row r="157" spans="1:6" ht="31.05" customHeight="1">
      <c r="A157" s="6">
        <v>-30702</v>
      </c>
      <c r="B157" s="2" t="s">
        <v>196</v>
      </c>
      <c r="C157" s="2" t="s">
        <v>14430</v>
      </c>
      <c r="D157" s="3">
        <v>8</v>
      </c>
      <c r="E157" s="3">
        <v>18</v>
      </c>
      <c r="F157" s="3" t="str">
        <f>HYPERLINK("https://www.boe.es/gazeta/dias/1815/12/09/pdfs/GMD-1815-153.pdf","Abrir PDF")</f>
        <v>Abrir PDF</v>
      </c>
    </row>
    <row r="158" spans="1:6" ht="31.05" customHeight="1">
      <c r="A158" s="6">
        <v>-30699</v>
      </c>
      <c r="B158" s="2" t="s">
        <v>810</v>
      </c>
      <c r="C158" s="2" t="s">
        <v>14431</v>
      </c>
      <c r="D158" s="3">
        <v>8</v>
      </c>
      <c r="E158" s="3">
        <v>27</v>
      </c>
      <c r="F158" s="3" t="str">
        <f>HYPERLINK("https://www.boe.es/gazeta/dias/1815/12/12/pdfs/GMD-1815-154.pdf","Abrir PDF")</f>
        <v>Abrir PDF</v>
      </c>
    </row>
    <row r="159" spans="1:6" ht="31.05" customHeight="1">
      <c r="A159" s="6">
        <v>-30697</v>
      </c>
      <c r="B159" s="2" t="s">
        <v>381</v>
      </c>
      <c r="C159" s="2" t="s">
        <v>14432</v>
      </c>
      <c r="D159" s="3">
        <v>8</v>
      </c>
      <c r="E159" s="3">
        <v>24</v>
      </c>
      <c r="F159" s="3" t="str">
        <f>HYPERLINK("https://www.boe.es/gazeta/dias/1815/12/14/pdfs/GMD-1815-155.pdf","Abrir PDF")</f>
        <v>Abrir PDF</v>
      </c>
    </row>
    <row r="160" spans="1:6" ht="31.05" customHeight="1">
      <c r="A160" s="6">
        <v>-30695</v>
      </c>
      <c r="B160" s="2" t="s">
        <v>824</v>
      </c>
      <c r="C160" s="2" t="s">
        <v>14433</v>
      </c>
      <c r="D160" s="3">
        <v>8</v>
      </c>
      <c r="E160" s="3">
        <v>18</v>
      </c>
      <c r="F160" s="3" t="str">
        <f>HYPERLINK("https://www.boe.es/gazeta/dias/1815/12/16/pdfs/GMD-1815-156.pdf","Abrir PDF")</f>
        <v>Abrir PDF</v>
      </c>
    </row>
    <row r="161" spans="1:6" ht="31.05" customHeight="1">
      <c r="A161" s="6">
        <v>-30692</v>
      </c>
      <c r="B161" s="2" t="s">
        <v>508</v>
      </c>
      <c r="C161" s="2" t="s">
        <v>14434</v>
      </c>
      <c r="D161" s="3">
        <v>8</v>
      </c>
      <c r="E161" s="3">
        <v>22</v>
      </c>
      <c r="F161" s="3" t="str">
        <f>HYPERLINK("https://www.boe.es/gazeta/dias/1815/12/19/pdfs/GMD-1815-157.pdf","Abrir PDF")</f>
        <v>Abrir PDF</v>
      </c>
    </row>
    <row r="162" spans="1:6" ht="31.05" customHeight="1">
      <c r="A162" s="6">
        <v>-30690</v>
      </c>
      <c r="B162" s="2" t="s">
        <v>1449</v>
      </c>
      <c r="C162" s="2" t="s">
        <v>14435</v>
      </c>
      <c r="D162" s="3">
        <v>8</v>
      </c>
      <c r="E162" s="3">
        <v>19</v>
      </c>
      <c r="F162" s="3" t="str">
        <f>HYPERLINK("https://www.boe.es/gazeta/dias/1815/12/21/pdfs/GMD-1815-158.pdf","Abrir PDF")</f>
        <v>Abrir PDF</v>
      </c>
    </row>
    <row r="163" spans="1:6" ht="31.05" customHeight="1">
      <c r="A163" s="6">
        <v>-30688</v>
      </c>
      <c r="B163" s="2" t="s">
        <v>62</v>
      </c>
      <c r="C163" s="2" t="s">
        <v>14436</v>
      </c>
      <c r="D163" s="3">
        <v>8</v>
      </c>
      <c r="E163" s="3">
        <v>18</v>
      </c>
      <c r="F163" s="3" t="str">
        <f>HYPERLINK("https://www.boe.es/gazeta/dias/1815/12/23/pdfs/GMD-1815-159.pdf","Abrir PDF")</f>
        <v>Abrir PDF</v>
      </c>
    </row>
    <row r="164" spans="1:6" ht="31.05" customHeight="1">
      <c r="A164" s="6">
        <v>-30685</v>
      </c>
      <c r="B164" s="2" t="s">
        <v>1453</v>
      </c>
      <c r="C164" s="2" t="s">
        <v>14437</v>
      </c>
      <c r="D164" s="3">
        <v>8</v>
      </c>
      <c r="E164" s="3">
        <v>11</v>
      </c>
      <c r="F164" s="3" t="str">
        <f>HYPERLINK("https://www.boe.es/gazeta/dias/1815/12/26/pdfs/GMD-1815-160.pdf","Abrir PDF")</f>
        <v>Abrir PDF</v>
      </c>
    </row>
    <row r="165" spans="1:6" ht="31.05" customHeight="1">
      <c r="A165" s="6">
        <v>-30683</v>
      </c>
      <c r="B165" s="2" t="s">
        <v>1693</v>
      </c>
      <c r="C165" s="2" t="s">
        <v>14438</v>
      </c>
      <c r="D165" s="3">
        <v>8</v>
      </c>
      <c r="E165" s="3">
        <v>9</v>
      </c>
      <c r="F165" s="3" t="str">
        <f>HYPERLINK("https://www.boe.es/gazeta/dias/1815/12/28/pdfs/GMD-1815-161.pdf","Abrir PDF")</f>
        <v>Abrir PDF</v>
      </c>
    </row>
    <row r="166" spans="1:6" ht="31.05" customHeight="1">
      <c r="A166" s="6">
        <v>-30681</v>
      </c>
      <c r="B166" s="2" t="s">
        <v>2093</v>
      </c>
      <c r="C166" s="2" t="s">
        <v>14439</v>
      </c>
      <c r="D166" s="3">
        <v>8</v>
      </c>
      <c r="E166" s="3">
        <v>13</v>
      </c>
      <c r="F166" s="3" t="str">
        <f>HYPERLINK("https://www.boe.es/gazeta/dias/1815/12/30/pdfs/GMD-1815-162.pdf","Abrir PDF")</f>
        <v>Abrir PDF</v>
      </c>
    </row>
    <row r="167" spans="1:6" ht="31.05" customHeight="1">
      <c r="A167" s="4"/>
      <c r="B167" s="2"/>
      <c r="C167" s="2"/>
      <c r="D167" s="3"/>
      <c r="E167" s="3"/>
      <c r="F167" s="3"/>
    </row>
    <row r="168" spans="1:6" ht="31.05" customHeight="1">
      <c r="A168" s="4"/>
      <c r="B168" s="2"/>
      <c r="C168" s="2"/>
      <c r="D168" s="3"/>
      <c r="E168" s="3"/>
      <c r="F168" s="3"/>
    </row>
    <row r="169" spans="1:6" ht="24" customHeight="1">
      <c r="A169" s="13" t="s">
        <v>14440</v>
      </c>
      <c r="B169" s="14"/>
      <c r="C169" s="14"/>
      <c r="D169" s="15"/>
      <c r="E169" s="15"/>
      <c r="F169" s="16"/>
    </row>
    <row r="170" spans="1:6" ht="42" customHeight="1">
      <c r="A170" s="7" t="s">
        <v>14441</v>
      </c>
      <c r="B170" s="17" t="s">
        <v>14442</v>
      </c>
      <c r="C170" s="17"/>
      <c r="D170" s="18"/>
      <c r="E170" s="18"/>
      <c r="F170" s="18"/>
    </row>
    <row r="171" spans="1:6" ht="42" customHeight="1">
      <c r="A171" s="7" t="s">
        <v>14443</v>
      </c>
      <c r="B171" s="17" t="s">
        <v>14444</v>
      </c>
      <c r="C171" s="17"/>
      <c r="D171" s="18"/>
      <c r="E171" s="18"/>
      <c r="F171" s="18"/>
    </row>
    <row r="172" spans="1:6" ht="42" customHeight="1">
      <c r="A172" s="7" t="s">
        <v>14445</v>
      </c>
      <c r="B172" s="17" t="s">
        <v>14446</v>
      </c>
      <c r="C172" s="17"/>
      <c r="D172" s="18"/>
      <c r="E172" s="18"/>
      <c r="F172" s="18"/>
    </row>
    <row r="173" spans="1:6" ht="42" customHeight="1">
      <c r="A173" s="7" t="s">
        <v>14447</v>
      </c>
      <c r="B173" s="17" t="s">
        <v>14448</v>
      </c>
      <c r="C173" s="17"/>
      <c r="D173" s="18"/>
      <c r="E173" s="18"/>
      <c r="F173" s="18"/>
    </row>
    <row r="174" spans="1:6" ht="42" customHeight="1">
      <c r="A174" s="7" t="s">
        <v>14449</v>
      </c>
      <c r="B174" s="17" t="s">
        <v>14450</v>
      </c>
      <c r="C174" s="17"/>
      <c r="D174" s="18"/>
      <c r="E174" s="18"/>
      <c r="F174" s="18"/>
    </row>
    <row r="175" spans="1:6" ht="42" customHeight="1">
      <c r="A175" s="7" t="s">
        <v>10</v>
      </c>
      <c r="B175" s="17" t="s">
        <v>14451</v>
      </c>
      <c r="C175" s="17"/>
      <c r="D175" s="18"/>
      <c r="E175" s="18"/>
      <c r="F175" s="18"/>
    </row>
    <row r="176" spans="1:6" ht="42" customHeight="1">
      <c r="A176" s="7" t="s">
        <v>14452</v>
      </c>
      <c r="B176" s="17" t="s">
        <v>14453</v>
      </c>
      <c r="C176" s="17"/>
      <c r="D176" s="18"/>
      <c r="E176" s="18"/>
      <c r="F176" s="18"/>
    </row>
    <row r="177" spans="1:6" ht="42" customHeight="1">
      <c r="A177" s="7" t="s">
        <v>14454</v>
      </c>
      <c r="B177" s="17" t="s">
        <v>14455</v>
      </c>
      <c r="C177" s="17"/>
      <c r="D177" s="18"/>
      <c r="E177" s="18"/>
      <c r="F177" s="18"/>
    </row>
    <row r="178" spans="1:6" ht="42" customHeight="1">
      <c r="A178" s="7" t="s">
        <v>14456</v>
      </c>
      <c r="B178" s="17" t="s">
        <v>14457</v>
      </c>
      <c r="C178" s="17"/>
      <c r="D178" s="18"/>
      <c r="E178" s="18"/>
      <c r="F178" s="18"/>
    </row>
    <row r="179" spans="1:6" ht="31.05" customHeight="1"/>
    <row r="180" spans="1:6" ht="31.05" customHeight="1"/>
    <row r="181" spans="1:6" ht="31.05" customHeight="1"/>
    <row r="182" spans="1:6" ht="31.05" customHeight="1"/>
    <row r="183" spans="1:6" ht="31.05" customHeight="1"/>
    <row r="184" spans="1:6" ht="31.05" customHeight="1"/>
    <row r="185" spans="1:6" ht="31.05" customHeight="1"/>
    <row r="186" spans="1:6" ht="31.05" customHeight="1"/>
    <row r="187" spans="1:6" ht="31.05" customHeight="1"/>
    <row r="188" spans="1:6" ht="31.05" customHeight="1"/>
    <row r="189" spans="1:6" ht="31.05" customHeight="1"/>
    <row r="190" spans="1:6" ht="31.05" customHeight="1"/>
    <row r="191" spans="1:6" ht="31.05" customHeight="1"/>
    <row r="192" spans="1:6"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7:F177"/>
    <mergeCell ref="B178:F178"/>
    <mergeCell ref="B172:F172"/>
    <mergeCell ref="B173:F173"/>
    <mergeCell ref="B174:F174"/>
    <mergeCell ref="B175:F175"/>
    <mergeCell ref="B176:F176"/>
    <mergeCell ref="A1:F1"/>
    <mergeCell ref="A2:F2"/>
    <mergeCell ref="A169:F169"/>
    <mergeCell ref="B170:F170"/>
    <mergeCell ref="B171:F17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2026-09-28T17:01:45Z</dcterms:created>
  <dcterms:modified xsi:type="dcterms:W3CDTF">2026-09-28T17:01:45Z</dcterms:modified>
</cp:coreProperties>
</file>